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Y:\My Drive\Thinkful\HR Comp Tool\"/>
    </mc:Choice>
  </mc:AlternateContent>
  <xr:revisionPtr revIDLastSave="0" documentId="13_ncr:1_{CE4631E8-FE27-49FA-A23E-747172FA5773}" xr6:coauthVersionLast="44" xr6:coauthVersionMax="45" xr10:uidLastSave="{00000000-0000-0000-0000-000000000000}"/>
  <bookViews>
    <workbookView xWindow="28680" yWindow="-120" windowWidth="29040" windowHeight="17640" tabRatio="682" xr2:uid="{00000000-000D-0000-FFFF-FFFF00000000}"/>
  </bookViews>
  <sheets>
    <sheet name="Index" sheetId="9" r:id="rId1"/>
    <sheet name="Strategy Dashboard" sheetId="10" r:id="rId2"/>
    <sheet name="Top_Performers" sheetId="13" r:id="rId3"/>
    <sheet name="Employee_Dashboard" sheetId="17" r:id="rId4"/>
    <sheet name="2018_commission_structure Finis" sheetId="6" r:id="rId5"/>
    <sheet name="Calculations" sheetId="5" r:id="rId6"/>
    <sheet name="Employees_Position" sheetId="14" r:id="rId7"/>
    <sheet name="2018_commission_structure" sheetId="3" r:id="rId8"/>
    <sheet name="benchmark_data" sheetId="4" r:id="rId9"/>
    <sheet name="deals_closed" sheetId="2" r:id="rId10"/>
    <sheet name="base_salary" sheetId="1" r:id="rId11"/>
  </sheets>
  <externalReferences>
    <externalReference r:id="rId12"/>
  </externalReferences>
  <calcPr calcId="191029"/>
  <pivotCaches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7" l="1"/>
  <c r="D10" i="17"/>
  <c r="D9" i="17"/>
  <c r="D7" i="17"/>
  <c r="D6" i="17"/>
  <c r="D5" i="17"/>
  <c r="D12" i="13"/>
  <c r="D11" i="13"/>
  <c r="L8" i="13"/>
  <c r="M8" i="13" s="1"/>
  <c r="J8" i="13"/>
  <c r="L7" i="13"/>
  <c r="M7" i="13" s="1"/>
  <c r="J7" i="13"/>
  <c r="L6" i="13"/>
  <c r="M6" i="13" s="1"/>
  <c r="J6" i="13"/>
  <c r="D10" i="13"/>
  <c r="D8" i="13"/>
  <c r="B13" i="17"/>
  <c r="D3" i="17"/>
  <c r="B14" i="17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2" i="5"/>
  <c r="M16" i="13" l="1"/>
  <c r="L16" i="13" s="1"/>
  <c r="M15" i="13"/>
  <c r="L15" i="13" s="1"/>
  <c r="M14" i="13"/>
  <c r="L14" i="13" s="1"/>
  <c r="M13" i="13"/>
  <c r="L13" i="13" s="1"/>
  <c r="K16" i="13"/>
  <c r="J16" i="13" s="1"/>
  <c r="K15" i="13"/>
  <c r="J15" i="13" s="1"/>
  <c r="K14" i="13"/>
  <c r="J14" i="13" s="1"/>
  <c r="K13" i="13"/>
  <c r="J13" i="13" s="1"/>
  <c r="I16" i="13"/>
  <c r="H16" i="13" s="1"/>
  <c r="I15" i="13"/>
  <c r="H15" i="13" s="1"/>
  <c r="I14" i="13"/>
  <c r="H14" i="13" s="1"/>
  <c r="I13" i="13"/>
  <c r="H13" i="13" s="1"/>
  <c r="C7" i="10" l="1"/>
  <c r="B8" i="10"/>
  <c r="B9" i="10"/>
  <c r="B10" i="10"/>
  <c r="M4" i="6" l="1"/>
  <c r="C9" i="10" s="1"/>
  <c r="N4" i="6" l="1"/>
  <c r="D9" i="10" s="1"/>
  <c r="P5" i="6"/>
  <c r="Q5" i="6"/>
  <c r="N19" i="6" l="1"/>
  <c r="D931" i="5" l="1"/>
  <c r="D507" i="5"/>
  <c r="D20" i="5"/>
  <c r="D369" i="5"/>
  <c r="D884" i="5"/>
  <c r="D868" i="5"/>
  <c r="D791" i="5"/>
  <c r="D1001" i="5"/>
  <c r="D30" i="5"/>
  <c r="D429" i="5"/>
  <c r="D670" i="5"/>
  <c r="D556" i="5"/>
  <c r="D322" i="5"/>
  <c r="D103" i="5"/>
  <c r="D194" i="5"/>
  <c r="D657" i="5"/>
  <c r="D179" i="5"/>
  <c r="D795" i="5"/>
  <c r="D299" i="5"/>
  <c r="D715" i="5"/>
  <c r="D66" i="5"/>
  <c r="D847" i="5"/>
  <c r="D907" i="5"/>
  <c r="D412" i="5"/>
  <c r="D628" i="5"/>
  <c r="D716" i="5"/>
  <c r="D476" i="5"/>
  <c r="D913" i="5"/>
  <c r="D631" i="5"/>
  <c r="D849" i="5"/>
  <c r="D760" i="5"/>
  <c r="D605" i="5"/>
  <c r="D89" i="5"/>
  <c r="D350" i="5"/>
  <c r="D998" i="5"/>
  <c r="D213" i="5"/>
  <c r="D941" i="5"/>
  <c r="D878" i="5"/>
  <c r="D838" i="5"/>
  <c r="D96" i="5"/>
  <c r="D871" i="5"/>
  <c r="D543" i="5"/>
  <c r="D516" i="5"/>
  <c r="D480" i="5"/>
  <c r="D436" i="5"/>
  <c r="D742" i="5"/>
  <c r="D669" i="5"/>
  <c r="D882" i="5"/>
  <c r="D154" i="5"/>
  <c r="D306" i="5"/>
  <c r="D885" i="5"/>
  <c r="D688" i="5"/>
  <c r="D921" i="5"/>
  <c r="D362" i="5"/>
  <c r="D394" i="5"/>
  <c r="D224" i="5"/>
  <c r="D923" i="5"/>
  <c r="D673" i="5"/>
  <c r="D165" i="5"/>
  <c r="D573" i="5"/>
  <c r="D335" i="5"/>
  <c r="D447" i="5"/>
  <c r="D464" i="5"/>
  <c r="D958" i="5"/>
  <c r="D377" i="5"/>
  <c r="D655" i="5"/>
  <c r="D460" i="5"/>
  <c r="D78" i="5"/>
  <c r="D942" i="5"/>
  <c r="D836" i="5"/>
  <c r="D403" i="5"/>
  <c r="D758" i="5"/>
  <c r="D967" i="5"/>
  <c r="D525" i="5"/>
  <c r="D233" i="5"/>
  <c r="D924" i="5"/>
  <c r="D899" i="5"/>
  <c r="D532" i="5"/>
  <c r="D691" i="5"/>
  <c r="D842" i="5"/>
  <c r="D779" i="5"/>
  <c r="D706" i="5"/>
  <c r="D132" i="5"/>
  <c r="D81" i="5"/>
  <c r="D485" i="5"/>
  <c r="D796" i="5"/>
  <c r="D441" i="5"/>
  <c r="D98" i="5"/>
  <c r="D953" i="5"/>
  <c r="D347" i="5"/>
  <c r="D75" i="5"/>
  <c r="D163" i="5"/>
  <c r="D720" i="5"/>
  <c r="D582" i="5"/>
  <c r="D989" i="5"/>
  <c r="D301" i="5"/>
  <c r="D161" i="5"/>
  <c r="D763" i="5"/>
  <c r="D205" i="5"/>
  <c r="D832" i="5"/>
  <c r="D564" i="5"/>
  <c r="D351" i="5"/>
  <c r="D46" i="5"/>
  <c r="D762" i="5"/>
  <c r="D898" i="5"/>
  <c r="D806" i="5"/>
  <c r="D995" i="5"/>
  <c r="D340" i="5"/>
  <c r="D360" i="5"/>
  <c r="D900" i="5"/>
  <c r="D230" i="5"/>
  <c r="D426" i="5"/>
  <c r="D281" i="5"/>
  <c r="D726" i="5"/>
  <c r="D751" i="5"/>
  <c r="D295" i="5"/>
  <c r="D134" i="5"/>
  <c r="D949" i="5"/>
  <c r="D925" i="5"/>
  <c r="D196" i="5"/>
  <c r="D68" i="5"/>
  <c r="D569" i="5"/>
  <c r="D5" i="5"/>
  <c r="D327" i="5"/>
  <c r="D218" i="5"/>
  <c r="D276" i="5"/>
  <c r="D342" i="5"/>
  <c r="D214" i="5"/>
  <c r="D365" i="5"/>
  <c r="D535" i="5"/>
  <c r="D612" i="5"/>
  <c r="D277" i="5"/>
  <c r="D378" i="5"/>
  <c r="D901" i="5"/>
  <c r="D642" i="5"/>
  <c r="D418" i="5"/>
  <c r="D160" i="5"/>
  <c r="D415" i="5"/>
  <c r="D102" i="5"/>
  <c r="D579" i="5"/>
  <c r="D865" i="5"/>
  <c r="D363" i="5"/>
  <c r="D679" i="5"/>
  <c r="D801" i="5"/>
  <c r="D182" i="5"/>
  <c r="D870" i="5"/>
  <c r="D171" i="5"/>
  <c r="D359" i="5"/>
  <c r="D25" i="5"/>
  <c r="D803" i="5"/>
  <c r="D917" i="5"/>
  <c r="D709" i="5"/>
  <c r="D725" i="5"/>
  <c r="D181" i="5"/>
  <c r="D222" i="5"/>
  <c r="D897" i="5"/>
  <c r="D889" i="5"/>
  <c r="D6" i="5"/>
  <c r="D65" i="5"/>
  <c r="D345" i="5"/>
  <c r="D697" i="5"/>
  <c r="D266" i="5"/>
  <c r="D802" i="5"/>
  <c r="D738" i="5"/>
  <c r="D653" i="5"/>
  <c r="D343" i="5"/>
  <c r="D531" i="5"/>
  <c r="D654" i="5"/>
  <c r="D138" i="5"/>
  <c r="D743" i="5"/>
  <c r="D610" i="5"/>
  <c r="D421" i="5"/>
  <c r="D814" i="5"/>
  <c r="D280" i="5"/>
  <c r="D471" i="5"/>
  <c r="D498" i="5"/>
  <c r="D137" i="5"/>
  <c r="D93" i="5"/>
  <c r="D221" i="5"/>
  <c r="D800" i="5"/>
  <c r="D771" i="5"/>
  <c r="D140" i="5"/>
  <c r="D291" i="5"/>
  <c r="D950" i="5"/>
  <c r="D735" i="5"/>
  <c r="D733" i="5"/>
  <c r="D141" i="5"/>
  <c r="D620" i="5"/>
  <c r="D919" i="5"/>
  <c r="D70" i="5"/>
  <c r="D576" i="5"/>
  <c r="D853" i="5"/>
  <c r="D752" i="5"/>
  <c r="D548" i="5"/>
  <c r="D254" i="5"/>
  <c r="D355" i="5"/>
  <c r="D227" i="5"/>
  <c r="D664" i="5"/>
  <c r="D807" i="5"/>
  <c r="D661" i="5"/>
  <c r="D437" i="5"/>
  <c r="D684" i="5"/>
  <c r="D272" i="5"/>
  <c r="D904" i="5"/>
  <c r="D891" i="5"/>
  <c r="D63" i="5"/>
  <c r="D866" i="5"/>
  <c r="D185" i="5"/>
  <c r="D821" i="5"/>
  <c r="D225" i="5"/>
  <c r="D918" i="5"/>
  <c r="D727" i="5"/>
  <c r="D212" i="5"/>
  <c r="D506" i="5"/>
  <c r="D150" i="5"/>
  <c r="D890" i="5"/>
  <c r="D14" i="5"/>
  <c r="D82" i="5"/>
  <c r="D146" i="5"/>
  <c r="D324" i="5"/>
  <c r="D815" i="5"/>
  <c r="D902" i="5"/>
  <c r="D526" i="5"/>
  <c r="D271" i="5"/>
  <c r="D456" i="5"/>
  <c r="D124" i="5"/>
  <c r="D123" i="5"/>
  <c r="D523" i="5"/>
  <c r="D887" i="5"/>
  <c r="D31" i="5"/>
  <c r="D956" i="5"/>
  <c r="D927" i="5"/>
  <c r="D926" i="5"/>
  <c r="D309" i="5"/>
  <c r="D7" i="5"/>
  <c r="D166" i="5"/>
  <c r="D305" i="5"/>
  <c r="D390" i="5"/>
  <c r="D71" i="5"/>
  <c r="D906" i="5"/>
  <c r="D314" i="5"/>
  <c r="D677" i="5"/>
  <c r="D331" i="5"/>
  <c r="D399" i="5"/>
  <c r="D382" i="5"/>
  <c r="D231" i="5"/>
  <c r="D177" i="5"/>
  <c r="D125" i="5"/>
  <c r="D114" i="5"/>
  <c r="D505" i="5"/>
  <c r="D632" i="5"/>
  <c r="D376" i="5"/>
  <c r="D703" i="5"/>
  <c r="D235" i="5"/>
  <c r="D711" i="5"/>
  <c r="D722" i="5"/>
  <c r="D978" i="5"/>
  <c r="D2" i="5"/>
  <c r="D671" i="5"/>
  <c r="D346" i="5"/>
  <c r="D122" i="5"/>
  <c r="D486" i="5"/>
  <c r="D595" i="5"/>
  <c r="D797" i="5"/>
  <c r="D106" i="5"/>
  <c r="D155" i="5"/>
  <c r="D990" i="5"/>
  <c r="D77" i="5"/>
  <c r="D273" i="5"/>
  <c r="D979" i="5"/>
  <c r="D812" i="5"/>
  <c r="D209" i="5"/>
  <c r="D313" i="5"/>
  <c r="D930" i="5"/>
  <c r="D719" i="5"/>
  <c r="D602" i="5"/>
  <c r="D101" i="5"/>
  <c r="D333" i="5"/>
  <c r="D288" i="5"/>
  <c r="D872" i="5"/>
  <c r="D176" i="5"/>
  <c r="D204" i="5"/>
  <c r="D636" i="5"/>
  <c r="D952" i="5"/>
  <c r="D993" i="5"/>
  <c r="D538" i="5"/>
  <c r="D72" i="5"/>
  <c r="D756" i="5"/>
  <c r="D961" i="5"/>
  <c r="D406" i="5"/>
  <c r="D35" i="5"/>
  <c r="D955" i="5"/>
  <c r="D665" i="5"/>
  <c r="D275" i="5"/>
  <c r="D574" i="5"/>
  <c r="D748" i="5"/>
  <c r="D385" i="5"/>
  <c r="D453" i="5"/>
  <c r="D268" i="5"/>
  <c r="D721" i="5"/>
  <c r="D570" i="5"/>
  <c r="D474" i="5"/>
  <c r="D686" i="5"/>
  <c r="D307" i="5"/>
  <c r="D776" i="5"/>
  <c r="D477" i="5"/>
  <c r="D463" i="5"/>
  <c r="D383" i="5"/>
  <c r="D739" i="5"/>
  <c r="D937" i="5"/>
  <c r="D199" i="5"/>
  <c r="D501" i="5"/>
  <c r="D948" i="5"/>
  <c r="D965" i="5"/>
  <c r="D681" i="5"/>
  <c r="D975" i="5"/>
  <c r="D491" i="5"/>
  <c r="D674" i="5"/>
  <c r="D984" i="5"/>
  <c r="D339" i="5"/>
  <c r="D639" i="5"/>
  <c r="D705" i="5"/>
  <c r="D144" i="5"/>
  <c r="D980" i="5"/>
  <c r="D348" i="5"/>
  <c r="D380" i="5"/>
  <c r="D945" i="5"/>
  <c r="D405" i="5"/>
  <c r="D216" i="5"/>
  <c r="D38" i="5"/>
  <c r="D936" i="5"/>
  <c r="D334" i="5"/>
  <c r="D315" i="5"/>
  <c r="D749" i="5"/>
  <c r="D876" i="5"/>
  <c r="D472" i="5"/>
  <c r="D257" i="5"/>
  <c r="D202" i="5"/>
  <c r="D234" i="5"/>
  <c r="D547" i="5"/>
  <c r="D97" i="5"/>
  <c r="D613" i="5"/>
  <c r="D186" i="5"/>
  <c r="D420" i="5"/>
  <c r="D50" i="5"/>
  <c r="D259" i="5"/>
  <c r="D578" i="5"/>
  <c r="D167" i="5"/>
  <c r="D521" i="5"/>
  <c r="D283" i="5"/>
  <c r="D728" i="5"/>
  <c r="D323" i="5"/>
  <c r="D789" i="5"/>
  <c r="D236" i="5"/>
  <c r="D135" i="5"/>
  <c r="D475" i="5"/>
  <c r="D997" i="5"/>
  <c r="D386" i="5"/>
  <c r="D458" i="5"/>
  <c r="D88" i="5"/>
  <c r="D626" i="5"/>
  <c r="D932" i="5"/>
  <c r="D745" i="5"/>
  <c r="D428" i="5"/>
  <c r="D438" i="5"/>
  <c r="D36" i="5"/>
  <c r="D584" i="5"/>
  <c r="D895" i="5"/>
  <c r="D567" i="5"/>
  <c r="D373" i="5"/>
  <c r="D285" i="5"/>
  <c r="D238" i="5"/>
  <c r="D754" i="5"/>
  <c r="D780" i="5"/>
  <c r="D731" i="5"/>
  <c r="D269" i="5"/>
  <c r="D714" i="5"/>
  <c r="D504" i="5"/>
  <c r="D28" i="5"/>
  <c r="D534" i="5"/>
  <c r="D413" i="5"/>
  <c r="D400" i="5"/>
  <c r="D500" i="5"/>
  <c r="D969" i="5"/>
  <c r="D256" i="5"/>
  <c r="D787" i="5"/>
  <c r="D483" i="5"/>
  <c r="D215" i="5"/>
  <c r="D310" i="5"/>
  <c r="D790" i="5"/>
  <c r="D542" i="5"/>
  <c r="D957" i="5"/>
  <c r="D553" i="5"/>
  <c r="D591" i="5"/>
  <c r="D778" i="5"/>
  <c r="D519" i="5"/>
  <c r="D857" i="5"/>
  <c r="D544" i="5"/>
  <c r="D864" i="5"/>
  <c r="D241" i="5"/>
  <c r="D508" i="5"/>
  <c r="D51" i="5"/>
  <c r="D3" i="5"/>
  <c r="D424" i="5"/>
  <c r="D60" i="5"/>
  <c r="D886" i="5"/>
  <c r="D449" i="5"/>
  <c r="D881" i="5"/>
  <c r="D839" i="5"/>
  <c r="D192" i="5"/>
  <c r="D592" i="5"/>
  <c r="D9" i="5"/>
  <c r="D805" i="5"/>
  <c r="D190" i="5"/>
  <c r="D850" i="5"/>
  <c r="D16" i="5"/>
  <c r="D352" i="5"/>
  <c r="D195" i="5"/>
  <c r="D422" i="5"/>
  <c r="D922" i="5"/>
  <c r="D32" i="5"/>
  <c r="D708" i="5"/>
  <c r="D80" i="5"/>
  <c r="D52" i="5"/>
  <c r="D589" i="5"/>
  <c r="D788" i="5"/>
  <c r="D502" i="5"/>
  <c r="D939" i="5"/>
  <c r="D833" i="5"/>
  <c r="D407" i="5"/>
  <c r="D284" i="5"/>
  <c r="D757" i="5"/>
  <c r="D384" i="5"/>
  <c r="D23" i="5"/>
  <c r="D537" i="5"/>
  <c r="D855" i="5"/>
  <c r="D85" i="5"/>
  <c r="D87" i="5"/>
  <c r="D223" i="5"/>
  <c r="D905" i="5"/>
  <c r="D170" i="5"/>
  <c r="D484" i="5"/>
  <c r="D325" i="5"/>
  <c r="D37" i="5"/>
  <c r="D606" i="5"/>
  <c r="D466" i="5"/>
  <c r="D127" i="5"/>
  <c r="D629" i="5"/>
  <c r="D820" i="5"/>
  <c r="D8" i="5"/>
  <c r="D861" i="5"/>
  <c r="D822" i="5"/>
  <c r="D457" i="5"/>
  <c r="D698" i="5"/>
  <c r="D609" i="5"/>
  <c r="D374" i="5"/>
  <c r="D74" i="5"/>
  <c r="D203" i="5"/>
  <c r="D782" i="5"/>
  <c r="D304" i="5"/>
  <c r="D497" i="5"/>
  <c r="D180" i="5"/>
  <c r="D442" i="5"/>
  <c r="D62" i="5"/>
  <c r="D774" i="5"/>
  <c r="D189" i="5"/>
  <c r="D435" i="5"/>
  <c r="D713" i="5"/>
  <c r="D316" i="5"/>
  <c r="D47" i="5"/>
  <c r="D94" i="5"/>
  <c r="D40" i="5"/>
  <c r="D12" i="5"/>
  <c r="D4" i="5"/>
  <c r="D388" i="5"/>
  <c r="D499" i="5"/>
  <c r="D59" i="5"/>
  <c r="D994" i="5"/>
  <c r="D368" i="5"/>
  <c r="D183" i="5"/>
  <c r="D601" i="5"/>
  <c r="D228" i="5"/>
  <c r="D248" i="5"/>
  <c r="D672" i="5"/>
  <c r="D201" i="5"/>
  <c r="D22" i="5"/>
  <c r="D966" i="5"/>
  <c r="D53" i="5"/>
  <c r="D560" i="5"/>
  <c r="D302" i="5"/>
  <c r="D764" i="5"/>
  <c r="D676" i="5"/>
  <c r="D58" i="5"/>
  <c r="D888" i="5"/>
  <c r="D562" i="5"/>
  <c r="D366" i="5"/>
  <c r="D446" i="5"/>
  <c r="D943" i="5"/>
  <c r="D960" i="5"/>
  <c r="D482" i="5"/>
  <c r="D513" i="5"/>
  <c r="D264" i="5"/>
  <c r="D242" i="5"/>
  <c r="D300" i="5"/>
  <c r="D455" i="5"/>
  <c r="D379" i="5"/>
  <c r="D546" i="5"/>
  <c r="D282" i="5"/>
  <c r="D828" i="5"/>
  <c r="D243" i="5"/>
  <c r="D509" i="5"/>
  <c r="D395" i="5"/>
  <c r="D808" i="5"/>
  <c r="D555" i="5"/>
  <c r="D699" i="5"/>
  <c r="D528" i="5"/>
  <c r="D39" i="5"/>
  <c r="D147" i="5"/>
  <c r="D678" i="5"/>
  <c r="D27" i="5"/>
  <c r="D175" i="5"/>
  <c r="D933" i="5"/>
  <c r="D263" i="5"/>
  <c r="D575" i="5"/>
  <c r="D527" i="5"/>
  <c r="D992" i="5"/>
  <c r="D198" i="5"/>
  <c r="D255" i="5"/>
  <c r="D1000" i="5"/>
  <c r="D262" i="5"/>
  <c r="D834" i="5"/>
  <c r="D454" i="5"/>
  <c r="D237" i="5"/>
  <c r="D116" i="5"/>
  <c r="D503" i="5"/>
  <c r="D488" i="5"/>
  <c r="D465" i="5"/>
  <c r="D341" i="5"/>
  <c r="D24" i="5"/>
  <c r="D208" i="5"/>
  <c r="D701" i="5"/>
  <c r="D648" i="5"/>
  <c r="D844" i="5"/>
  <c r="D920" i="5"/>
  <c r="D425" i="5"/>
  <c r="D641" i="5"/>
  <c r="D867" i="5"/>
  <c r="D111" i="5"/>
  <c r="D914" i="5"/>
  <c r="D49" i="5"/>
  <c r="D490" i="5"/>
  <c r="D637" i="5"/>
  <c r="D723" i="5"/>
  <c r="D893" i="5"/>
  <c r="D643" i="5"/>
  <c r="D371" i="5"/>
  <c r="D651" i="5"/>
  <c r="D663" i="5"/>
  <c r="D869" i="5"/>
  <c r="D545" i="5"/>
  <c r="D117" i="5"/>
  <c r="D652" i="5"/>
  <c r="D292" i="5"/>
  <c r="D517" i="5"/>
  <c r="D318" i="5"/>
  <c r="D372" i="5"/>
  <c r="D656" i="5"/>
  <c r="D48" i="5"/>
  <c r="D370" i="5"/>
  <c r="D718" i="5"/>
  <c r="D794" i="5"/>
  <c r="D599" i="5"/>
  <c r="D439" i="5"/>
  <c r="D76" i="5"/>
  <c r="D970" i="5"/>
  <c r="D916" i="5"/>
  <c r="D126" i="5"/>
  <c r="D289" i="5"/>
  <c r="D840" i="5"/>
  <c r="D894" i="5"/>
  <c r="D398" i="5"/>
  <c r="D396" i="5"/>
  <c r="D740" i="5"/>
  <c r="D358" i="5"/>
  <c r="D249" i="5"/>
  <c r="D539" i="5"/>
  <c r="D638" i="5"/>
  <c r="D877" i="5"/>
  <c r="D459" i="5"/>
  <c r="D524" i="5"/>
  <c r="D761" i="5"/>
  <c r="D935" i="5"/>
  <c r="D600" i="5"/>
  <c r="D875" i="5"/>
  <c r="D971" i="5"/>
  <c r="D258" i="5"/>
  <c r="D108" i="5"/>
  <c r="D86" i="5"/>
  <c r="D159" i="5"/>
  <c r="D734" i="5"/>
  <c r="D432" i="5"/>
  <c r="D61" i="5"/>
  <c r="D29" i="5"/>
  <c r="D954" i="5"/>
  <c r="D879" i="5"/>
  <c r="D479" i="5"/>
  <c r="D157" i="5"/>
  <c r="D938" i="5"/>
  <c r="D409" i="5"/>
  <c r="D596" i="5"/>
  <c r="D633" i="5"/>
  <c r="D729" i="5"/>
  <c r="D811" i="5"/>
  <c r="D13" i="5"/>
  <c r="D825" i="5"/>
  <c r="D988" i="5"/>
  <c r="D381" i="5"/>
  <c r="D630" i="5"/>
  <c r="D45" i="5"/>
  <c r="D156" i="5"/>
  <c r="D493" i="5"/>
  <c r="D158" i="5"/>
  <c r="D737" i="5"/>
  <c r="D835" i="5"/>
  <c r="D419" i="5"/>
  <c r="D443" i="5"/>
  <c r="D174" i="5"/>
  <c r="D319" i="5"/>
  <c r="D858" i="5"/>
  <c r="D831" i="5"/>
  <c r="D18" i="5"/>
  <c r="D896" i="5"/>
  <c r="D603" i="5"/>
  <c r="D321" i="5"/>
  <c r="D843" i="5"/>
  <c r="D287" i="5"/>
  <c r="D461" i="5"/>
  <c r="D809" i="5"/>
  <c r="D44" i="5"/>
  <c r="D54" i="5"/>
  <c r="D624" i="5"/>
  <c r="D813" i="5"/>
  <c r="D947" i="5"/>
  <c r="D645" i="5"/>
  <c r="D26" i="5"/>
  <c r="D100" i="5"/>
  <c r="D707" i="5"/>
  <c r="D614" i="5"/>
  <c r="D391" i="5"/>
  <c r="D841" i="5"/>
  <c r="D644" i="5"/>
  <c r="D522" i="5"/>
  <c r="D561" i="5"/>
  <c r="D695" i="5"/>
  <c r="D387" i="5"/>
  <c r="D824" i="5"/>
  <c r="D826" i="5"/>
  <c r="D133" i="5"/>
  <c r="D200" i="5"/>
  <c r="D852" i="5"/>
  <c r="D799" i="5"/>
  <c r="D750" i="5"/>
  <c r="D540" i="5"/>
  <c r="D448" i="5"/>
  <c r="D549" i="5"/>
  <c r="D819" i="5"/>
  <c r="D929" i="5"/>
  <c r="D431" i="5"/>
  <c r="D142" i="5"/>
  <c r="D468" i="5"/>
  <c r="D15" i="5"/>
  <c r="D294" i="5"/>
  <c r="D680" i="5"/>
  <c r="D586" i="5"/>
  <c r="D73" i="5"/>
  <c r="D659" i="5"/>
  <c r="D972" i="5"/>
  <c r="D598" i="5"/>
  <c r="D153" i="5"/>
  <c r="D173" i="5"/>
  <c r="D467" i="5"/>
  <c r="D139" i="5"/>
  <c r="D773" i="5"/>
  <c r="D481" i="5"/>
  <c r="D110" i="5"/>
  <c r="D408" i="5"/>
  <c r="D767" i="5"/>
  <c r="D668" i="5"/>
  <c r="D113" i="5"/>
  <c r="D741" i="5"/>
  <c r="D344" i="5"/>
  <c r="D623" i="5"/>
  <c r="D903" i="5"/>
  <c r="D823" i="5"/>
  <c r="D511" i="5"/>
  <c r="D296" i="5"/>
  <c r="D191" i="5"/>
  <c r="D260" i="5"/>
  <c r="D188" i="5"/>
  <c r="D565" i="5"/>
  <c r="D338" i="5"/>
  <c r="D11" i="5"/>
  <c r="D245" i="5"/>
  <c r="D118" i="5"/>
  <c r="D320" i="5"/>
  <c r="D541" i="5"/>
  <c r="D115" i="5"/>
  <c r="D766" i="5"/>
  <c r="D597" i="5"/>
  <c r="D793" i="5"/>
  <c r="D361" i="5"/>
  <c r="D851" i="5"/>
  <c r="D34" i="5"/>
  <c r="D777" i="5"/>
  <c r="D172" i="5"/>
  <c r="D617" i="5"/>
  <c r="D732" i="5"/>
  <c r="D765" i="5"/>
  <c r="D755" i="5"/>
  <c r="D104" i="5"/>
  <c r="D566" i="5"/>
  <c r="D250" i="5"/>
  <c r="D389" i="5"/>
  <c r="D128" i="5"/>
  <c r="D580" i="5"/>
  <c r="D784" i="5"/>
  <c r="D267" i="5"/>
  <c r="D404" i="5"/>
  <c r="D987" i="5"/>
  <c r="D332" i="5"/>
  <c r="D56" i="5"/>
  <c r="D724" i="5"/>
  <c r="D959" i="5"/>
  <c r="D207" i="5"/>
  <c r="D349" i="5"/>
  <c r="D145" i="5"/>
  <c r="D985" i="5"/>
  <c r="D286" i="5"/>
  <c r="D112" i="5"/>
  <c r="D279" i="5"/>
  <c r="D687" i="5"/>
  <c r="D297" i="5"/>
  <c r="D619" i="5"/>
  <c r="D963" i="5"/>
  <c r="D197" i="5"/>
  <c r="D353" i="5"/>
  <c r="D184" i="5"/>
  <c r="D558" i="5"/>
  <c r="D496" i="5"/>
  <c r="D982" i="5"/>
  <c r="D55" i="5"/>
  <c r="D690" i="5"/>
  <c r="D873" i="5"/>
  <c r="D217" i="5"/>
  <c r="D650" i="5"/>
  <c r="D634" i="5"/>
  <c r="D783" i="5"/>
  <c r="D744" i="5"/>
  <c r="D660" i="5"/>
  <c r="D646" i="5"/>
  <c r="D131" i="5"/>
  <c r="D694" i="5"/>
  <c r="D616" i="5"/>
  <c r="D414" i="5"/>
  <c r="D326" i="5"/>
  <c r="D736" i="5"/>
  <c r="D692" i="5"/>
  <c r="D604" i="5"/>
  <c r="D845" i="5"/>
  <c r="D973" i="5"/>
  <c r="D759" i="5"/>
  <c r="D91" i="5"/>
  <c r="D67" i="5"/>
  <c r="D354" i="5"/>
  <c r="D696" i="5"/>
  <c r="D810" i="5"/>
  <c r="D700" i="5"/>
  <c r="D846" i="5"/>
  <c r="D829" i="5"/>
  <c r="D860" i="5"/>
  <c r="D494" i="5"/>
  <c r="D781" i="5"/>
  <c r="D702" i="5"/>
  <c r="D529" i="5"/>
  <c r="D785" i="5"/>
  <c r="D770" i="5"/>
  <c r="D445" i="5"/>
  <c r="D336" i="5"/>
  <c r="D239" i="5"/>
  <c r="D568" i="5"/>
  <c r="D514" i="5"/>
  <c r="D423" i="5"/>
  <c r="D397" i="5"/>
  <c r="D311" i="5"/>
  <c r="D253" i="5"/>
  <c r="D410" i="5"/>
  <c r="D786" i="5"/>
  <c r="D635" i="5"/>
  <c r="D206" i="5"/>
  <c r="D168" i="5"/>
  <c r="D462" i="5"/>
  <c r="D312" i="5"/>
  <c r="D261" i="5"/>
  <c r="D121" i="5"/>
  <c r="D149" i="5"/>
  <c r="D976" i="5"/>
  <c r="D666" i="5"/>
  <c r="D587" i="5"/>
  <c r="D520" i="5"/>
  <c r="D293" i="5"/>
  <c r="D308" i="5"/>
  <c r="D983" i="5"/>
  <c r="D863" i="5"/>
  <c r="D211" i="5"/>
  <c r="D550" i="5"/>
  <c r="D996" i="5"/>
  <c r="D625" i="5"/>
  <c r="D934" i="5"/>
  <c r="D164" i="5"/>
  <c r="D143" i="5"/>
  <c r="D246" i="5"/>
  <c r="D792" i="5"/>
  <c r="D854" i="5"/>
  <c r="D450" i="5"/>
  <c r="D594" i="5"/>
  <c r="D753" i="5"/>
  <c r="D862" i="5"/>
  <c r="D912" i="5"/>
  <c r="D226" i="5"/>
  <c r="D968" i="5"/>
  <c r="D84" i="5"/>
  <c r="D557" i="5"/>
  <c r="D775" i="5"/>
  <c r="D944" i="5"/>
  <c r="D977" i="5"/>
  <c r="D999" i="5"/>
  <c r="D317" i="5"/>
  <c r="D747" i="5"/>
  <c r="D148" i="5"/>
  <c r="D193" i="5"/>
  <c r="D232" i="5"/>
  <c r="D427" i="5"/>
  <c r="D712" i="5"/>
  <c r="D816" i="5"/>
  <c r="D330" i="5"/>
  <c r="D986" i="5"/>
  <c r="D563" i="5"/>
  <c r="D693" i="5"/>
  <c r="D17" i="5"/>
  <c r="D909" i="5"/>
  <c r="D772" i="5"/>
  <c r="D444" i="5"/>
  <c r="D512" i="5"/>
  <c r="D615" i="5"/>
  <c r="D478" i="5"/>
  <c r="D356" i="5"/>
  <c r="D837" i="5"/>
  <c r="D552" i="5"/>
  <c r="D43" i="5"/>
  <c r="D375" i="5"/>
  <c r="D99" i="5"/>
  <c r="D21" i="5"/>
  <c r="D607" i="5"/>
  <c r="D430" i="5"/>
  <c r="D252" i="5"/>
  <c r="D848" i="5"/>
  <c r="D827" i="5"/>
  <c r="D647" i="5"/>
  <c r="D510" i="5"/>
  <c r="D662" i="5"/>
  <c r="D411" i="5"/>
  <c r="D169" i="5"/>
  <c r="D536" i="5"/>
  <c r="D402" i="5"/>
  <c r="D274" i="5"/>
  <c r="D57" i="5"/>
  <c r="D590" i="5"/>
  <c r="D64" i="5"/>
  <c r="D717" i="5"/>
  <c r="D581" i="5"/>
  <c r="D451" i="5"/>
  <c r="D675" i="5"/>
  <c r="D830" i="5"/>
  <c r="D109" i="5"/>
  <c r="D489" i="5"/>
  <c r="D915" i="5"/>
  <c r="D244" i="5"/>
  <c r="D518" i="5"/>
  <c r="D618" i="5"/>
  <c r="D278" i="5"/>
  <c r="D804" i="5"/>
  <c r="D974" i="5"/>
  <c r="D178" i="5"/>
  <c r="D962" i="5"/>
  <c r="D530" i="5"/>
  <c r="D577" i="5"/>
  <c r="D492" i="5"/>
  <c r="D393" i="5"/>
  <c r="D746" i="5"/>
  <c r="D364" i="5"/>
  <c r="D515" i="5"/>
  <c r="D329" i="5"/>
  <c r="D130" i="5"/>
  <c r="D187" i="5"/>
  <c r="D683" i="5"/>
  <c r="D611" i="5"/>
  <c r="D105" i="5"/>
  <c r="D559" i="5"/>
  <c r="D33" i="5"/>
  <c r="D940" i="5"/>
  <c r="D119" i="5"/>
  <c r="D880" i="5"/>
  <c r="D92" i="5"/>
  <c r="D240" i="5"/>
  <c r="D487" i="5"/>
  <c r="D19" i="5"/>
  <c r="D946" i="5"/>
  <c r="D908" i="5"/>
  <c r="D928" i="5"/>
  <c r="D107" i="5"/>
  <c r="D588" i="5"/>
  <c r="D433" i="5"/>
  <c r="D220" i="5"/>
  <c r="D818" i="5"/>
  <c r="D585" i="5"/>
  <c r="D290" i="5"/>
  <c r="D337" i="5"/>
  <c r="D689" i="5"/>
  <c r="D640" i="5"/>
  <c r="D682" i="5"/>
  <c r="D911" i="5"/>
  <c r="D129" i="5"/>
  <c r="D981" i="5"/>
  <c r="D704" i="5"/>
  <c r="D649" i="5"/>
  <c r="D621" i="5"/>
  <c r="D554" i="5"/>
  <c r="D152" i="5"/>
  <c r="D627" i="5"/>
  <c r="D401" i="5"/>
  <c r="D434" i="5"/>
  <c r="D951" i="5"/>
  <c r="D571" i="5"/>
  <c r="D817" i="5"/>
  <c r="D658" i="5"/>
  <c r="D79" i="5"/>
  <c r="D10" i="5"/>
  <c r="D768" i="5"/>
  <c r="D83" i="5"/>
  <c r="D583" i="5"/>
  <c r="D265" i="5"/>
  <c r="D303" i="5"/>
  <c r="D495" i="5"/>
  <c r="D859" i="5"/>
  <c r="D593" i="5"/>
  <c r="D874" i="5"/>
  <c r="D247" i="5"/>
  <c r="D120" i="5"/>
  <c r="D469" i="5"/>
  <c r="D42" i="5"/>
  <c r="D572" i="5"/>
  <c r="D473" i="5"/>
  <c r="D892" i="5"/>
  <c r="D608" i="5"/>
  <c r="D440" i="5"/>
  <c r="D367" i="5"/>
  <c r="D856" i="5"/>
  <c r="D710" i="5"/>
  <c r="D769" i="5"/>
  <c r="D883" i="5"/>
  <c r="D622" i="5"/>
  <c r="D90" i="5"/>
  <c r="D251" i="5"/>
  <c r="D151" i="5"/>
  <c r="D470" i="5"/>
  <c r="D533" i="5"/>
  <c r="D210" i="5"/>
  <c r="D298" i="5"/>
  <c r="D730" i="5"/>
  <c r="D991" i="5"/>
  <c r="D357" i="5"/>
  <c r="D270" i="5"/>
  <c r="D452" i="5"/>
  <c r="D95" i="5"/>
  <c r="D798" i="5"/>
  <c r="D685" i="5"/>
  <c r="D219" i="5"/>
  <c r="D69" i="5"/>
  <c r="D910" i="5"/>
  <c r="D964" i="5"/>
  <c r="D551" i="5"/>
  <c r="D416" i="5"/>
  <c r="D229" i="5"/>
  <c r="D328" i="5"/>
  <c r="D392" i="5"/>
  <c r="D136" i="5"/>
  <c r="D41" i="5"/>
  <c r="D162" i="5"/>
  <c r="D667" i="5"/>
  <c r="D417" i="5"/>
  <c r="P3" i="6" l="1"/>
  <c r="Q3" i="6" l="1"/>
  <c r="J12" i="6"/>
  <c r="J13" i="6"/>
  <c r="J14" i="6"/>
  <c r="N5" i="6" l="1"/>
  <c r="D10" i="10" s="1"/>
  <c r="O3" i="6"/>
  <c r="N3" i="6"/>
  <c r="D8" i="10" s="1"/>
  <c r="M3" i="6"/>
  <c r="C8" i="10" s="1"/>
  <c r="M11" i="6"/>
  <c r="Q11" i="6" l="1"/>
  <c r="N11" i="6"/>
  <c r="P11" i="6"/>
  <c r="O11" i="6"/>
  <c r="J13" i="3"/>
  <c r="J14" i="3"/>
  <c r="J12" i="3"/>
  <c r="M21" i="3"/>
  <c r="M12" i="3"/>
  <c r="I931" i="5" l="1"/>
  <c r="I507" i="5"/>
  <c r="I20" i="5"/>
  <c r="I369" i="5"/>
  <c r="I884" i="5"/>
  <c r="I868" i="5"/>
  <c r="I791" i="5"/>
  <c r="I1001" i="5"/>
  <c r="I30" i="5"/>
  <c r="I429" i="5"/>
  <c r="I670" i="5"/>
  <c r="I556" i="5"/>
  <c r="I322" i="5"/>
  <c r="I103" i="5"/>
  <c r="I194" i="5"/>
  <c r="J194" i="5" s="1"/>
  <c r="I657" i="5"/>
  <c r="I179" i="5"/>
  <c r="I795" i="5"/>
  <c r="I299" i="5"/>
  <c r="I715" i="5"/>
  <c r="I66" i="5"/>
  <c r="I847" i="5"/>
  <c r="I907" i="5"/>
  <c r="I412" i="5"/>
  <c r="I628" i="5"/>
  <c r="I716" i="5"/>
  <c r="I476" i="5"/>
  <c r="I913" i="5"/>
  <c r="I631" i="5"/>
  <c r="I849" i="5"/>
  <c r="I760" i="5"/>
  <c r="I605" i="5"/>
  <c r="I89" i="5"/>
  <c r="I350" i="5"/>
  <c r="I998" i="5"/>
  <c r="I213" i="5"/>
  <c r="I941" i="5"/>
  <c r="I878" i="5"/>
  <c r="I838" i="5"/>
  <c r="J838" i="5" s="1"/>
  <c r="I96" i="5"/>
  <c r="I871" i="5"/>
  <c r="I543" i="5"/>
  <c r="I516" i="5"/>
  <c r="I480" i="5"/>
  <c r="I436" i="5"/>
  <c r="I742" i="5"/>
  <c r="I669" i="5"/>
  <c r="I882" i="5"/>
  <c r="I154" i="5"/>
  <c r="I306" i="5"/>
  <c r="I885" i="5"/>
  <c r="I688" i="5"/>
  <c r="I921" i="5"/>
  <c r="I362" i="5"/>
  <c r="I394" i="5"/>
  <c r="I224" i="5"/>
  <c r="I923" i="5"/>
  <c r="I673" i="5"/>
  <c r="I165" i="5"/>
  <c r="I573" i="5"/>
  <c r="I335" i="5"/>
  <c r="I447" i="5"/>
  <c r="I464" i="5"/>
  <c r="K464" i="5" s="1"/>
  <c r="I958" i="5"/>
  <c r="I377" i="5"/>
  <c r="I655" i="5"/>
  <c r="I460" i="5"/>
  <c r="I78" i="5"/>
  <c r="I942" i="5"/>
  <c r="I836" i="5"/>
  <c r="I403" i="5"/>
  <c r="I758" i="5"/>
  <c r="I967" i="5"/>
  <c r="I525" i="5"/>
  <c r="I233" i="5"/>
  <c r="I924" i="5"/>
  <c r="I899" i="5"/>
  <c r="I532" i="5"/>
  <c r="I691" i="5"/>
  <c r="I842" i="5"/>
  <c r="I779" i="5"/>
  <c r="I706" i="5"/>
  <c r="I132" i="5"/>
  <c r="I81" i="5"/>
  <c r="I485" i="5"/>
  <c r="I796" i="5"/>
  <c r="I441" i="5"/>
  <c r="L441" i="5" s="1"/>
  <c r="I98" i="5"/>
  <c r="I953" i="5"/>
  <c r="I347" i="5"/>
  <c r="I75" i="5"/>
  <c r="I163" i="5"/>
  <c r="I720" i="5"/>
  <c r="I582" i="5"/>
  <c r="I989" i="5"/>
  <c r="I301" i="5"/>
  <c r="I161" i="5"/>
  <c r="I763" i="5"/>
  <c r="I205" i="5"/>
  <c r="I832" i="5"/>
  <c r="I564" i="5"/>
  <c r="I351" i="5"/>
  <c r="I46" i="5"/>
  <c r="I762" i="5"/>
  <c r="I898" i="5"/>
  <c r="I806" i="5"/>
  <c r="I995" i="5"/>
  <c r="I340" i="5"/>
  <c r="I360" i="5"/>
  <c r="I900" i="5"/>
  <c r="I230" i="5"/>
  <c r="K230" i="5" s="1"/>
  <c r="I426" i="5"/>
  <c r="L426" i="5" s="1"/>
  <c r="I281" i="5"/>
  <c r="I726" i="5"/>
  <c r="I751" i="5"/>
  <c r="I295" i="5"/>
  <c r="I134" i="5"/>
  <c r="I949" i="5"/>
  <c r="I925" i="5"/>
  <c r="I196" i="5"/>
  <c r="I68" i="5"/>
  <c r="I569" i="5"/>
  <c r="I5" i="5"/>
  <c r="I327" i="5"/>
  <c r="I218" i="5"/>
  <c r="I276" i="5"/>
  <c r="I342" i="5"/>
  <c r="I214" i="5"/>
  <c r="I365" i="5"/>
  <c r="I535" i="5"/>
  <c r="I612" i="5"/>
  <c r="I277" i="5"/>
  <c r="I378" i="5"/>
  <c r="I901" i="5"/>
  <c r="I642" i="5"/>
  <c r="L642" i="5" s="1"/>
  <c r="I418" i="5"/>
  <c r="I160" i="5"/>
  <c r="I415" i="5"/>
  <c r="I102" i="5"/>
  <c r="I579" i="5"/>
  <c r="I865" i="5"/>
  <c r="I363" i="5"/>
  <c r="I679" i="5"/>
  <c r="I801" i="5"/>
  <c r="I182" i="5"/>
  <c r="I870" i="5"/>
  <c r="I171" i="5"/>
  <c r="I359" i="5"/>
  <c r="I25" i="5"/>
  <c r="I803" i="5"/>
  <c r="I917" i="5"/>
  <c r="I709" i="5"/>
  <c r="I725" i="5"/>
  <c r="I181" i="5"/>
  <c r="I222" i="5"/>
  <c r="I897" i="5"/>
  <c r="I889" i="5"/>
  <c r="I6" i="5"/>
  <c r="I65" i="5"/>
  <c r="L65" i="5" s="1"/>
  <c r="I345" i="5"/>
  <c r="M345" i="5" s="1"/>
  <c r="N345" i="5" s="1"/>
  <c r="I697" i="5"/>
  <c r="I266" i="5"/>
  <c r="I802" i="5"/>
  <c r="I738" i="5"/>
  <c r="I653" i="5"/>
  <c r="I343" i="5"/>
  <c r="I531" i="5"/>
  <c r="I654" i="5"/>
  <c r="I138" i="5"/>
  <c r="I743" i="5"/>
  <c r="I610" i="5"/>
  <c r="I421" i="5"/>
  <c r="I814" i="5"/>
  <c r="I280" i="5"/>
  <c r="I471" i="5"/>
  <c r="I498" i="5"/>
  <c r="I137" i="5"/>
  <c r="I93" i="5"/>
  <c r="I221" i="5"/>
  <c r="I800" i="5"/>
  <c r="I771" i="5"/>
  <c r="I140" i="5"/>
  <c r="I291" i="5"/>
  <c r="I950" i="5"/>
  <c r="I735" i="5"/>
  <c r="I733" i="5"/>
  <c r="I141" i="5"/>
  <c r="I620" i="5"/>
  <c r="I919" i="5"/>
  <c r="I70" i="5"/>
  <c r="I576" i="5"/>
  <c r="I853" i="5"/>
  <c r="I752" i="5"/>
  <c r="I548" i="5"/>
  <c r="I254" i="5"/>
  <c r="I355" i="5"/>
  <c r="I227" i="5"/>
  <c r="I664" i="5"/>
  <c r="I807" i="5"/>
  <c r="I661" i="5"/>
  <c r="I437" i="5"/>
  <c r="I684" i="5"/>
  <c r="I272" i="5"/>
  <c r="I904" i="5"/>
  <c r="I891" i="5"/>
  <c r="I63" i="5"/>
  <c r="I866" i="5"/>
  <c r="L866" i="5" s="1"/>
  <c r="I185" i="5"/>
  <c r="I821" i="5"/>
  <c r="I225" i="5"/>
  <c r="I918" i="5"/>
  <c r="I727" i="5"/>
  <c r="I212" i="5"/>
  <c r="I506" i="5"/>
  <c r="I150" i="5"/>
  <c r="I890" i="5"/>
  <c r="I14" i="5"/>
  <c r="I82" i="5"/>
  <c r="I146" i="5"/>
  <c r="I324" i="5"/>
  <c r="I815" i="5"/>
  <c r="I902" i="5"/>
  <c r="I526" i="5"/>
  <c r="I271" i="5"/>
  <c r="I456" i="5"/>
  <c r="I124" i="5"/>
  <c r="I123" i="5"/>
  <c r="I523" i="5"/>
  <c r="I887" i="5"/>
  <c r="I31" i="5"/>
  <c r="I956" i="5"/>
  <c r="L956" i="5" s="1"/>
  <c r="I927" i="5"/>
  <c r="I926" i="5"/>
  <c r="I309" i="5"/>
  <c r="I7" i="5"/>
  <c r="I166" i="5"/>
  <c r="I305" i="5"/>
  <c r="I390" i="5"/>
  <c r="I71" i="5"/>
  <c r="I906" i="5"/>
  <c r="I314" i="5"/>
  <c r="I677" i="5"/>
  <c r="I331" i="5"/>
  <c r="I399" i="5"/>
  <c r="I382" i="5"/>
  <c r="I231" i="5"/>
  <c r="I177" i="5"/>
  <c r="I125" i="5"/>
  <c r="I114" i="5"/>
  <c r="I505" i="5"/>
  <c r="I632" i="5"/>
  <c r="I376" i="5"/>
  <c r="I703" i="5"/>
  <c r="I235" i="5"/>
  <c r="I711" i="5"/>
  <c r="K711" i="5" s="1"/>
  <c r="I722" i="5"/>
  <c r="I978" i="5"/>
  <c r="I2" i="5"/>
  <c r="I671" i="5"/>
  <c r="I346" i="5"/>
  <c r="I122" i="5"/>
  <c r="I486" i="5"/>
  <c r="I595" i="5"/>
  <c r="I797" i="5"/>
  <c r="I106" i="5"/>
  <c r="I155" i="5"/>
  <c r="I990" i="5"/>
  <c r="I77" i="5"/>
  <c r="I273" i="5"/>
  <c r="I979" i="5"/>
  <c r="I812" i="5"/>
  <c r="I209" i="5"/>
  <c r="I313" i="5"/>
  <c r="I930" i="5"/>
  <c r="I719" i="5"/>
  <c r="I602" i="5"/>
  <c r="I101" i="5"/>
  <c r="I333" i="5"/>
  <c r="I288" i="5"/>
  <c r="J288" i="5" s="1"/>
  <c r="I872" i="5"/>
  <c r="I176" i="5"/>
  <c r="I204" i="5"/>
  <c r="I636" i="5"/>
  <c r="I952" i="5"/>
  <c r="I993" i="5"/>
  <c r="I538" i="5"/>
  <c r="I72" i="5"/>
  <c r="I756" i="5"/>
  <c r="I961" i="5"/>
  <c r="I406" i="5"/>
  <c r="I35" i="5"/>
  <c r="I955" i="5"/>
  <c r="I665" i="5"/>
  <c r="I275" i="5"/>
  <c r="I574" i="5"/>
  <c r="I748" i="5"/>
  <c r="I385" i="5"/>
  <c r="I453" i="5"/>
  <c r="I268" i="5"/>
  <c r="I721" i="5"/>
  <c r="I570" i="5"/>
  <c r="I474" i="5"/>
  <c r="I686" i="5"/>
  <c r="M686" i="5" s="1"/>
  <c r="N686" i="5" s="1"/>
  <c r="I307" i="5"/>
  <c r="I776" i="5"/>
  <c r="I477" i="5"/>
  <c r="I463" i="5"/>
  <c r="I383" i="5"/>
  <c r="I739" i="5"/>
  <c r="I937" i="5"/>
  <c r="I199" i="5"/>
  <c r="I501" i="5"/>
  <c r="I948" i="5"/>
  <c r="I965" i="5"/>
  <c r="I681" i="5"/>
  <c r="I975" i="5"/>
  <c r="I491" i="5"/>
  <c r="I674" i="5"/>
  <c r="I984" i="5"/>
  <c r="I339" i="5"/>
  <c r="I639" i="5"/>
  <c r="I705" i="5"/>
  <c r="I144" i="5"/>
  <c r="I980" i="5"/>
  <c r="I348" i="5"/>
  <c r="I380" i="5"/>
  <c r="I945" i="5"/>
  <c r="M945" i="5" s="1"/>
  <c r="N945" i="5" s="1"/>
  <c r="I405" i="5"/>
  <c r="I216" i="5"/>
  <c r="I38" i="5"/>
  <c r="I936" i="5"/>
  <c r="I334" i="5"/>
  <c r="I315" i="5"/>
  <c r="I749" i="5"/>
  <c r="I876" i="5"/>
  <c r="I472" i="5"/>
  <c r="I257" i="5"/>
  <c r="I202" i="5"/>
  <c r="I234" i="5"/>
  <c r="I547" i="5"/>
  <c r="I97" i="5"/>
  <c r="I613" i="5"/>
  <c r="I186" i="5"/>
  <c r="I420" i="5"/>
  <c r="I50" i="5"/>
  <c r="I259" i="5"/>
  <c r="I578" i="5"/>
  <c r="I167" i="5"/>
  <c r="I521" i="5"/>
  <c r="I283" i="5"/>
  <c r="I728" i="5"/>
  <c r="L728" i="5" s="1"/>
  <c r="I323" i="5"/>
  <c r="I789" i="5"/>
  <c r="I236" i="5"/>
  <c r="I135" i="5"/>
  <c r="I475" i="5"/>
  <c r="I997" i="5"/>
  <c r="I386" i="5"/>
  <c r="I458" i="5"/>
  <c r="I88" i="5"/>
  <c r="I626" i="5"/>
  <c r="I932" i="5"/>
  <c r="I745" i="5"/>
  <c r="I428" i="5"/>
  <c r="I438" i="5"/>
  <c r="I36" i="5"/>
  <c r="I584" i="5"/>
  <c r="I895" i="5"/>
  <c r="I567" i="5"/>
  <c r="I373" i="5"/>
  <c r="I285" i="5"/>
  <c r="I238" i="5"/>
  <c r="I754" i="5"/>
  <c r="I780" i="5"/>
  <c r="I731" i="5"/>
  <c r="L731" i="5" s="1"/>
  <c r="I269" i="5"/>
  <c r="I714" i="5"/>
  <c r="I504" i="5"/>
  <c r="I28" i="5"/>
  <c r="I534" i="5"/>
  <c r="I413" i="5"/>
  <c r="I400" i="5"/>
  <c r="I500" i="5"/>
  <c r="I969" i="5"/>
  <c r="I256" i="5"/>
  <c r="I787" i="5"/>
  <c r="I483" i="5"/>
  <c r="I215" i="5"/>
  <c r="I310" i="5"/>
  <c r="I790" i="5"/>
  <c r="I542" i="5"/>
  <c r="I957" i="5"/>
  <c r="I553" i="5"/>
  <c r="I591" i="5"/>
  <c r="I778" i="5"/>
  <c r="I519" i="5"/>
  <c r="I857" i="5"/>
  <c r="I544" i="5"/>
  <c r="I864" i="5"/>
  <c r="K864" i="5" s="1"/>
  <c r="I241" i="5"/>
  <c r="I508" i="5"/>
  <c r="I51" i="5"/>
  <c r="I3" i="5"/>
  <c r="I424" i="5"/>
  <c r="I60" i="5"/>
  <c r="I886" i="5"/>
  <c r="I449" i="5"/>
  <c r="I881" i="5"/>
  <c r="I839" i="5"/>
  <c r="I192" i="5"/>
  <c r="I592" i="5"/>
  <c r="I9" i="5"/>
  <c r="I805" i="5"/>
  <c r="I190" i="5"/>
  <c r="I850" i="5"/>
  <c r="I16" i="5"/>
  <c r="I352" i="5"/>
  <c r="I195" i="5"/>
  <c r="I422" i="5"/>
  <c r="I922" i="5"/>
  <c r="I32" i="5"/>
  <c r="I708" i="5"/>
  <c r="I80" i="5"/>
  <c r="M80" i="5" s="1"/>
  <c r="N80" i="5" s="1"/>
  <c r="I52" i="5"/>
  <c r="L52" i="5" s="1"/>
  <c r="I589" i="5"/>
  <c r="I788" i="5"/>
  <c r="I502" i="5"/>
  <c r="I939" i="5"/>
  <c r="I833" i="5"/>
  <c r="I407" i="5"/>
  <c r="I284" i="5"/>
  <c r="I757" i="5"/>
  <c r="I384" i="5"/>
  <c r="I23" i="5"/>
  <c r="I537" i="5"/>
  <c r="I855" i="5"/>
  <c r="I85" i="5"/>
  <c r="I87" i="5"/>
  <c r="I223" i="5"/>
  <c r="I905" i="5"/>
  <c r="I170" i="5"/>
  <c r="I484" i="5"/>
  <c r="I325" i="5"/>
  <c r="I37" i="5"/>
  <c r="I606" i="5"/>
  <c r="I466" i="5"/>
  <c r="I127" i="5"/>
  <c r="M127" i="5" s="1"/>
  <c r="N127" i="5" s="1"/>
  <c r="I629" i="5"/>
  <c r="L629" i="5" s="1"/>
  <c r="I820" i="5"/>
  <c r="I8" i="5"/>
  <c r="I861" i="5"/>
  <c r="I822" i="5"/>
  <c r="I457" i="5"/>
  <c r="I698" i="5"/>
  <c r="I609" i="5"/>
  <c r="I374" i="5"/>
  <c r="I74" i="5"/>
  <c r="I203" i="5"/>
  <c r="I782" i="5"/>
  <c r="I304" i="5"/>
  <c r="I497" i="5"/>
  <c r="I180" i="5"/>
  <c r="I442" i="5"/>
  <c r="I62" i="5"/>
  <c r="I774" i="5"/>
  <c r="I189" i="5"/>
  <c r="I435" i="5"/>
  <c r="I713" i="5"/>
  <c r="I316" i="5"/>
  <c r="I47" i="5"/>
  <c r="I94" i="5"/>
  <c r="L94" i="5" s="1"/>
  <c r="I40" i="5"/>
  <c r="I12" i="5"/>
  <c r="I4" i="5"/>
  <c r="I388" i="5"/>
  <c r="I499" i="5"/>
  <c r="I59" i="5"/>
  <c r="I994" i="5"/>
  <c r="I368" i="5"/>
  <c r="I183" i="5"/>
  <c r="I601" i="5"/>
  <c r="I228" i="5"/>
  <c r="I248" i="5"/>
  <c r="I672" i="5"/>
  <c r="I201" i="5"/>
  <c r="I22" i="5"/>
  <c r="I966" i="5"/>
  <c r="I53" i="5"/>
  <c r="I560" i="5"/>
  <c r="I302" i="5"/>
  <c r="I764" i="5"/>
  <c r="I676" i="5"/>
  <c r="I58" i="5"/>
  <c r="I888" i="5"/>
  <c r="I562" i="5"/>
  <c r="J562" i="5" s="1"/>
  <c r="I366" i="5"/>
  <c r="L366" i="5" s="1"/>
  <c r="I446" i="5"/>
  <c r="I943" i="5"/>
  <c r="I960" i="5"/>
  <c r="I482" i="5"/>
  <c r="I513" i="5"/>
  <c r="I264" i="5"/>
  <c r="I242" i="5"/>
  <c r="I300" i="5"/>
  <c r="I455" i="5"/>
  <c r="I379" i="5"/>
  <c r="I546" i="5"/>
  <c r="I282" i="5"/>
  <c r="I828" i="5"/>
  <c r="I243" i="5"/>
  <c r="I509" i="5"/>
  <c r="I395" i="5"/>
  <c r="I808" i="5"/>
  <c r="I555" i="5"/>
  <c r="I699" i="5"/>
  <c r="I528" i="5"/>
  <c r="I39" i="5"/>
  <c r="I147" i="5"/>
  <c r="I678" i="5"/>
  <c r="L678" i="5" s="1"/>
  <c r="I27" i="5"/>
  <c r="J27" i="5" s="1"/>
  <c r="I175" i="5"/>
  <c r="I933" i="5"/>
  <c r="I263" i="5"/>
  <c r="I575" i="5"/>
  <c r="I527" i="5"/>
  <c r="I992" i="5"/>
  <c r="I198" i="5"/>
  <c r="I255" i="5"/>
  <c r="I1000" i="5"/>
  <c r="I262" i="5"/>
  <c r="I834" i="5"/>
  <c r="I454" i="5"/>
  <c r="I237" i="5"/>
  <c r="I116" i="5"/>
  <c r="I503" i="5"/>
  <c r="I488" i="5"/>
  <c r="I465" i="5"/>
  <c r="I341" i="5"/>
  <c r="I24" i="5"/>
  <c r="I208" i="5"/>
  <c r="I701" i="5"/>
  <c r="I648" i="5"/>
  <c r="I844" i="5"/>
  <c r="K844" i="5" s="1"/>
  <c r="I920" i="5"/>
  <c r="K920" i="5" s="1"/>
  <c r="I425" i="5"/>
  <c r="I641" i="5"/>
  <c r="I867" i="5"/>
  <c r="I111" i="5"/>
  <c r="I914" i="5"/>
  <c r="I49" i="5"/>
  <c r="I490" i="5"/>
  <c r="I637" i="5"/>
  <c r="I723" i="5"/>
  <c r="I893" i="5"/>
  <c r="I643" i="5"/>
  <c r="I371" i="5"/>
  <c r="I651" i="5"/>
  <c r="I663" i="5"/>
  <c r="I869" i="5"/>
  <c r="I545" i="5"/>
  <c r="I117" i="5"/>
  <c r="I652" i="5"/>
  <c r="I292" i="5"/>
  <c r="I517" i="5"/>
  <c r="I318" i="5"/>
  <c r="I372" i="5"/>
  <c r="I656" i="5"/>
  <c r="K656" i="5" s="1"/>
  <c r="I48" i="5"/>
  <c r="I370" i="5"/>
  <c r="I718" i="5"/>
  <c r="I794" i="5"/>
  <c r="I599" i="5"/>
  <c r="I439" i="5"/>
  <c r="I76" i="5"/>
  <c r="I970" i="5"/>
  <c r="K970" i="5" s="1"/>
  <c r="I916" i="5"/>
  <c r="I126" i="5"/>
  <c r="I289" i="5"/>
  <c r="I840" i="5"/>
  <c r="I894" i="5"/>
  <c r="I398" i="5"/>
  <c r="I396" i="5"/>
  <c r="I740" i="5"/>
  <c r="I358" i="5"/>
  <c r="I249" i="5"/>
  <c r="I539" i="5"/>
  <c r="I638" i="5"/>
  <c r="I877" i="5"/>
  <c r="I459" i="5"/>
  <c r="I524" i="5"/>
  <c r="I761" i="5"/>
  <c r="L761" i="5" s="1"/>
  <c r="I935" i="5"/>
  <c r="I600" i="5"/>
  <c r="I875" i="5"/>
  <c r="I971" i="5"/>
  <c r="I258" i="5"/>
  <c r="I108" i="5"/>
  <c r="I86" i="5"/>
  <c r="I159" i="5"/>
  <c r="I734" i="5"/>
  <c r="I432" i="5"/>
  <c r="I61" i="5"/>
  <c r="I29" i="5"/>
  <c r="I954" i="5"/>
  <c r="I879" i="5"/>
  <c r="I479" i="5"/>
  <c r="I157" i="5"/>
  <c r="I938" i="5"/>
  <c r="I409" i="5"/>
  <c r="I596" i="5"/>
  <c r="I633" i="5"/>
  <c r="I729" i="5"/>
  <c r="I811" i="5"/>
  <c r="I13" i="5"/>
  <c r="I825" i="5"/>
  <c r="L825" i="5" s="1"/>
  <c r="I988" i="5"/>
  <c r="J988" i="5" s="1"/>
  <c r="I381" i="5"/>
  <c r="I630" i="5"/>
  <c r="I45" i="5"/>
  <c r="I156" i="5"/>
  <c r="I493" i="5"/>
  <c r="I158" i="5"/>
  <c r="I737" i="5"/>
  <c r="I835" i="5"/>
  <c r="I419" i="5"/>
  <c r="I443" i="5"/>
  <c r="I174" i="5"/>
  <c r="I319" i="5"/>
  <c r="I858" i="5"/>
  <c r="I831" i="5"/>
  <c r="I18" i="5"/>
  <c r="I896" i="5"/>
  <c r="I603" i="5"/>
  <c r="I321" i="5"/>
  <c r="I843" i="5"/>
  <c r="I287" i="5"/>
  <c r="I461" i="5"/>
  <c r="I809" i="5"/>
  <c r="I44" i="5"/>
  <c r="L44" i="5" s="1"/>
  <c r="I54" i="5"/>
  <c r="K54" i="5" s="1"/>
  <c r="I624" i="5"/>
  <c r="I813" i="5"/>
  <c r="I947" i="5"/>
  <c r="I645" i="5"/>
  <c r="I26" i="5"/>
  <c r="I100" i="5"/>
  <c r="I707" i="5"/>
  <c r="I614" i="5"/>
  <c r="I391" i="5"/>
  <c r="I841" i="5"/>
  <c r="I644" i="5"/>
  <c r="I522" i="5"/>
  <c r="I561" i="5"/>
  <c r="I695" i="5"/>
  <c r="I387" i="5"/>
  <c r="I824" i="5"/>
  <c r="I826" i="5"/>
  <c r="I133" i="5"/>
  <c r="I200" i="5"/>
  <c r="I852" i="5"/>
  <c r="I799" i="5"/>
  <c r="I750" i="5"/>
  <c r="I540" i="5"/>
  <c r="L540" i="5" s="1"/>
  <c r="I448" i="5"/>
  <c r="M448" i="5" s="1"/>
  <c r="N448" i="5" s="1"/>
  <c r="I549" i="5"/>
  <c r="I819" i="5"/>
  <c r="I929" i="5"/>
  <c r="I431" i="5"/>
  <c r="I142" i="5"/>
  <c r="I468" i="5"/>
  <c r="I15" i="5"/>
  <c r="I294" i="5"/>
  <c r="I680" i="5"/>
  <c r="I586" i="5"/>
  <c r="I73" i="5"/>
  <c r="I659" i="5"/>
  <c r="I972" i="5"/>
  <c r="I598" i="5"/>
  <c r="I153" i="5"/>
  <c r="I173" i="5"/>
  <c r="I467" i="5"/>
  <c r="I139" i="5"/>
  <c r="I773" i="5"/>
  <c r="I481" i="5"/>
  <c r="I110" i="5"/>
  <c r="I408" i="5"/>
  <c r="I767" i="5"/>
  <c r="L767" i="5" s="1"/>
  <c r="I668" i="5"/>
  <c r="I113" i="5"/>
  <c r="I741" i="5"/>
  <c r="I344" i="5"/>
  <c r="I623" i="5"/>
  <c r="I903" i="5"/>
  <c r="I823" i="5"/>
  <c r="I511" i="5"/>
  <c r="I296" i="5"/>
  <c r="I191" i="5"/>
  <c r="I260" i="5"/>
  <c r="I188" i="5"/>
  <c r="I565" i="5"/>
  <c r="I338" i="5"/>
  <c r="I11" i="5"/>
  <c r="I245" i="5"/>
  <c r="I118" i="5"/>
  <c r="I320" i="5"/>
  <c r="I541" i="5"/>
  <c r="I115" i="5"/>
  <c r="I766" i="5"/>
  <c r="I597" i="5"/>
  <c r="I793" i="5"/>
  <c r="I361" i="5"/>
  <c r="I851" i="5"/>
  <c r="K851" i="5" s="1"/>
  <c r="I34" i="5"/>
  <c r="I777" i="5"/>
  <c r="I172" i="5"/>
  <c r="I617" i="5"/>
  <c r="I732" i="5"/>
  <c r="I765" i="5"/>
  <c r="I755" i="5"/>
  <c r="I104" i="5"/>
  <c r="I566" i="5"/>
  <c r="I250" i="5"/>
  <c r="I389" i="5"/>
  <c r="I128" i="5"/>
  <c r="I580" i="5"/>
  <c r="I784" i="5"/>
  <c r="I267" i="5"/>
  <c r="I404" i="5"/>
  <c r="I987" i="5"/>
  <c r="I332" i="5"/>
  <c r="I56" i="5"/>
  <c r="I724" i="5"/>
  <c r="I959" i="5"/>
  <c r="L959" i="5" s="1"/>
  <c r="I207" i="5"/>
  <c r="M207" i="5" s="1"/>
  <c r="N207" i="5" s="1"/>
  <c r="I349" i="5"/>
  <c r="J349" i="5" s="1"/>
  <c r="I145" i="5"/>
  <c r="L145" i="5" s="1"/>
  <c r="I985" i="5"/>
  <c r="I286" i="5"/>
  <c r="I112" i="5"/>
  <c r="I279" i="5"/>
  <c r="I687" i="5"/>
  <c r="J687" i="5" s="1"/>
  <c r="I297" i="5"/>
  <c r="I619" i="5"/>
  <c r="I963" i="5"/>
  <c r="I197" i="5"/>
  <c r="I353" i="5"/>
  <c r="I184" i="5"/>
  <c r="I558" i="5"/>
  <c r="I496" i="5"/>
  <c r="M496" i="5" s="1"/>
  <c r="N496" i="5" s="1"/>
  <c r="I982" i="5"/>
  <c r="I55" i="5"/>
  <c r="I690" i="5"/>
  <c r="I873" i="5"/>
  <c r="I217" i="5"/>
  <c r="I650" i="5"/>
  <c r="I634" i="5"/>
  <c r="I783" i="5"/>
  <c r="I744" i="5"/>
  <c r="K744" i="5" s="1"/>
  <c r="I660" i="5"/>
  <c r="K660" i="5" s="1"/>
  <c r="I646" i="5"/>
  <c r="J646" i="5" s="1"/>
  <c r="I131" i="5"/>
  <c r="J131" i="5" s="1"/>
  <c r="I694" i="5"/>
  <c r="I616" i="5"/>
  <c r="I414" i="5"/>
  <c r="I326" i="5"/>
  <c r="I736" i="5"/>
  <c r="I692" i="5"/>
  <c r="I604" i="5"/>
  <c r="I845" i="5"/>
  <c r="K845" i="5" s="1"/>
  <c r="I973" i="5"/>
  <c r="I759" i="5"/>
  <c r="I91" i="5"/>
  <c r="I67" i="5"/>
  <c r="J67" i="5" s="1"/>
  <c r="I354" i="5"/>
  <c r="I696" i="5"/>
  <c r="I810" i="5"/>
  <c r="I700" i="5"/>
  <c r="K700" i="5" s="1"/>
  <c r="I846" i="5"/>
  <c r="I829" i="5"/>
  <c r="I860" i="5"/>
  <c r="I494" i="5"/>
  <c r="I781" i="5"/>
  <c r="K781" i="5" s="1"/>
  <c r="I702" i="5"/>
  <c r="L702" i="5" s="1"/>
  <c r="I529" i="5"/>
  <c r="I785" i="5"/>
  <c r="L785" i="5" s="1"/>
  <c r="I770" i="5"/>
  <c r="I445" i="5"/>
  <c r="I336" i="5"/>
  <c r="I239" i="5"/>
  <c r="J239" i="5" s="1"/>
  <c r="I568" i="5"/>
  <c r="I514" i="5"/>
  <c r="I423" i="5"/>
  <c r="I397" i="5"/>
  <c r="J397" i="5" s="1"/>
  <c r="I311" i="5"/>
  <c r="I253" i="5"/>
  <c r="I410" i="5"/>
  <c r="I786" i="5"/>
  <c r="I635" i="5"/>
  <c r="I206" i="5"/>
  <c r="I168" i="5"/>
  <c r="I462" i="5"/>
  <c r="I312" i="5"/>
  <c r="I261" i="5"/>
  <c r="I121" i="5"/>
  <c r="I149" i="5"/>
  <c r="M149" i="5" s="1"/>
  <c r="N149" i="5" s="1"/>
  <c r="I976" i="5"/>
  <c r="L976" i="5" s="1"/>
  <c r="I666" i="5"/>
  <c r="J666" i="5" s="1"/>
  <c r="I587" i="5"/>
  <c r="I520" i="5"/>
  <c r="M520" i="5" s="1"/>
  <c r="N520" i="5" s="1"/>
  <c r="I293" i="5"/>
  <c r="I308" i="5"/>
  <c r="I983" i="5"/>
  <c r="I863" i="5"/>
  <c r="I211" i="5"/>
  <c r="I550" i="5"/>
  <c r="I996" i="5"/>
  <c r="I625" i="5"/>
  <c r="M625" i="5" s="1"/>
  <c r="N625" i="5" s="1"/>
  <c r="I934" i="5"/>
  <c r="J934" i="5" s="1"/>
  <c r="I164" i="5"/>
  <c r="I143" i="5"/>
  <c r="I246" i="5"/>
  <c r="M246" i="5" s="1"/>
  <c r="N246" i="5" s="1"/>
  <c r="I792" i="5"/>
  <c r="I854" i="5"/>
  <c r="I450" i="5"/>
  <c r="I594" i="5"/>
  <c r="I753" i="5"/>
  <c r="I862" i="5"/>
  <c r="I912" i="5"/>
  <c r="I226" i="5"/>
  <c r="I968" i="5"/>
  <c r="L968" i="5" s="1"/>
  <c r="I84" i="5"/>
  <c r="K84" i="5" s="1"/>
  <c r="I557" i="5"/>
  <c r="L557" i="5" s="1"/>
  <c r="I775" i="5"/>
  <c r="M775" i="5" s="1"/>
  <c r="N775" i="5" s="1"/>
  <c r="I944" i="5"/>
  <c r="I977" i="5"/>
  <c r="I999" i="5"/>
  <c r="I317" i="5"/>
  <c r="L317" i="5" s="1"/>
  <c r="I747" i="5"/>
  <c r="I148" i="5"/>
  <c r="I193" i="5"/>
  <c r="I232" i="5"/>
  <c r="L232" i="5" s="1"/>
  <c r="I427" i="5"/>
  <c r="L427" i="5" s="1"/>
  <c r="I712" i="5"/>
  <c r="I816" i="5"/>
  <c r="I330" i="5"/>
  <c r="I986" i="5"/>
  <c r="I563" i="5"/>
  <c r="I693" i="5"/>
  <c r="I17" i="5"/>
  <c r="M17" i="5" s="1"/>
  <c r="N17" i="5" s="1"/>
  <c r="I909" i="5"/>
  <c r="I772" i="5"/>
  <c r="I444" i="5"/>
  <c r="I512" i="5"/>
  <c r="I615" i="5"/>
  <c r="M615" i="5" s="1"/>
  <c r="N615" i="5" s="1"/>
  <c r="I478" i="5"/>
  <c r="M478" i="5" s="1"/>
  <c r="N478" i="5" s="1"/>
  <c r="I356" i="5"/>
  <c r="K356" i="5" s="1"/>
  <c r="I837" i="5"/>
  <c r="I552" i="5"/>
  <c r="I43" i="5"/>
  <c r="I375" i="5"/>
  <c r="I99" i="5"/>
  <c r="L99" i="5" s="1"/>
  <c r="I21" i="5"/>
  <c r="I607" i="5"/>
  <c r="I430" i="5"/>
  <c r="I252" i="5"/>
  <c r="J252" i="5" s="1"/>
  <c r="I848" i="5"/>
  <c r="M848" i="5" s="1"/>
  <c r="N848" i="5" s="1"/>
  <c r="I827" i="5"/>
  <c r="I647" i="5"/>
  <c r="I510" i="5"/>
  <c r="L510" i="5" s="1"/>
  <c r="I662" i="5"/>
  <c r="I411" i="5"/>
  <c r="I169" i="5"/>
  <c r="I536" i="5"/>
  <c r="I402" i="5"/>
  <c r="I274" i="5"/>
  <c r="I57" i="5"/>
  <c r="I590" i="5"/>
  <c r="J590" i="5" s="1"/>
  <c r="I64" i="5"/>
  <c r="L64" i="5" s="1"/>
  <c r="I717" i="5"/>
  <c r="L717" i="5" s="1"/>
  <c r="I581" i="5"/>
  <c r="K581" i="5" s="1"/>
  <c r="I451" i="5"/>
  <c r="J451" i="5" s="1"/>
  <c r="I675" i="5"/>
  <c r="I830" i="5"/>
  <c r="I109" i="5"/>
  <c r="I489" i="5"/>
  <c r="I915" i="5"/>
  <c r="I244" i="5"/>
  <c r="I518" i="5"/>
  <c r="I618" i="5"/>
  <c r="L618" i="5" s="1"/>
  <c r="I278" i="5"/>
  <c r="L278" i="5" s="1"/>
  <c r="I804" i="5"/>
  <c r="I974" i="5"/>
  <c r="I178" i="5"/>
  <c r="I962" i="5"/>
  <c r="I530" i="5"/>
  <c r="I577" i="5"/>
  <c r="I492" i="5"/>
  <c r="M492" i="5" s="1"/>
  <c r="N492" i="5" s="1"/>
  <c r="I393" i="5"/>
  <c r="I746" i="5"/>
  <c r="I364" i="5"/>
  <c r="I515" i="5"/>
  <c r="K515" i="5" s="1"/>
  <c r="I329" i="5"/>
  <c r="L329" i="5" s="1"/>
  <c r="I130" i="5"/>
  <c r="K130" i="5" s="1"/>
  <c r="I187" i="5"/>
  <c r="K187" i="5" s="1"/>
  <c r="I683" i="5"/>
  <c r="I611" i="5"/>
  <c r="I105" i="5"/>
  <c r="I559" i="5"/>
  <c r="I33" i="5"/>
  <c r="I940" i="5"/>
  <c r="I119" i="5"/>
  <c r="I880" i="5"/>
  <c r="I92" i="5"/>
  <c r="L92" i="5" s="1"/>
  <c r="I240" i="5"/>
  <c r="I487" i="5"/>
  <c r="I19" i="5"/>
  <c r="I946" i="5"/>
  <c r="I908" i="5"/>
  <c r="L908" i="5" s="1"/>
  <c r="I928" i="5"/>
  <c r="I107" i="5"/>
  <c r="I588" i="5"/>
  <c r="J588" i="5" s="1"/>
  <c r="I433" i="5"/>
  <c r="I220" i="5"/>
  <c r="I818" i="5"/>
  <c r="I585" i="5"/>
  <c r="I290" i="5"/>
  <c r="I337" i="5"/>
  <c r="M337" i="5" s="1"/>
  <c r="N337" i="5" s="1"/>
  <c r="I689" i="5"/>
  <c r="K689" i="5" s="1"/>
  <c r="I640" i="5"/>
  <c r="M640" i="5" s="1"/>
  <c r="N640" i="5" s="1"/>
  <c r="I682" i="5"/>
  <c r="I911" i="5"/>
  <c r="I129" i="5"/>
  <c r="I981" i="5"/>
  <c r="I704" i="5"/>
  <c r="I649" i="5"/>
  <c r="I621" i="5"/>
  <c r="I554" i="5"/>
  <c r="I152" i="5"/>
  <c r="I627" i="5"/>
  <c r="I401" i="5"/>
  <c r="I434" i="5"/>
  <c r="I951" i="5"/>
  <c r="I571" i="5"/>
  <c r="I817" i="5"/>
  <c r="I658" i="5"/>
  <c r="L658" i="5" s="1"/>
  <c r="I79" i="5"/>
  <c r="I10" i="5"/>
  <c r="I768" i="5"/>
  <c r="I83" i="5"/>
  <c r="I583" i="5"/>
  <c r="I265" i="5"/>
  <c r="I303" i="5"/>
  <c r="M303" i="5" s="1"/>
  <c r="N303" i="5" s="1"/>
  <c r="I495" i="5"/>
  <c r="L495" i="5" s="1"/>
  <c r="I859" i="5"/>
  <c r="I593" i="5"/>
  <c r="I874" i="5"/>
  <c r="I247" i="5"/>
  <c r="L247" i="5" s="1"/>
  <c r="I120" i="5"/>
  <c r="I469" i="5"/>
  <c r="I42" i="5"/>
  <c r="I572" i="5"/>
  <c r="I473" i="5"/>
  <c r="J473" i="5" s="1"/>
  <c r="I892" i="5"/>
  <c r="I608" i="5"/>
  <c r="I440" i="5"/>
  <c r="M440" i="5" s="1"/>
  <c r="N440" i="5" s="1"/>
  <c r="I367" i="5"/>
  <c r="I856" i="5"/>
  <c r="I710" i="5"/>
  <c r="I769" i="5"/>
  <c r="J769" i="5" s="1"/>
  <c r="I883" i="5"/>
  <c r="I622" i="5"/>
  <c r="I90" i="5"/>
  <c r="I251" i="5"/>
  <c r="I151" i="5"/>
  <c r="I470" i="5"/>
  <c r="M470" i="5" s="1"/>
  <c r="N470" i="5" s="1"/>
  <c r="I533" i="5"/>
  <c r="L533" i="5" s="1"/>
  <c r="I210" i="5"/>
  <c r="L210" i="5" s="1"/>
  <c r="I298" i="5"/>
  <c r="I730" i="5"/>
  <c r="I991" i="5"/>
  <c r="I357" i="5"/>
  <c r="I270" i="5"/>
  <c r="I452" i="5"/>
  <c r="I95" i="5"/>
  <c r="I798" i="5"/>
  <c r="I685" i="5"/>
  <c r="I219" i="5"/>
  <c r="I69" i="5"/>
  <c r="I910" i="5"/>
  <c r="K910" i="5" s="1"/>
  <c r="I964" i="5"/>
  <c r="K964" i="5" s="1"/>
  <c r="I551" i="5"/>
  <c r="I416" i="5"/>
  <c r="I229" i="5"/>
  <c r="I328" i="5"/>
  <c r="I392" i="5"/>
  <c r="I136" i="5"/>
  <c r="I41" i="5"/>
  <c r="I162" i="5"/>
  <c r="I667" i="5"/>
  <c r="L667" i="5" s="1"/>
  <c r="I417" i="5"/>
  <c r="M900" i="5"/>
  <c r="N900" i="5" s="1"/>
  <c r="K720" i="5"/>
  <c r="L525" i="5"/>
  <c r="M885" i="5"/>
  <c r="N885" i="5" s="1"/>
  <c r="M941" i="5"/>
  <c r="N941" i="5" s="1"/>
  <c r="K913" i="5"/>
  <c r="J476" i="5"/>
  <c r="J716" i="5"/>
  <c r="K179" i="5"/>
  <c r="L868" i="5"/>
  <c r="L878" i="5"/>
  <c r="J884" i="5"/>
  <c r="K507" i="5"/>
  <c r="K69" i="5"/>
  <c r="M219" i="5"/>
  <c r="N219" i="5" s="1"/>
  <c r="L219" i="5"/>
  <c r="J685" i="5"/>
  <c r="M608" i="5"/>
  <c r="N608" i="5" s="1"/>
  <c r="L608" i="5"/>
  <c r="J608" i="5"/>
  <c r="M892" i="5"/>
  <c r="N892" i="5" s="1"/>
  <c r="L892" i="5"/>
  <c r="K892" i="5"/>
  <c r="J874" i="5"/>
  <c r="L583" i="5"/>
  <c r="J658" i="5"/>
  <c r="K401" i="5"/>
  <c r="L401" i="5"/>
  <c r="M627" i="5"/>
  <c r="N627" i="5" s="1"/>
  <c r="L627" i="5"/>
  <c r="K627" i="5"/>
  <c r="J627" i="5"/>
  <c r="L640" i="5"/>
  <c r="J946" i="5"/>
  <c r="K19" i="5"/>
  <c r="L487" i="5"/>
  <c r="J487" i="5"/>
  <c r="K487" i="5"/>
  <c r="L33" i="5"/>
  <c r="M329" i="5"/>
  <c r="N329" i="5" s="1"/>
  <c r="L515" i="5"/>
  <c r="L974" i="5"/>
  <c r="M804" i="5"/>
  <c r="N804" i="5" s="1"/>
  <c r="L804" i="5"/>
  <c r="K804" i="5"/>
  <c r="J804" i="5"/>
  <c r="M278" i="5"/>
  <c r="N278" i="5" s="1"/>
  <c r="M618" i="5"/>
  <c r="N618" i="5" s="1"/>
  <c r="M64" i="5"/>
  <c r="N64" i="5" s="1"/>
  <c r="K590" i="5"/>
  <c r="M647" i="5"/>
  <c r="N647" i="5" s="1"/>
  <c r="L647" i="5"/>
  <c r="K647" i="5"/>
  <c r="J647" i="5"/>
  <c r="M827" i="5"/>
  <c r="N827" i="5" s="1"/>
  <c r="L827" i="5"/>
  <c r="K827" i="5"/>
  <c r="J827" i="5"/>
  <c r="K848" i="5"/>
  <c r="M99" i="5"/>
  <c r="N99" i="5" s="1"/>
  <c r="J99" i="5"/>
  <c r="L615" i="5"/>
  <c r="J615" i="5"/>
  <c r="J512" i="5"/>
  <c r="L816" i="5"/>
  <c r="K816" i="5"/>
  <c r="J816" i="5"/>
  <c r="M712" i="5"/>
  <c r="N712" i="5" s="1"/>
  <c r="L712" i="5"/>
  <c r="K712" i="5"/>
  <c r="J712" i="5"/>
  <c r="M427" i="5"/>
  <c r="N427" i="5" s="1"/>
  <c r="K427" i="5"/>
  <c r="J232" i="5"/>
  <c r="K317" i="5"/>
  <c r="J968" i="5"/>
  <c r="K226" i="5"/>
  <c r="K246" i="5"/>
  <c r="L143" i="5"/>
  <c r="K164" i="5"/>
  <c r="J164" i="5"/>
  <c r="K934" i="5"/>
  <c r="L934" i="5"/>
  <c r="L625" i="5"/>
  <c r="K625" i="5"/>
  <c r="M293" i="5"/>
  <c r="N293" i="5" s="1"/>
  <c r="J520" i="5"/>
  <c r="K976" i="5"/>
  <c r="J976" i="5"/>
  <c r="K149" i="5"/>
  <c r="L410" i="5"/>
  <c r="K410" i="5"/>
  <c r="J410" i="5"/>
  <c r="L253" i="5"/>
  <c r="K253" i="5"/>
  <c r="M311" i="5"/>
  <c r="N311" i="5" s="1"/>
  <c r="L311" i="5"/>
  <c r="K239" i="5"/>
  <c r="J785" i="5"/>
  <c r="M781" i="5"/>
  <c r="N781" i="5" s="1"/>
  <c r="L781" i="5"/>
  <c r="M494" i="5"/>
  <c r="N494" i="5" s="1"/>
  <c r="J700" i="5"/>
  <c r="L67" i="5"/>
  <c r="M759" i="5"/>
  <c r="N759" i="5" s="1"/>
  <c r="L759" i="5"/>
  <c r="K759" i="5"/>
  <c r="M973" i="5"/>
  <c r="N973" i="5" s="1"/>
  <c r="L973" i="5"/>
  <c r="K973" i="5"/>
  <c r="J973" i="5"/>
  <c r="M845" i="5"/>
  <c r="N845" i="5" s="1"/>
  <c r="L845" i="5"/>
  <c r="K694" i="5"/>
  <c r="M131" i="5"/>
  <c r="N131" i="5" s="1"/>
  <c r="K131" i="5"/>
  <c r="L131" i="5"/>
  <c r="L744" i="5"/>
  <c r="J873" i="5"/>
  <c r="L873" i="5"/>
  <c r="K496" i="5"/>
  <c r="L558" i="5"/>
  <c r="K558" i="5"/>
  <c r="J558" i="5"/>
  <c r="M184" i="5"/>
  <c r="N184" i="5" s="1"/>
  <c r="L184" i="5"/>
  <c r="K184" i="5"/>
  <c r="J184" i="5"/>
  <c r="M353" i="5"/>
  <c r="N353" i="5" s="1"/>
  <c r="L353" i="5"/>
  <c r="J353" i="5"/>
  <c r="M197" i="5"/>
  <c r="N197" i="5" s="1"/>
  <c r="L197" i="5"/>
  <c r="K197" i="5"/>
  <c r="M985" i="5"/>
  <c r="N985" i="5" s="1"/>
  <c r="L985" i="5"/>
  <c r="K985" i="5"/>
  <c r="L207" i="5"/>
  <c r="J207" i="5"/>
  <c r="M959" i="5"/>
  <c r="N959" i="5" s="1"/>
  <c r="L987" i="5"/>
  <c r="M580" i="5"/>
  <c r="N580" i="5" s="1"/>
  <c r="L128" i="5"/>
  <c r="K128" i="5"/>
  <c r="J128" i="5"/>
  <c r="M389" i="5"/>
  <c r="N389" i="5" s="1"/>
  <c r="L389" i="5"/>
  <c r="K389" i="5"/>
  <c r="J389" i="5"/>
  <c r="M250" i="5"/>
  <c r="N250" i="5" s="1"/>
  <c r="L250" i="5"/>
  <c r="J250" i="5"/>
  <c r="M566" i="5"/>
  <c r="N566" i="5" s="1"/>
  <c r="L566" i="5"/>
  <c r="K566" i="5"/>
  <c r="J566" i="5"/>
  <c r="L732" i="5"/>
  <c r="M34" i="5"/>
  <c r="N34" i="5" s="1"/>
  <c r="L34" i="5"/>
  <c r="J34" i="5"/>
  <c r="J597" i="5"/>
  <c r="L597" i="5"/>
  <c r="M320" i="5"/>
  <c r="N320" i="5" s="1"/>
  <c r="L320" i="5"/>
  <c r="J320" i="5"/>
  <c r="L565" i="5"/>
  <c r="L188" i="5"/>
  <c r="K188" i="5"/>
  <c r="J188" i="5"/>
  <c r="M191" i="5"/>
  <c r="N191" i="5" s="1"/>
  <c r="L191" i="5"/>
  <c r="M903" i="5"/>
  <c r="N903" i="5" s="1"/>
  <c r="L903" i="5"/>
  <c r="J903" i="5"/>
  <c r="J113" i="5"/>
  <c r="K113" i="5"/>
  <c r="J110" i="5"/>
  <c r="L110" i="5"/>
  <c r="M972" i="5"/>
  <c r="N972" i="5" s="1"/>
  <c r="L972" i="5"/>
  <c r="J972" i="5"/>
  <c r="K972" i="5"/>
  <c r="K659" i="5"/>
  <c r="M659" i="5"/>
  <c r="N659" i="5" s="1"/>
  <c r="L73" i="5"/>
  <c r="K586" i="5"/>
  <c r="J586" i="5"/>
  <c r="L586" i="5"/>
  <c r="J680" i="5"/>
  <c r="L680" i="5"/>
  <c r="M142" i="5"/>
  <c r="N142" i="5" s="1"/>
  <c r="K142" i="5"/>
  <c r="L142" i="5"/>
  <c r="M549" i="5"/>
  <c r="N549" i="5" s="1"/>
  <c r="K549" i="5"/>
  <c r="K750" i="5"/>
  <c r="J750" i="5"/>
  <c r="L750" i="5"/>
  <c r="J799" i="5"/>
  <c r="L799" i="5"/>
  <c r="M826" i="5"/>
  <c r="N826" i="5" s="1"/>
  <c r="K826" i="5"/>
  <c r="J826" i="5"/>
  <c r="L826" i="5"/>
  <c r="M561" i="5"/>
  <c r="N561" i="5" s="1"/>
  <c r="K561" i="5"/>
  <c r="J561" i="5"/>
  <c r="M522" i="5"/>
  <c r="N522" i="5" s="1"/>
  <c r="L522" i="5"/>
  <c r="J522" i="5"/>
  <c r="K522" i="5"/>
  <c r="L644" i="5"/>
  <c r="K644" i="5"/>
  <c r="J644" i="5"/>
  <c r="K841" i="5"/>
  <c r="J841" i="5"/>
  <c r="L841" i="5"/>
  <c r="J391" i="5"/>
  <c r="M26" i="5"/>
  <c r="N26" i="5" s="1"/>
  <c r="K26" i="5"/>
  <c r="J26" i="5"/>
  <c r="L26" i="5"/>
  <c r="J813" i="5"/>
  <c r="M624" i="5"/>
  <c r="N624" i="5" s="1"/>
  <c r="J624" i="5"/>
  <c r="J809" i="5"/>
  <c r="L809" i="5"/>
  <c r="L603" i="5"/>
  <c r="K603" i="5"/>
  <c r="K858" i="5"/>
  <c r="L858" i="5"/>
  <c r="J319" i="5"/>
  <c r="L319" i="5"/>
  <c r="L174" i="5"/>
  <c r="L443" i="5"/>
  <c r="K443" i="5"/>
  <c r="J443" i="5"/>
  <c r="M419" i="5"/>
  <c r="N419" i="5" s="1"/>
  <c r="K419" i="5"/>
  <c r="J419" i="5"/>
  <c r="L419" i="5"/>
  <c r="M493" i="5"/>
  <c r="N493" i="5" s="1"/>
  <c r="L493" i="5"/>
  <c r="K493" i="5"/>
  <c r="J493" i="5"/>
  <c r="K381" i="5"/>
  <c r="L381" i="5"/>
  <c r="L13" i="5"/>
  <c r="K13" i="5"/>
  <c r="J13" i="5"/>
  <c r="M811" i="5"/>
  <c r="N811" i="5" s="1"/>
  <c r="L811" i="5"/>
  <c r="K811" i="5"/>
  <c r="J811" i="5"/>
  <c r="M409" i="5"/>
  <c r="N409" i="5" s="1"/>
  <c r="L409" i="5"/>
  <c r="K409" i="5"/>
  <c r="J409" i="5"/>
  <c r="K879" i="5"/>
  <c r="J879" i="5"/>
  <c r="L879" i="5"/>
  <c r="L61" i="5"/>
  <c r="K61" i="5"/>
  <c r="J61" i="5"/>
  <c r="M432" i="5"/>
  <c r="N432" i="5" s="1"/>
  <c r="L432" i="5"/>
  <c r="K432" i="5"/>
  <c r="J432" i="5"/>
  <c r="J600" i="5"/>
  <c r="L600" i="5"/>
  <c r="L524" i="5"/>
  <c r="K524" i="5"/>
  <c r="J524" i="5"/>
  <c r="K459" i="5"/>
  <c r="J459" i="5"/>
  <c r="M249" i="5"/>
  <c r="N249" i="5" s="1"/>
  <c r="L249" i="5"/>
  <c r="J398" i="5"/>
  <c r="L398" i="5"/>
  <c r="L840" i="5"/>
  <c r="K840" i="5"/>
  <c r="J840" i="5"/>
  <c r="M289" i="5"/>
  <c r="N289" i="5" s="1"/>
  <c r="L289" i="5"/>
  <c r="K289" i="5"/>
  <c r="J289" i="5"/>
  <c r="L126" i="5"/>
  <c r="K126" i="5"/>
  <c r="J126" i="5"/>
  <c r="L439" i="5"/>
  <c r="J439" i="5"/>
  <c r="K439" i="5"/>
  <c r="M370" i="5"/>
  <c r="N370" i="5" s="1"/>
  <c r="K370" i="5"/>
  <c r="J370" i="5"/>
  <c r="L370" i="5"/>
  <c r="L48" i="5"/>
  <c r="M372" i="5"/>
  <c r="N372" i="5" s="1"/>
  <c r="L372" i="5"/>
  <c r="K372" i="5"/>
  <c r="J372" i="5"/>
  <c r="K318" i="5"/>
  <c r="K117" i="5"/>
  <c r="M651" i="5"/>
  <c r="N651" i="5" s="1"/>
  <c r="K651" i="5"/>
  <c r="J651" i="5"/>
  <c r="L651" i="5"/>
  <c r="L371" i="5"/>
  <c r="K371" i="5"/>
  <c r="K643" i="5"/>
  <c r="J643" i="5"/>
  <c r="L643" i="5"/>
  <c r="J893" i="5"/>
  <c r="L893" i="5"/>
  <c r="L723" i="5"/>
  <c r="M914" i="5"/>
  <c r="N914" i="5" s="1"/>
  <c r="L914" i="5"/>
  <c r="K914" i="5"/>
  <c r="M641" i="5"/>
  <c r="N641" i="5" s="1"/>
  <c r="J648" i="5"/>
  <c r="L648" i="5"/>
  <c r="L701" i="5"/>
  <c r="M465" i="5"/>
  <c r="N465" i="5" s="1"/>
  <c r="L465" i="5"/>
  <c r="K465" i="5"/>
  <c r="M237" i="5"/>
  <c r="N237" i="5" s="1"/>
  <c r="L454" i="5"/>
  <c r="K454" i="5"/>
  <c r="J454" i="5"/>
  <c r="K834" i="5"/>
  <c r="J834" i="5"/>
  <c r="L834" i="5"/>
  <c r="J262" i="5"/>
  <c r="L262" i="5"/>
  <c r="M527" i="5"/>
  <c r="N527" i="5" s="1"/>
  <c r="L527" i="5"/>
  <c r="K527" i="5"/>
  <c r="K175" i="5"/>
  <c r="K147" i="5"/>
  <c r="K39" i="5"/>
  <c r="J828" i="5"/>
  <c r="L828" i="5"/>
  <c r="L282" i="5"/>
  <c r="L546" i="5"/>
  <c r="K546" i="5"/>
  <c r="M379" i="5"/>
  <c r="N379" i="5" s="1"/>
  <c r="L379" i="5"/>
  <c r="K379" i="5"/>
  <c r="J379" i="5"/>
  <c r="L455" i="5"/>
  <c r="K455" i="5"/>
  <c r="J455" i="5"/>
  <c r="M513" i="5"/>
  <c r="N513" i="5" s="1"/>
  <c r="L513" i="5"/>
  <c r="K513" i="5"/>
  <c r="J513" i="5"/>
  <c r="J446" i="5"/>
  <c r="L446" i="5"/>
  <c r="L562" i="5"/>
  <c r="M888" i="5"/>
  <c r="N888" i="5" s="1"/>
  <c r="L888" i="5"/>
  <c r="K888" i="5"/>
  <c r="J888" i="5"/>
  <c r="L58" i="5"/>
  <c r="K58" i="5"/>
  <c r="J58" i="5"/>
  <c r="M560" i="5"/>
  <c r="N560" i="5" s="1"/>
  <c r="L560" i="5"/>
  <c r="K560" i="5"/>
  <c r="J560" i="5"/>
  <c r="J201" i="5"/>
  <c r="L201" i="5"/>
  <c r="L672" i="5"/>
  <c r="L248" i="5"/>
  <c r="K248" i="5"/>
  <c r="J248" i="5"/>
  <c r="M228" i="5"/>
  <c r="N228" i="5" s="1"/>
  <c r="L228" i="5"/>
  <c r="K228" i="5"/>
  <c r="J228" i="5"/>
  <c r="L601" i="5"/>
  <c r="K601" i="5"/>
  <c r="J601" i="5"/>
  <c r="M59" i="5"/>
  <c r="N59" i="5" s="1"/>
  <c r="L59" i="5"/>
  <c r="K59" i="5"/>
  <c r="J59" i="5"/>
  <c r="J12" i="5"/>
  <c r="L40" i="5"/>
  <c r="L47" i="5"/>
  <c r="K47" i="5"/>
  <c r="J47" i="5"/>
  <c r="K316" i="5"/>
  <c r="J316" i="5"/>
  <c r="L316" i="5"/>
  <c r="M774" i="5"/>
  <c r="N774" i="5" s="1"/>
  <c r="L774" i="5"/>
  <c r="K774" i="5"/>
  <c r="J774" i="5"/>
  <c r="J497" i="5"/>
  <c r="L304" i="5"/>
  <c r="K304" i="5"/>
  <c r="M782" i="5"/>
  <c r="N782" i="5" s="1"/>
  <c r="L782" i="5"/>
  <c r="K782" i="5"/>
  <c r="J782" i="5"/>
  <c r="L203" i="5"/>
  <c r="K203" i="5"/>
  <c r="J203" i="5"/>
  <c r="K74" i="5"/>
  <c r="J74" i="5"/>
  <c r="L74" i="5"/>
  <c r="M457" i="5"/>
  <c r="N457" i="5" s="1"/>
  <c r="L457" i="5"/>
  <c r="K457" i="5"/>
  <c r="J457" i="5"/>
  <c r="K8" i="5"/>
  <c r="L820" i="5"/>
  <c r="J820" i="5"/>
  <c r="L466" i="5"/>
  <c r="K466" i="5"/>
  <c r="J466" i="5"/>
  <c r="M466" i="5"/>
  <c r="N466" i="5" s="1"/>
  <c r="K606" i="5"/>
  <c r="J606" i="5"/>
  <c r="L606" i="5"/>
  <c r="M170" i="5"/>
  <c r="N170" i="5" s="1"/>
  <c r="L170" i="5"/>
  <c r="K170" i="5"/>
  <c r="J170" i="5"/>
  <c r="J85" i="5"/>
  <c r="L855" i="5"/>
  <c r="K855" i="5"/>
  <c r="J855" i="5"/>
  <c r="M537" i="5"/>
  <c r="N537" i="5" s="1"/>
  <c r="L537" i="5"/>
  <c r="K537" i="5"/>
  <c r="J537" i="5"/>
  <c r="L23" i="5"/>
  <c r="K23" i="5"/>
  <c r="J23" i="5"/>
  <c r="M23" i="5"/>
  <c r="N23" i="5" s="1"/>
  <c r="M833" i="5"/>
  <c r="N833" i="5" s="1"/>
  <c r="L833" i="5"/>
  <c r="K833" i="5"/>
  <c r="J833" i="5"/>
  <c r="J589" i="5"/>
  <c r="K52" i="5"/>
  <c r="M708" i="5"/>
  <c r="N708" i="5" s="1"/>
  <c r="L708" i="5"/>
  <c r="K708" i="5"/>
  <c r="J708" i="5"/>
  <c r="K32" i="5"/>
  <c r="L32" i="5"/>
  <c r="M352" i="5"/>
  <c r="N352" i="5" s="1"/>
  <c r="L352" i="5"/>
  <c r="K352" i="5"/>
  <c r="J352" i="5"/>
  <c r="K805" i="5"/>
  <c r="L9" i="5"/>
  <c r="K9" i="5"/>
  <c r="J9" i="5"/>
  <c r="M592" i="5"/>
  <c r="N592" i="5" s="1"/>
  <c r="L592" i="5"/>
  <c r="K592" i="5"/>
  <c r="J592" i="5"/>
  <c r="M192" i="5"/>
  <c r="N192" i="5" s="1"/>
  <c r="L192" i="5"/>
  <c r="K192" i="5"/>
  <c r="J192" i="5"/>
  <c r="L839" i="5"/>
  <c r="K839" i="5"/>
  <c r="J839" i="5"/>
  <c r="K60" i="5"/>
  <c r="L60" i="5"/>
  <c r="M508" i="5"/>
  <c r="N508" i="5" s="1"/>
  <c r="L508" i="5"/>
  <c r="K508" i="5"/>
  <c r="J508" i="5"/>
  <c r="J241" i="5"/>
  <c r="M544" i="5"/>
  <c r="N544" i="5" s="1"/>
  <c r="L544" i="5"/>
  <c r="K544" i="5"/>
  <c r="J544" i="5"/>
  <c r="M857" i="5"/>
  <c r="N857" i="5" s="1"/>
  <c r="L857" i="5"/>
  <c r="K857" i="5"/>
  <c r="J857" i="5"/>
  <c r="K553" i="5"/>
  <c r="L553" i="5"/>
  <c r="M310" i="5"/>
  <c r="N310" i="5" s="1"/>
  <c r="L310" i="5"/>
  <c r="K310" i="5"/>
  <c r="J310" i="5"/>
  <c r="M215" i="5"/>
  <c r="N215" i="5" s="1"/>
  <c r="L215" i="5"/>
  <c r="K215" i="5"/>
  <c r="J215" i="5"/>
  <c r="M483" i="5"/>
  <c r="N483" i="5" s="1"/>
  <c r="L483" i="5"/>
  <c r="K483" i="5"/>
  <c r="J483" i="5"/>
  <c r="M787" i="5"/>
  <c r="N787" i="5" s="1"/>
  <c r="L787" i="5"/>
  <c r="K787" i="5"/>
  <c r="J787" i="5"/>
  <c r="M256" i="5"/>
  <c r="N256" i="5" s="1"/>
  <c r="L256" i="5"/>
  <c r="K256" i="5"/>
  <c r="J256" i="5"/>
  <c r="K413" i="5"/>
  <c r="L413" i="5"/>
  <c r="L504" i="5"/>
  <c r="M714" i="5"/>
  <c r="N714" i="5" s="1"/>
  <c r="L714" i="5"/>
  <c r="K714" i="5"/>
  <c r="J714" i="5"/>
  <c r="M780" i="5"/>
  <c r="N780" i="5" s="1"/>
  <c r="L780" i="5"/>
  <c r="K780" i="5"/>
  <c r="J780" i="5"/>
  <c r="M754" i="5"/>
  <c r="N754" i="5" s="1"/>
  <c r="L754" i="5"/>
  <c r="K754" i="5"/>
  <c r="J754" i="5"/>
  <c r="K567" i="5"/>
  <c r="L567" i="5"/>
  <c r="M438" i="5"/>
  <c r="N438" i="5" s="1"/>
  <c r="K438" i="5"/>
  <c r="J438" i="5"/>
  <c r="L438" i="5"/>
  <c r="M428" i="5"/>
  <c r="N428" i="5" s="1"/>
  <c r="L428" i="5"/>
  <c r="K428" i="5"/>
  <c r="M745" i="5"/>
  <c r="N745" i="5" s="1"/>
  <c r="L745" i="5"/>
  <c r="K745" i="5"/>
  <c r="J745" i="5"/>
  <c r="M932" i="5"/>
  <c r="N932" i="5" s="1"/>
  <c r="L932" i="5"/>
  <c r="K932" i="5"/>
  <c r="J932" i="5"/>
  <c r="M626" i="5"/>
  <c r="N626" i="5" s="1"/>
  <c r="L626" i="5"/>
  <c r="K626" i="5"/>
  <c r="J626" i="5"/>
  <c r="K997" i="5"/>
  <c r="L997" i="5"/>
  <c r="J236" i="5"/>
  <c r="M789" i="5"/>
  <c r="N789" i="5" s="1"/>
  <c r="K789" i="5"/>
  <c r="J789" i="5"/>
  <c r="L789" i="5"/>
  <c r="M283" i="5"/>
  <c r="N283" i="5" s="1"/>
  <c r="L283" i="5"/>
  <c r="K283" i="5"/>
  <c r="J283" i="5"/>
  <c r="M521" i="5"/>
  <c r="N521" i="5" s="1"/>
  <c r="L521" i="5"/>
  <c r="K521" i="5"/>
  <c r="J521" i="5"/>
  <c r="K50" i="5"/>
  <c r="L50" i="5"/>
  <c r="J97" i="5"/>
  <c r="L97" i="5"/>
  <c r="M547" i="5"/>
  <c r="N547" i="5" s="1"/>
  <c r="L547" i="5"/>
  <c r="M234" i="5"/>
  <c r="N234" i="5" s="1"/>
  <c r="L234" i="5"/>
  <c r="K234" i="5"/>
  <c r="J234" i="5"/>
  <c r="M202" i="5"/>
  <c r="N202" i="5" s="1"/>
  <c r="L202" i="5"/>
  <c r="K202" i="5"/>
  <c r="J202" i="5"/>
  <c r="M257" i="5"/>
  <c r="N257" i="5" s="1"/>
  <c r="L257" i="5"/>
  <c r="K257" i="5"/>
  <c r="J257" i="5"/>
  <c r="K315" i="5"/>
  <c r="L315" i="5"/>
  <c r="J216" i="5"/>
  <c r="L216" i="5"/>
  <c r="M380" i="5"/>
  <c r="N380" i="5" s="1"/>
  <c r="L380" i="5"/>
  <c r="K380" i="5"/>
  <c r="J380" i="5"/>
  <c r="M348" i="5"/>
  <c r="N348" i="5" s="1"/>
  <c r="L348" i="5"/>
  <c r="K348" i="5"/>
  <c r="J348" i="5"/>
  <c r="K639" i="5"/>
  <c r="M491" i="5"/>
  <c r="N491" i="5" s="1"/>
  <c r="K491" i="5"/>
  <c r="J491" i="5"/>
  <c r="L491" i="5"/>
  <c r="J975" i="5"/>
  <c r="K975" i="5"/>
  <c r="M681" i="5"/>
  <c r="N681" i="5" s="1"/>
  <c r="J681" i="5"/>
  <c r="L965" i="5"/>
  <c r="K965" i="5"/>
  <c r="J965" i="5"/>
  <c r="M948" i="5"/>
  <c r="N948" i="5" s="1"/>
  <c r="L948" i="5"/>
  <c r="K948" i="5"/>
  <c r="L739" i="5"/>
  <c r="K739" i="5"/>
  <c r="J739" i="5"/>
  <c r="K776" i="5"/>
  <c r="J776" i="5"/>
  <c r="L776" i="5"/>
  <c r="J474" i="5"/>
  <c r="L474" i="5"/>
  <c r="L385" i="5"/>
  <c r="M385" i="5"/>
  <c r="N385" i="5" s="1"/>
  <c r="L275" i="5"/>
  <c r="M665" i="5"/>
  <c r="N665" i="5" s="1"/>
  <c r="L665" i="5"/>
  <c r="K665" i="5"/>
  <c r="J665" i="5"/>
  <c r="M955" i="5"/>
  <c r="N955" i="5" s="1"/>
  <c r="L955" i="5"/>
  <c r="K955" i="5"/>
  <c r="J955" i="5"/>
  <c r="M35" i="5"/>
  <c r="N35" i="5" s="1"/>
  <c r="L35" i="5"/>
  <c r="K35" i="5"/>
  <c r="J35" i="5"/>
  <c r="J406" i="5"/>
  <c r="L406" i="5"/>
  <c r="L993" i="5"/>
  <c r="M993" i="5"/>
  <c r="N993" i="5" s="1"/>
  <c r="M176" i="5"/>
  <c r="N176" i="5" s="1"/>
  <c r="L176" i="5"/>
  <c r="K176" i="5"/>
  <c r="J176" i="5"/>
  <c r="L288" i="5"/>
  <c r="J333" i="5"/>
  <c r="L333" i="5"/>
  <c r="L313" i="5"/>
  <c r="M273" i="5"/>
  <c r="N273" i="5" s="1"/>
  <c r="L273" i="5"/>
  <c r="K273" i="5"/>
  <c r="J273" i="5"/>
  <c r="M77" i="5"/>
  <c r="N77" i="5" s="1"/>
  <c r="L77" i="5"/>
  <c r="K77" i="5"/>
  <c r="J77" i="5"/>
  <c r="M990" i="5"/>
  <c r="N990" i="5" s="1"/>
  <c r="K990" i="5"/>
  <c r="J990" i="5"/>
  <c r="L990" i="5"/>
  <c r="J155" i="5"/>
  <c r="L155" i="5"/>
  <c r="L122" i="5"/>
  <c r="M122" i="5"/>
  <c r="N122" i="5" s="1"/>
  <c r="M978" i="5"/>
  <c r="N978" i="5" s="1"/>
  <c r="L978" i="5"/>
  <c r="K978" i="5"/>
  <c r="J978" i="5"/>
  <c r="J235" i="5"/>
  <c r="L235" i="5"/>
  <c r="L114" i="5"/>
  <c r="L231" i="5"/>
  <c r="M382" i="5"/>
  <c r="N382" i="5" s="1"/>
  <c r="L382" i="5"/>
  <c r="K382" i="5"/>
  <c r="J382" i="5"/>
  <c r="M399" i="5"/>
  <c r="N399" i="5" s="1"/>
  <c r="L399" i="5"/>
  <c r="K399" i="5"/>
  <c r="J399" i="5"/>
  <c r="K331" i="5"/>
  <c r="J331" i="5"/>
  <c r="J305" i="5"/>
  <c r="L926" i="5"/>
  <c r="K926" i="5"/>
  <c r="J926" i="5"/>
  <c r="K31" i="5"/>
  <c r="L31" i="5"/>
  <c r="M887" i="5"/>
  <c r="N887" i="5" s="1"/>
  <c r="K887" i="5"/>
  <c r="J887" i="5"/>
  <c r="L887" i="5"/>
  <c r="L456" i="5"/>
  <c r="M815" i="5"/>
  <c r="N815" i="5" s="1"/>
  <c r="L815" i="5"/>
  <c r="K815" i="5"/>
  <c r="J815" i="5"/>
  <c r="M324" i="5"/>
  <c r="N324" i="5" s="1"/>
  <c r="L324" i="5"/>
  <c r="K324" i="5"/>
  <c r="J324" i="5"/>
  <c r="L146" i="5"/>
  <c r="K82" i="5"/>
  <c r="J82" i="5"/>
  <c r="L82" i="5"/>
  <c r="M14" i="5"/>
  <c r="N14" i="5" s="1"/>
  <c r="L14" i="5"/>
  <c r="J14" i="5"/>
  <c r="K14" i="5"/>
  <c r="L212" i="5"/>
  <c r="K212" i="5"/>
  <c r="M821" i="5"/>
  <c r="N821" i="5" s="1"/>
  <c r="L821" i="5"/>
  <c r="K821" i="5"/>
  <c r="J821" i="5"/>
  <c r="J185" i="5"/>
  <c r="L63" i="5"/>
  <c r="K63" i="5"/>
  <c r="J63" i="5"/>
  <c r="M891" i="5"/>
  <c r="N891" i="5" s="1"/>
  <c r="L891" i="5"/>
  <c r="J891" i="5"/>
  <c r="K891" i="5"/>
  <c r="L437" i="5"/>
  <c r="M227" i="5"/>
  <c r="N227" i="5" s="1"/>
  <c r="L227" i="5"/>
  <c r="K227" i="5"/>
  <c r="J227" i="5"/>
  <c r="M355" i="5"/>
  <c r="N355" i="5" s="1"/>
  <c r="L355" i="5"/>
  <c r="J355" i="5"/>
  <c r="L254" i="5"/>
  <c r="L548" i="5"/>
  <c r="K548" i="5"/>
  <c r="J548" i="5"/>
  <c r="M752" i="5"/>
  <c r="N752" i="5" s="1"/>
  <c r="L752" i="5"/>
  <c r="J752" i="5"/>
  <c r="K752" i="5"/>
  <c r="L919" i="5"/>
  <c r="M735" i="5"/>
  <c r="N735" i="5" s="1"/>
  <c r="L735" i="5"/>
  <c r="K735" i="5"/>
  <c r="J735" i="5"/>
  <c r="K950" i="5"/>
  <c r="K140" i="5"/>
  <c r="J140" i="5"/>
  <c r="L140" i="5"/>
  <c r="M771" i="5"/>
  <c r="N771" i="5" s="1"/>
  <c r="L771" i="5"/>
  <c r="J771" i="5"/>
  <c r="K771" i="5"/>
  <c r="L137" i="5"/>
  <c r="M814" i="5"/>
  <c r="N814" i="5" s="1"/>
  <c r="L814" i="5"/>
  <c r="K814" i="5"/>
  <c r="J814" i="5"/>
  <c r="M421" i="5"/>
  <c r="N421" i="5" s="1"/>
  <c r="L421" i="5"/>
  <c r="K421" i="5"/>
  <c r="J421" i="5"/>
  <c r="K743" i="5"/>
  <c r="J743" i="5"/>
  <c r="L743" i="5"/>
  <c r="M138" i="5"/>
  <c r="N138" i="5" s="1"/>
  <c r="L138" i="5"/>
  <c r="J138" i="5"/>
  <c r="K138" i="5"/>
  <c r="L653" i="5"/>
  <c r="M697" i="5"/>
  <c r="N697" i="5" s="1"/>
  <c r="L697" i="5"/>
  <c r="K697" i="5"/>
  <c r="J697" i="5"/>
  <c r="K345" i="5"/>
  <c r="K6" i="5"/>
  <c r="J6" i="5"/>
  <c r="L6" i="5"/>
  <c r="M889" i="5"/>
  <c r="N889" i="5" s="1"/>
  <c r="L889" i="5"/>
  <c r="J889" i="5"/>
  <c r="K889" i="5"/>
  <c r="J803" i="5"/>
  <c r="L25" i="5"/>
  <c r="K25" i="5"/>
  <c r="J25" i="5"/>
  <c r="L359" i="5"/>
  <c r="K359" i="5"/>
  <c r="M359" i="5"/>
  <c r="N359" i="5" s="1"/>
  <c r="K171" i="5"/>
  <c r="J171" i="5"/>
  <c r="L870" i="5"/>
  <c r="K870" i="5"/>
  <c r="J870" i="5"/>
  <c r="L182" i="5"/>
  <c r="J865" i="5"/>
  <c r="K865" i="5"/>
  <c r="J415" i="5"/>
  <c r="M160" i="5"/>
  <c r="N160" i="5" s="1"/>
  <c r="L160" i="5"/>
  <c r="J160" i="5"/>
  <c r="K160" i="5"/>
  <c r="M418" i="5"/>
  <c r="N418" i="5" s="1"/>
  <c r="L901" i="5"/>
  <c r="K901" i="5"/>
  <c r="J901" i="5"/>
  <c r="M365" i="5"/>
  <c r="N365" i="5" s="1"/>
  <c r="L365" i="5"/>
  <c r="K365" i="5"/>
  <c r="J365" i="5"/>
  <c r="K276" i="5"/>
  <c r="M218" i="5"/>
  <c r="N218" i="5" s="1"/>
  <c r="J218" i="5"/>
  <c r="L218" i="5"/>
  <c r="L327" i="5"/>
  <c r="M327" i="5"/>
  <c r="N327" i="5" s="1"/>
  <c r="L5" i="5"/>
  <c r="K5" i="5"/>
  <c r="J5" i="5"/>
  <c r="M569" i="5"/>
  <c r="N569" i="5" s="1"/>
  <c r="L569" i="5"/>
  <c r="K569" i="5"/>
  <c r="J569" i="5"/>
  <c r="M134" i="5"/>
  <c r="N134" i="5" s="1"/>
  <c r="L134" i="5"/>
  <c r="K134" i="5"/>
  <c r="J134" i="5"/>
  <c r="M281" i="5"/>
  <c r="N281" i="5" s="1"/>
  <c r="J281" i="5"/>
  <c r="K426" i="5"/>
  <c r="L900" i="5"/>
  <c r="K900" i="5"/>
  <c r="J900" i="5"/>
  <c r="M898" i="5"/>
  <c r="N898" i="5" s="1"/>
  <c r="L898" i="5"/>
  <c r="K898" i="5"/>
  <c r="J898" i="5"/>
  <c r="M564" i="5"/>
  <c r="N564" i="5" s="1"/>
  <c r="J564" i="5"/>
  <c r="L832" i="5"/>
  <c r="M832" i="5"/>
  <c r="N832" i="5" s="1"/>
  <c r="M205" i="5"/>
  <c r="N205" i="5" s="1"/>
  <c r="L205" i="5"/>
  <c r="K205" i="5"/>
  <c r="J205" i="5"/>
  <c r="M763" i="5"/>
  <c r="N763" i="5" s="1"/>
  <c r="L763" i="5"/>
  <c r="K763" i="5"/>
  <c r="J763" i="5"/>
  <c r="M720" i="5"/>
  <c r="N720" i="5" s="1"/>
  <c r="L720" i="5"/>
  <c r="J720" i="5"/>
  <c r="M953" i="5"/>
  <c r="N953" i="5" s="1"/>
  <c r="J953" i="5"/>
  <c r="M98" i="5"/>
  <c r="N98" i="5" s="1"/>
  <c r="L796" i="5"/>
  <c r="K796" i="5"/>
  <c r="J796" i="5"/>
  <c r="K485" i="5"/>
  <c r="L779" i="5"/>
  <c r="K779" i="5"/>
  <c r="J779" i="5"/>
  <c r="M899" i="5"/>
  <c r="N899" i="5" s="1"/>
  <c r="J899" i="5"/>
  <c r="L899" i="5"/>
  <c r="L233" i="5"/>
  <c r="K233" i="5"/>
  <c r="J233" i="5"/>
  <c r="M525" i="5"/>
  <c r="N525" i="5" s="1"/>
  <c r="K525" i="5"/>
  <c r="J525" i="5"/>
  <c r="K967" i="5"/>
  <c r="J967" i="5"/>
  <c r="L967" i="5"/>
  <c r="M942" i="5"/>
  <c r="N942" i="5" s="1"/>
  <c r="L942" i="5"/>
  <c r="J942" i="5"/>
  <c r="J377" i="5"/>
  <c r="K377" i="5"/>
  <c r="K958" i="5"/>
  <c r="L447" i="5"/>
  <c r="J447" i="5"/>
  <c r="K335" i="5"/>
  <c r="J335" i="5"/>
  <c r="L165" i="5"/>
  <c r="K923" i="5"/>
  <c r="L921" i="5"/>
  <c r="K921" i="5"/>
  <c r="J921" i="5"/>
  <c r="L688" i="5"/>
  <c r="K688" i="5"/>
  <c r="J688" i="5"/>
  <c r="L306" i="5"/>
  <c r="J306" i="5"/>
  <c r="L154" i="5"/>
  <c r="L871" i="5"/>
  <c r="K871" i="5"/>
  <c r="J96" i="5"/>
  <c r="J878" i="5"/>
  <c r="K941" i="5"/>
  <c r="L941" i="5"/>
  <c r="L631" i="5"/>
  <c r="L913" i="5"/>
  <c r="L628" i="5"/>
  <c r="J795" i="5"/>
  <c r="L179" i="5"/>
  <c r="K322" i="5"/>
  <c r="L322" i="5"/>
  <c r="J868" i="5"/>
  <c r="J369" i="5"/>
  <c r="L507" i="5"/>
  <c r="M851" i="5" l="1"/>
  <c r="N851" i="5" s="1"/>
  <c r="L700" i="5"/>
  <c r="M976" i="5"/>
  <c r="N976" i="5" s="1"/>
  <c r="K615" i="5"/>
  <c r="J495" i="5"/>
  <c r="K495" i="5"/>
  <c r="K520" i="5"/>
  <c r="J775" i="5"/>
  <c r="J17" i="5"/>
  <c r="J92" i="5"/>
  <c r="L397" i="5"/>
  <c r="L520" i="5"/>
  <c r="K775" i="5"/>
  <c r="K17" i="5"/>
  <c r="J618" i="5"/>
  <c r="K92" i="5"/>
  <c r="L588" i="5"/>
  <c r="J210" i="5"/>
  <c r="J744" i="5"/>
  <c r="J845" i="5"/>
  <c r="J781" i="5"/>
  <c r="L775" i="5"/>
  <c r="L17" i="5"/>
  <c r="K618" i="5"/>
  <c r="K678" i="5"/>
  <c r="J427" i="5"/>
  <c r="J848" i="5"/>
  <c r="L848" i="5"/>
  <c r="J660" i="5"/>
  <c r="J441" i="5"/>
  <c r="L349" i="5"/>
  <c r="Z349" i="5" s="1"/>
  <c r="J478" i="5"/>
  <c r="K278" i="5"/>
  <c r="K337" i="5"/>
  <c r="K666" i="5"/>
  <c r="M230" i="5"/>
  <c r="N230" i="5" s="1"/>
  <c r="K956" i="5"/>
  <c r="M864" i="5"/>
  <c r="N864" i="5" s="1"/>
  <c r="L464" i="5"/>
  <c r="Z464" i="5" s="1"/>
  <c r="L230" i="5"/>
  <c r="M642" i="5"/>
  <c r="N642" i="5" s="1"/>
  <c r="J956" i="5"/>
  <c r="K288" i="5"/>
  <c r="M728" i="5"/>
  <c r="N728" i="5" s="1"/>
  <c r="M731" i="5"/>
  <c r="N731" i="5" s="1"/>
  <c r="L864" i="5"/>
  <c r="M94" i="5"/>
  <c r="N94" i="5" s="1"/>
  <c r="K562" i="5"/>
  <c r="J678" i="5"/>
  <c r="L656" i="5"/>
  <c r="K44" i="5"/>
  <c r="K349" i="5"/>
  <c r="J717" i="5"/>
  <c r="X717" i="5" s="1"/>
  <c r="J337" i="5"/>
  <c r="K441" i="5"/>
  <c r="R441" i="5" s="1"/>
  <c r="J80" i="5"/>
  <c r="M562" i="5"/>
  <c r="N562" i="5" s="1"/>
  <c r="M349" i="5"/>
  <c r="N349" i="5" s="1"/>
  <c r="K478" i="5"/>
  <c r="L130" i="5"/>
  <c r="L337" i="5"/>
  <c r="Z337" i="5" s="1"/>
  <c r="M838" i="5"/>
  <c r="N838" i="5" s="1"/>
  <c r="J686" i="5"/>
  <c r="X686" i="5" s="1"/>
  <c r="K80" i="5"/>
  <c r="J127" i="5"/>
  <c r="J767" i="5"/>
  <c r="L478" i="5"/>
  <c r="J470" i="5"/>
  <c r="K686" i="5"/>
  <c r="J945" i="5"/>
  <c r="L80" i="5"/>
  <c r="Z80" i="5" s="1"/>
  <c r="K127" i="5"/>
  <c r="K767" i="5"/>
  <c r="J702" i="5"/>
  <c r="J84" i="5"/>
  <c r="K470" i="5"/>
  <c r="M441" i="5"/>
  <c r="N441" i="5" s="1"/>
  <c r="J464" i="5"/>
  <c r="J642" i="5"/>
  <c r="Q642" i="5" s="1"/>
  <c r="J65" i="5"/>
  <c r="J711" i="5"/>
  <c r="L686" i="5"/>
  <c r="K945" i="5"/>
  <c r="J731" i="5"/>
  <c r="L127" i="5"/>
  <c r="J94" i="5"/>
  <c r="L844" i="5"/>
  <c r="S844" i="5" s="1"/>
  <c r="J761" i="5"/>
  <c r="K702" i="5"/>
  <c r="L470" i="5"/>
  <c r="M910" i="5"/>
  <c r="N910" i="5" s="1"/>
  <c r="J230" i="5"/>
  <c r="K642" i="5"/>
  <c r="M288" i="5"/>
  <c r="N288" i="5" s="1"/>
  <c r="L945" i="5"/>
  <c r="Z945" i="5" s="1"/>
  <c r="K728" i="5"/>
  <c r="K731" i="5"/>
  <c r="J864" i="5"/>
  <c r="K94" i="5"/>
  <c r="J844" i="5"/>
  <c r="J656" i="5"/>
  <c r="Q656" i="5" s="1"/>
  <c r="K761" i="5"/>
  <c r="Z533" i="5"/>
  <c r="S533" i="5"/>
  <c r="Y689" i="5"/>
  <c r="R689" i="5"/>
  <c r="Y920" i="5"/>
  <c r="R920" i="5"/>
  <c r="Z629" i="5"/>
  <c r="S629" i="5"/>
  <c r="Z426" i="5"/>
  <c r="S426" i="5"/>
  <c r="Y581" i="5"/>
  <c r="R581" i="5"/>
  <c r="Z145" i="5"/>
  <c r="S145" i="5"/>
  <c r="Y910" i="5"/>
  <c r="R910" i="5"/>
  <c r="Z247" i="5"/>
  <c r="S247" i="5"/>
  <c r="Y515" i="5"/>
  <c r="R515" i="5"/>
  <c r="X590" i="5"/>
  <c r="Q590" i="5"/>
  <c r="Z510" i="5"/>
  <c r="S510" i="5"/>
  <c r="Z99" i="5"/>
  <c r="S99" i="5"/>
  <c r="Z317" i="5"/>
  <c r="S317" i="5"/>
  <c r="X239" i="5"/>
  <c r="Q239" i="5"/>
  <c r="X67" i="5"/>
  <c r="Q67" i="5"/>
  <c r="Z959" i="5"/>
  <c r="S959" i="5"/>
  <c r="Y187" i="5"/>
  <c r="R187" i="5"/>
  <c r="Y356" i="5"/>
  <c r="R356" i="5"/>
  <c r="Z557" i="5"/>
  <c r="S557" i="5"/>
  <c r="Y851" i="5"/>
  <c r="R851" i="5"/>
  <c r="Y54" i="5"/>
  <c r="R54" i="5"/>
  <c r="Z366" i="5"/>
  <c r="S366" i="5"/>
  <c r="Z52" i="5"/>
  <c r="S52" i="5"/>
  <c r="Z942" i="5"/>
  <c r="S942" i="5"/>
  <c r="Y359" i="5"/>
  <c r="R359" i="5"/>
  <c r="Y752" i="5"/>
  <c r="R752" i="5"/>
  <c r="Z176" i="5"/>
  <c r="S176" i="5"/>
  <c r="Z965" i="5"/>
  <c r="S965" i="5"/>
  <c r="Z547" i="5"/>
  <c r="S547" i="5"/>
  <c r="X457" i="5"/>
  <c r="Q457" i="5"/>
  <c r="Z601" i="5"/>
  <c r="S601" i="5"/>
  <c r="X678" i="5"/>
  <c r="Q678" i="5"/>
  <c r="X372" i="5"/>
  <c r="Q372" i="5"/>
  <c r="X600" i="5"/>
  <c r="Q600" i="5"/>
  <c r="X319" i="5"/>
  <c r="Q319" i="5"/>
  <c r="X750" i="5"/>
  <c r="Q750" i="5"/>
  <c r="Z903" i="5"/>
  <c r="S903" i="5"/>
  <c r="Z987" i="5"/>
  <c r="S987" i="5"/>
  <c r="Y149" i="5"/>
  <c r="R149" i="5"/>
  <c r="Y317" i="5"/>
  <c r="R317" i="5"/>
  <c r="X99" i="5"/>
  <c r="Q99" i="5"/>
  <c r="V710" i="5"/>
  <c r="O710" i="5"/>
  <c r="W107" i="5"/>
  <c r="V107" i="5"/>
  <c r="O107" i="5"/>
  <c r="P107" i="5"/>
  <c r="V169" i="5"/>
  <c r="O169" i="5"/>
  <c r="V996" i="5"/>
  <c r="O996" i="5"/>
  <c r="W604" i="5"/>
  <c r="V604" i="5"/>
  <c r="P604" i="5"/>
  <c r="O604" i="5"/>
  <c r="V104" i="5"/>
  <c r="O104" i="5"/>
  <c r="V294" i="5"/>
  <c r="O294" i="5"/>
  <c r="W988" i="5"/>
  <c r="V988" i="5"/>
  <c r="P988" i="5"/>
  <c r="O988" i="5"/>
  <c r="V358" i="5"/>
  <c r="O358" i="5"/>
  <c r="W488" i="5"/>
  <c r="V488" i="5"/>
  <c r="P488" i="5"/>
  <c r="O488" i="5"/>
  <c r="W53" i="5"/>
  <c r="V53" i="5"/>
  <c r="P53" i="5"/>
  <c r="O53" i="5"/>
  <c r="V62" i="5"/>
  <c r="O62" i="5"/>
  <c r="W16" i="5"/>
  <c r="V16" i="5"/>
  <c r="P16" i="5"/>
  <c r="O16" i="5"/>
  <c r="W241" i="5"/>
  <c r="V241" i="5"/>
  <c r="P241" i="5"/>
  <c r="O241" i="5"/>
  <c r="W895" i="5"/>
  <c r="V895" i="5"/>
  <c r="P895" i="5"/>
  <c r="O895" i="5"/>
  <c r="V323" i="5"/>
  <c r="O323" i="5"/>
  <c r="W472" i="5"/>
  <c r="V472" i="5"/>
  <c r="P472" i="5"/>
  <c r="O472" i="5"/>
  <c r="W339" i="5"/>
  <c r="V339" i="5"/>
  <c r="P339" i="5"/>
  <c r="O339" i="5"/>
  <c r="V307" i="5"/>
  <c r="O307" i="5"/>
  <c r="V756" i="5"/>
  <c r="O756" i="5"/>
  <c r="V209" i="5"/>
  <c r="O209" i="5"/>
  <c r="W722" i="5"/>
  <c r="V722" i="5"/>
  <c r="P722" i="5"/>
  <c r="O722" i="5"/>
  <c r="V906" i="5"/>
  <c r="O906" i="5"/>
  <c r="V271" i="5"/>
  <c r="O271" i="5"/>
  <c r="W185" i="5"/>
  <c r="V185" i="5"/>
  <c r="P185" i="5"/>
  <c r="O185" i="5"/>
  <c r="V950" i="5"/>
  <c r="O950" i="5"/>
  <c r="V418" i="5"/>
  <c r="O418" i="5"/>
  <c r="V196" i="5"/>
  <c r="O196" i="5"/>
  <c r="W762" i="5"/>
  <c r="V762" i="5"/>
  <c r="P762" i="5"/>
  <c r="O762" i="5"/>
  <c r="V98" i="5"/>
  <c r="O98" i="5"/>
  <c r="V758" i="5"/>
  <c r="W758" i="5"/>
  <c r="P758" i="5"/>
  <c r="O758" i="5"/>
  <c r="W224" i="5"/>
  <c r="V224" i="5"/>
  <c r="P224" i="5"/>
  <c r="O224" i="5"/>
  <c r="W96" i="5"/>
  <c r="V96" i="5"/>
  <c r="P96" i="5"/>
  <c r="O96" i="5"/>
  <c r="V412" i="5"/>
  <c r="O412" i="5"/>
  <c r="W1001" i="5"/>
  <c r="V1001" i="5"/>
  <c r="P1001" i="5"/>
  <c r="O1001" i="5"/>
  <c r="Z322" i="5"/>
  <c r="S322" i="5"/>
  <c r="Y941" i="5"/>
  <c r="R941" i="5"/>
  <c r="Y923" i="5"/>
  <c r="R923" i="5"/>
  <c r="Y233" i="5"/>
  <c r="R233" i="5"/>
  <c r="Y485" i="5"/>
  <c r="R485" i="5"/>
  <c r="K98" i="5"/>
  <c r="X763" i="5"/>
  <c r="Q763" i="5"/>
  <c r="X900" i="5"/>
  <c r="Q900" i="5"/>
  <c r="Y569" i="5"/>
  <c r="R569" i="5"/>
  <c r="Z218" i="5"/>
  <c r="S218" i="5"/>
  <c r="X901" i="5"/>
  <c r="Q901" i="5"/>
  <c r="L418" i="5"/>
  <c r="Z182" i="5"/>
  <c r="S182" i="5"/>
  <c r="Z359" i="5"/>
  <c r="S359" i="5"/>
  <c r="L345" i="5"/>
  <c r="Y345" i="5" s="1"/>
  <c r="X138" i="5"/>
  <c r="Q138" i="5"/>
  <c r="Z421" i="5"/>
  <c r="S421" i="5"/>
  <c r="X771" i="5"/>
  <c r="Q771" i="5"/>
  <c r="L950" i="5"/>
  <c r="X752" i="5"/>
  <c r="Q752" i="5"/>
  <c r="Z355" i="5"/>
  <c r="S355" i="5"/>
  <c r="X891" i="5"/>
  <c r="Q891" i="5"/>
  <c r="L185" i="5"/>
  <c r="Y14" i="5"/>
  <c r="R14" i="5"/>
  <c r="X324" i="5"/>
  <c r="Q324" i="5"/>
  <c r="Z456" i="5"/>
  <c r="S456" i="5"/>
  <c r="Y956" i="5"/>
  <c r="R956" i="5"/>
  <c r="Z926" i="5"/>
  <c r="S926" i="5"/>
  <c r="X382" i="5"/>
  <c r="Q382" i="5"/>
  <c r="X711" i="5"/>
  <c r="Q711" i="5"/>
  <c r="Z978" i="5"/>
  <c r="S978" i="5"/>
  <c r="Y990" i="5"/>
  <c r="R990" i="5"/>
  <c r="Z273" i="5"/>
  <c r="S273" i="5"/>
  <c r="Z288" i="5"/>
  <c r="S288" i="5"/>
  <c r="Z686" i="5"/>
  <c r="S686" i="5"/>
  <c r="Y739" i="5"/>
  <c r="R739" i="5"/>
  <c r="X681" i="5"/>
  <c r="Q681" i="5"/>
  <c r="X216" i="5"/>
  <c r="Q216" i="5"/>
  <c r="Y202" i="5"/>
  <c r="R202" i="5"/>
  <c r="L323" i="5"/>
  <c r="Y997" i="5"/>
  <c r="R997" i="5"/>
  <c r="Z438" i="5"/>
  <c r="S438" i="5"/>
  <c r="Z754" i="5"/>
  <c r="S754" i="5"/>
  <c r="Z731" i="5"/>
  <c r="S731" i="5"/>
  <c r="Z714" i="5"/>
  <c r="S714" i="5"/>
  <c r="Y544" i="5"/>
  <c r="R544" i="5"/>
  <c r="K241" i="5"/>
  <c r="Y60" i="5"/>
  <c r="R60" i="5"/>
  <c r="X592" i="5"/>
  <c r="Q592" i="5"/>
  <c r="X352" i="5"/>
  <c r="Q352" i="5"/>
  <c r="Z708" i="5"/>
  <c r="S708" i="5"/>
  <c r="Y23" i="5"/>
  <c r="R23" i="5"/>
  <c r="Z855" i="5"/>
  <c r="S855" i="5"/>
  <c r="Y606" i="5"/>
  <c r="R606" i="5"/>
  <c r="Y457" i="5"/>
  <c r="R457" i="5"/>
  <c r="Z203" i="5"/>
  <c r="S203" i="5"/>
  <c r="X774" i="5"/>
  <c r="Q774" i="5"/>
  <c r="Y47" i="5"/>
  <c r="R47" i="5"/>
  <c r="X228" i="5"/>
  <c r="Q228" i="5"/>
  <c r="Z201" i="5"/>
  <c r="S201" i="5"/>
  <c r="Z58" i="5"/>
  <c r="S58" i="5"/>
  <c r="X455" i="5"/>
  <c r="Q455" i="5"/>
  <c r="Z546" i="5"/>
  <c r="S546" i="5"/>
  <c r="Y678" i="5"/>
  <c r="R678" i="5"/>
  <c r="Z262" i="5"/>
  <c r="S262" i="5"/>
  <c r="X844" i="5"/>
  <c r="Q844" i="5"/>
  <c r="Z371" i="5"/>
  <c r="S371" i="5"/>
  <c r="Y372" i="5"/>
  <c r="R372" i="5"/>
  <c r="Z370" i="5"/>
  <c r="S370" i="5"/>
  <c r="X126" i="5"/>
  <c r="Q126" i="5"/>
  <c r="Y840" i="5"/>
  <c r="R840" i="5"/>
  <c r="X524" i="5"/>
  <c r="Q524" i="5"/>
  <c r="X432" i="5"/>
  <c r="Q432" i="5"/>
  <c r="X879" i="5"/>
  <c r="Q879" i="5"/>
  <c r="Z811" i="5"/>
  <c r="S811" i="5"/>
  <c r="Z381" i="5"/>
  <c r="S381" i="5"/>
  <c r="Y419" i="5"/>
  <c r="R419" i="5"/>
  <c r="Z858" i="5"/>
  <c r="S858" i="5"/>
  <c r="J54" i="5"/>
  <c r="Y26" i="5"/>
  <c r="R26" i="5"/>
  <c r="Z644" i="5"/>
  <c r="S644" i="5"/>
  <c r="Z826" i="5"/>
  <c r="S826" i="5"/>
  <c r="Y750" i="5"/>
  <c r="R750" i="5"/>
  <c r="Z142" i="5"/>
  <c r="S142" i="5"/>
  <c r="Z73" i="5"/>
  <c r="S73" i="5"/>
  <c r="X110" i="5"/>
  <c r="Q110" i="5"/>
  <c r="Z320" i="5"/>
  <c r="S320" i="5"/>
  <c r="Z566" i="5"/>
  <c r="S566" i="5"/>
  <c r="K959" i="5"/>
  <c r="S349" i="5"/>
  <c r="L687" i="5"/>
  <c r="X184" i="5"/>
  <c r="Q184" i="5"/>
  <c r="L496" i="5"/>
  <c r="Y744" i="5"/>
  <c r="R744" i="5"/>
  <c r="Y131" i="5"/>
  <c r="R131" i="5"/>
  <c r="X973" i="5"/>
  <c r="Q973" i="5"/>
  <c r="X781" i="5"/>
  <c r="Q781" i="5"/>
  <c r="X785" i="5"/>
  <c r="Q785" i="5"/>
  <c r="Y253" i="5"/>
  <c r="R253" i="5"/>
  <c r="L149" i="5"/>
  <c r="X520" i="5"/>
  <c r="Q520" i="5"/>
  <c r="Z934" i="5"/>
  <c r="S934" i="5"/>
  <c r="L246" i="5"/>
  <c r="Y84" i="5"/>
  <c r="R84" i="5"/>
  <c r="Y712" i="5"/>
  <c r="R712" i="5"/>
  <c r="Z17" i="5"/>
  <c r="S17" i="5"/>
  <c r="X478" i="5"/>
  <c r="Q478" i="5"/>
  <c r="K99" i="5"/>
  <c r="X827" i="5"/>
  <c r="Q827" i="5"/>
  <c r="Z278" i="5"/>
  <c r="S278" i="5"/>
  <c r="J515" i="5"/>
  <c r="P515" i="5" s="1"/>
  <c r="L187" i="5"/>
  <c r="Z487" i="5"/>
  <c r="S487" i="5"/>
  <c r="Z627" i="5"/>
  <c r="S627" i="5"/>
  <c r="J303" i="5"/>
  <c r="J440" i="5"/>
  <c r="J533" i="5"/>
  <c r="Y69" i="5"/>
  <c r="R69" i="5"/>
  <c r="V667" i="5"/>
  <c r="O667" i="5"/>
  <c r="V551" i="5"/>
  <c r="O551" i="5"/>
  <c r="V452" i="5"/>
  <c r="O452" i="5"/>
  <c r="W470" i="5"/>
  <c r="V470" i="5"/>
  <c r="P470" i="5"/>
  <c r="O470" i="5"/>
  <c r="W856" i="5"/>
  <c r="V856" i="5"/>
  <c r="O856" i="5"/>
  <c r="P856" i="5"/>
  <c r="V469" i="5"/>
  <c r="O469" i="5"/>
  <c r="V265" i="5"/>
  <c r="O265" i="5"/>
  <c r="V571" i="5"/>
  <c r="O571" i="5"/>
  <c r="V649" i="5"/>
  <c r="O649" i="5"/>
  <c r="W337" i="5"/>
  <c r="V337" i="5"/>
  <c r="P337" i="5"/>
  <c r="O337" i="5"/>
  <c r="V928" i="5"/>
  <c r="O928" i="5"/>
  <c r="V119" i="5"/>
  <c r="O119" i="5"/>
  <c r="V130" i="5"/>
  <c r="O130" i="5"/>
  <c r="W530" i="5"/>
  <c r="V530" i="5"/>
  <c r="P530" i="5"/>
  <c r="O530" i="5"/>
  <c r="W244" i="5"/>
  <c r="V244" i="5"/>
  <c r="P244" i="5"/>
  <c r="O244" i="5"/>
  <c r="W717" i="5"/>
  <c r="V717" i="5"/>
  <c r="P717" i="5"/>
  <c r="O717" i="5"/>
  <c r="V411" i="5"/>
  <c r="O411" i="5"/>
  <c r="W607" i="5"/>
  <c r="V607" i="5"/>
  <c r="P607" i="5"/>
  <c r="O607" i="5"/>
  <c r="W478" i="5"/>
  <c r="V478" i="5"/>
  <c r="P478" i="5"/>
  <c r="O478" i="5"/>
  <c r="V563" i="5"/>
  <c r="O563" i="5"/>
  <c r="V148" i="5"/>
  <c r="O148" i="5"/>
  <c r="W84" i="5"/>
  <c r="V84" i="5"/>
  <c r="P84" i="5"/>
  <c r="O84" i="5"/>
  <c r="V854" i="5"/>
  <c r="O854" i="5"/>
  <c r="V550" i="5"/>
  <c r="O550" i="5"/>
  <c r="W666" i="5"/>
  <c r="V666" i="5"/>
  <c r="P666" i="5"/>
  <c r="O666" i="5"/>
  <c r="V206" i="5"/>
  <c r="O206" i="5"/>
  <c r="V514" i="5"/>
  <c r="O514" i="5"/>
  <c r="W702" i="5"/>
  <c r="V702" i="5"/>
  <c r="P702" i="5"/>
  <c r="O702" i="5"/>
  <c r="V696" i="5"/>
  <c r="O696" i="5"/>
  <c r="W692" i="5"/>
  <c r="V692" i="5"/>
  <c r="P692" i="5"/>
  <c r="O692" i="5"/>
  <c r="W660" i="5"/>
  <c r="V660" i="5"/>
  <c r="P660" i="5"/>
  <c r="O660" i="5"/>
  <c r="W55" i="5"/>
  <c r="V55" i="5"/>
  <c r="P55" i="5"/>
  <c r="O55" i="5"/>
  <c r="V619" i="5"/>
  <c r="O619" i="5"/>
  <c r="W349" i="5"/>
  <c r="V349" i="5"/>
  <c r="P349" i="5"/>
  <c r="O349" i="5"/>
  <c r="V267" i="5"/>
  <c r="O267" i="5"/>
  <c r="W755" i="5"/>
  <c r="V755" i="5"/>
  <c r="P755" i="5"/>
  <c r="O755" i="5"/>
  <c r="V361" i="5"/>
  <c r="O361" i="5"/>
  <c r="W245" i="5"/>
  <c r="V245" i="5"/>
  <c r="P245" i="5"/>
  <c r="O245" i="5"/>
  <c r="V511" i="5"/>
  <c r="O511" i="5"/>
  <c r="W767" i="5"/>
  <c r="V767" i="5"/>
  <c r="P767" i="5"/>
  <c r="O767" i="5"/>
  <c r="W153" i="5"/>
  <c r="V153" i="5"/>
  <c r="P153" i="5"/>
  <c r="O153" i="5"/>
  <c r="V15" i="5"/>
  <c r="O15" i="5"/>
  <c r="V540" i="5"/>
  <c r="O540" i="5"/>
  <c r="V387" i="5"/>
  <c r="O387" i="5"/>
  <c r="W707" i="5"/>
  <c r="V707" i="5"/>
  <c r="O707" i="5"/>
  <c r="P707" i="5"/>
  <c r="V44" i="5"/>
  <c r="O44" i="5"/>
  <c r="V18" i="5"/>
  <c r="O18" i="5"/>
  <c r="V737" i="5"/>
  <c r="O737" i="5"/>
  <c r="V825" i="5"/>
  <c r="O825" i="5"/>
  <c r="W157" i="5"/>
  <c r="V157" i="5"/>
  <c r="P157" i="5"/>
  <c r="O157" i="5"/>
  <c r="V159" i="5"/>
  <c r="O159" i="5"/>
  <c r="W761" i="5"/>
  <c r="V761" i="5"/>
  <c r="P761" i="5"/>
  <c r="O761" i="5"/>
  <c r="V740" i="5"/>
  <c r="O740" i="5"/>
  <c r="V970" i="5"/>
  <c r="O970" i="5"/>
  <c r="V656" i="5"/>
  <c r="O656" i="5"/>
  <c r="V869" i="5"/>
  <c r="O869" i="5"/>
  <c r="W490" i="5"/>
  <c r="V490" i="5"/>
  <c r="P490" i="5"/>
  <c r="O490" i="5"/>
  <c r="W844" i="5"/>
  <c r="V844" i="5"/>
  <c r="P844" i="5"/>
  <c r="O844" i="5"/>
  <c r="W503" i="5"/>
  <c r="V503" i="5"/>
  <c r="P503" i="5"/>
  <c r="O503" i="5"/>
  <c r="W198" i="5"/>
  <c r="V198" i="5"/>
  <c r="P198" i="5"/>
  <c r="O198" i="5"/>
  <c r="W678" i="5"/>
  <c r="V678" i="5"/>
  <c r="P678" i="5"/>
  <c r="O678" i="5"/>
  <c r="W509" i="5"/>
  <c r="V509" i="5"/>
  <c r="P509" i="5"/>
  <c r="O509" i="5"/>
  <c r="W242" i="5"/>
  <c r="V242" i="5"/>
  <c r="P242" i="5"/>
  <c r="O242" i="5"/>
  <c r="W562" i="5"/>
  <c r="V562" i="5"/>
  <c r="P562" i="5"/>
  <c r="O562" i="5"/>
  <c r="W966" i="5"/>
  <c r="V966" i="5"/>
  <c r="P966" i="5"/>
  <c r="O966" i="5"/>
  <c r="V368" i="5"/>
  <c r="O368" i="5"/>
  <c r="W94" i="5"/>
  <c r="V94" i="5"/>
  <c r="P94" i="5"/>
  <c r="O94" i="5"/>
  <c r="V442" i="5"/>
  <c r="O442" i="5"/>
  <c r="V609" i="5"/>
  <c r="O609" i="5"/>
  <c r="W127" i="5"/>
  <c r="V127" i="5"/>
  <c r="P127" i="5"/>
  <c r="O127" i="5"/>
  <c r="V223" i="5"/>
  <c r="O223" i="5"/>
  <c r="V284" i="5"/>
  <c r="O284" i="5"/>
  <c r="W80" i="5"/>
  <c r="V80" i="5"/>
  <c r="P80" i="5"/>
  <c r="O80" i="5"/>
  <c r="V850" i="5"/>
  <c r="O850" i="5"/>
  <c r="V449" i="5"/>
  <c r="W449" i="5"/>
  <c r="P449" i="5"/>
  <c r="O449" i="5"/>
  <c r="W864" i="5"/>
  <c r="V864" i="5"/>
  <c r="O864" i="5"/>
  <c r="P864" i="5"/>
  <c r="V542" i="5"/>
  <c r="O542" i="5"/>
  <c r="W500" i="5"/>
  <c r="V500" i="5"/>
  <c r="P500" i="5"/>
  <c r="O500" i="5"/>
  <c r="W731" i="5"/>
  <c r="V731" i="5"/>
  <c r="P731" i="5"/>
  <c r="O731" i="5"/>
  <c r="W584" i="5"/>
  <c r="V584" i="5"/>
  <c r="P584" i="5"/>
  <c r="O584" i="5"/>
  <c r="V458" i="5"/>
  <c r="O458" i="5"/>
  <c r="V728" i="5"/>
  <c r="O728" i="5"/>
  <c r="W186" i="5"/>
  <c r="V186" i="5"/>
  <c r="P186" i="5"/>
  <c r="O186" i="5"/>
  <c r="V876" i="5"/>
  <c r="O876" i="5"/>
  <c r="W945" i="5"/>
  <c r="V945" i="5"/>
  <c r="P945" i="5"/>
  <c r="O945" i="5"/>
  <c r="V984" i="5"/>
  <c r="O984" i="5"/>
  <c r="V199" i="5"/>
  <c r="O199" i="5"/>
  <c r="V686" i="5"/>
  <c r="O686" i="5"/>
  <c r="V574" i="5"/>
  <c r="O574" i="5"/>
  <c r="W72" i="5"/>
  <c r="V72" i="5"/>
  <c r="P72" i="5"/>
  <c r="O72" i="5"/>
  <c r="W288" i="5"/>
  <c r="V288" i="5"/>
  <c r="P288" i="5"/>
  <c r="O288" i="5"/>
  <c r="V812" i="5"/>
  <c r="O812" i="5"/>
  <c r="V595" i="5"/>
  <c r="O595" i="5"/>
  <c r="W711" i="5"/>
  <c r="V711" i="5"/>
  <c r="P711" i="5"/>
  <c r="O711" i="5"/>
  <c r="V177" i="5"/>
  <c r="O177" i="5"/>
  <c r="W71" i="5"/>
  <c r="V71" i="5"/>
  <c r="P71" i="5"/>
  <c r="O71" i="5"/>
  <c r="W956" i="5"/>
  <c r="V956" i="5"/>
  <c r="P956" i="5"/>
  <c r="O956" i="5"/>
  <c r="W526" i="5"/>
  <c r="V526" i="5"/>
  <c r="P526" i="5"/>
  <c r="O526" i="5"/>
  <c r="W150" i="5"/>
  <c r="V150" i="5"/>
  <c r="P150" i="5"/>
  <c r="O150" i="5"/>
  <c r="V866" i="5"/>
  <c r="O866" i="5"/>
  <c r="V807" i="5"/>
  <c r="O807" i="5"/>
  <c r="V576" i="5"/>
  <c r="O576" i="5"/>
  <c r="V291" i="5"/>
  <c r="O291" i="5"/>
  <c r="V471" i="5"/>
  <c r="O471" i="5"/>
  <c r="V531" i="5"/>
  <c r="O531" i="5"/>
  <c r="W65" i="5"/>
  <c r="V65" i="5"/>
  <c r="P65" i="5"/>
  <c r="O65" i="5"/>
  <c r="W917" i="5"/>
  <c r="V917" i="5"/>
  <c r="P917" i="5"/>
  <c r="O917" i="5"/>
  <c r="W679" i="5"/>
  <c r="V679" i="5"/>
  <c r="P679" i="5"/>
  <c r="O679" i="5"/>
  <c r="W642" i="5"/>
  <c r="V642" i="5"/>
  <c r="P642" i="5"/>
  <c r="O642" i="5"/>
  <c r="V342" i="5"/>
  <c r="O342" i="5"/>
  <c r="V925" i="5"/>
  <c r="O925" i="5"/>
  <c r="W230" i="5"/>
  <c r="V230" i="5"/>
  <c r="P230" i="5"/>
  <c r="O230" i="5"/>
  <c r="V46" i="5"/>
  <c r="O46" i="5"/>
  <c r="V989" i="5"/>
  <c r="O989" i="5"/>
  <c r="V441" i="5"/>
  <c r="W441" i="5"/>
  <c r="P441" i="5"/>
  <c r="O441" i="5"/>
  <c r="W691" i="5"/>
  <c r="V691" i="5"/>
  <c r="P691" i="5"/>
  <c r="O691" i="5"/>
  <c r="V403" i="5"/>
  <c r="O403" i="5"/>
  <c r="W464" i="5"/>
  <c r="V464" i="5"/>
  <c r="P464" i="5"/>
  <c r="O464" i="5"/>
  <c r="V394" i="5"/>
  <c r="O394" i="5"/>
  <c r="V669" i="5"/>
  <c r="O669" i="5"/>
  <c r="W838" i="5"/>
  <c r="V838" i="5"/>
  <c r="P838" i="5"/>
  <c r="O838" i="5"/>
  <c r="V760" i="5"/>
  <c r="O760" i="5"/>
  <c r="V907" i="5"/>
  <c r="O907" i="5"/>
  <c r="W194" i="5"/>
  <c r="V194" i="5"/>
  <c r="P194" i="5"/>
  <c r="O194" i="5"/>
  <c r="V791" i="5"/>
  <c r="O791" i="5"/>
  <c r="X233" i="5"/>
  <c r="Q233" i="5"/>
  <c r="Y138" i="5"/>
  <c r="R138" i="5"/>
  <c r="Y891" i="5"/>
  <c r="R891" i="5"/>
  <c r="Y926" i="5"/>
  <c r="R926" i="5"/>
  <c r="Z35" i="5"/>
  <c r="S35" i="5"/>
  <c r="X544" i="5"/>
  <c r="Q544" i="5"/>
  <c r="Y52" i="5"/>
  <c r="R52" i="5"/>
  <c r="Y203" i="5"/>
  <c r="R203" i="5"/>
  <c r="Z40" i="5"/>
  <c r="S40" i="5"/>
  <c r="Y546" i="5"/>
  <c r="R546" i="5"/>
  <c r="Y371" i="5"/>
  <c r="R371" i="5"/>
  <c r="Z879" i="5"/>
  <c r="S879" i="5"/>
  <c r="Y44" i="5"/>
  <c r="R44" i="5"/>
  <c r="Y586" i="5"/>
  <c r="R586" i="5"/>
  <c r="Z67" i="5"/>
  <c r="S67" i="5"/>
  <c r="W95" i="5"/>
  <c r="V95" i="5"/>
  <c r="P95" i="5"/>
  <c r="O95" i="5"/>
  <c r="V621" i="5"/>
  <c r="O621" i="5"/>
  <c r="V577" i="5"/>
  <c r="O577" i="5"/>
  <c r="V693" i="5"/>
  <c r="O693" i="5"/>
  <c r="V168" i="5"/>
  <c r="O168" i="5"/>
  <c r="W690" i="5"/>
  <c r="V690" i="5"/>
  <c r="P690" i="5"/>
  <c r="O690" i="5"/>
  <c r="V118" i="5"/>
  <c r="O118" i="5"/>
  <c r="V824" i="5"/>
  <c r="O824" i="5"/>
  <c r="V734" i="5"/>
  <c r="O734" i="5"/>
  <c r="V637" i="5"/>
  <c r="O637" i="5"/>
  <c r="V300" i="5"/>
  <c r="O300" i="5"/>
  <c r="W40" i="5"/>
  <c r="V40" i="5"/>
  <c r="P40" i="5"/>
  <c r="O40" i="5"/>
  <c r="W905" i="5"/>
  <c r="V905" i="5"/>
  <c r="P905" i="5"/>
  <c r="O905" i="5"/>
  <c r="W881" i="5"/>
  <c r="V881" i="5"/>
  <c r="P881" i="5"/>
  <c r="O881" i="5"/>
  <c r="V269" i="5"/>
  <c r="O269" i="5"/>
  <c r="W88" i="5"/>
  <c r="V88" i="5"/>
  <c r="P88" i="5"/>
  <c r="O88" i="5"/>
  <c r="V420" i="5"/>
  <c r="O420" i="5"/>
  <c r="V405" i="5"/>
  <c r="O405" i="5"/>
  <c r="V501" i="5"/>
  <c r="O501" i="5"/>
  <c r="W748" i="5"/>
  <c r="V748" i="5"/>
  <c r="P748" i="5"/>
  <c r="O748" i="5"/>
  <c r="V872" i="5"/>
  <c r="O872" i="5"/>
  <c r="W797" i="5"/>
  <c r="V797" i="5"/>
  <c r="P797" i="5"/>
  <c r="O797" i="5"/>
  <c r="W125" i="5"/>
  <c r="V125" i="5"/>
  <c r="P125" i="5"/>
  <c r="O125" i="5"/>
  <c r="W927" i="5"/>
  <c r="V927" i="5"/>
  <c r="P927" i="5"/>
  <c r="O927" i="5"/>
  <c r="V890" i="5"/>
  <c r="O890" i="5"/>
  <c r="V661" i="5"/>
  <c r="O661" i="5"/>
  <c r="W654" i="5"/>
  <c r="V654" i="5"/>
  <c r="P654" i="5"/>
  <c r="O654" i="5"/>
  <c r="W214" i="5"/>
  <c r="V214" i="5"/>
  <c r="P214" i="5"/>
  <c r="O214" i="5"/>
  <c r="W426" i="5"/>
  <c r="V426" i="5"/>
  <c r="P426" i="5"/>
  <c r="O426" i="5"/>
  <c r="V301" i="5"/>
  <c r="O301" i="5"/>
  <c r="W842" i="5"/>
  <c r="V842" i="5"/>
  <c r="P842" i="5"/>
  <c r="O842" i="5"/>
  <c r="W958" i="5"/>
  <c r="V958" i="5"/>
  <c r="P958" i="5"/>
  <c r="O958" i="5"/>
  <c r="V882" i="5"/>
  <c r="O882" i="5"/>
  <c r="W605" i="5"/>
  <c r="V605" i="5"/>
  <c r="P605" i="5"/>
  <c r="O605" i="5"/>
  <c r="V657" i="5"/>
  <c r="W657" i="5"/>
  <c r="P657" i="5"/>
  <c r="O657" i="5"/>
  <c r="Y322" i="5"/>
  <c r="R322" i="5"/>
  <c r="X878" i="5"/>
  <c r="Q878" i="5"/>
  <c r="Z306" i="5"/>
  <c r="S306" i="5"/>
  <c r="Z165" i="5"/>
  <c r="S165" i="5"/>
  <c r="J958" i="5"/>
  <c r="Z967" i="5"/>
  <c r="S967" i="5"/>
  <c r="Z233" i="5"/>
  <c r="S233" i="5"/>
  <c r="X796" i="5"/>
  <c r="Q796" i="5"/>
  <c r="L98" i="5"/>
  <c r="Y763" i="5"/>
  <c r="R763" i="5"/>
  <c r="Z832" i="5"/>
  <c r="S832" i="5"/>
  <c r="Y900" i="5"/>
  <c r="R900" i="5"/>
  <c r="Z569" i="5"/>
  <c r="S569" i="5"/>
  <c r="X218" i="5"/>
  <c r="Q218" i="5"/>
  <c r="Y901" i="5"/>
  <c r="R901" i="5"/>
  <c r="Y160" i="5"/>
  <c r="R160" i="5"/>
  <c r="X870" i="5"/>
  <c r="Q870" i="5"/>
  <c r="X25" i="5"/>
  <c r="Q25" i="5"/>
  <c r="Z6" i="5"/>
  <c r="S6" i="5"/>
  <c r="Z138" i="5"/>
  <c r="S138" i="5"/>
  <c r="Z771" i="5"/>
  <c r="S771" i="5"/>
  <c r="M950" i="5"/>
  <c r="N950" i="5" s="1"/>
  <c r="Z752" i="5"/>
  <c r="S752" i="5"/>
  <c r="Z891" i="5"/>
  <c r="S891" i="5"/>
  <c r="M185" i="5"/>
  <c r="N185" i="5" s="1"/>
  <c r="X14" i="5"/>
  <c r="Q14" i="5"/>
  <c r="Y324" i="5"/>
  <c r="R324" i="5"/>
  <c r="Z887" i="5"/>
  <c r="S887" i="5"/>
  <c r="Z956" i="5"/>
  <c r="S956" i="5"/>
  <c r="X305" i="5"/>
  <c r="Q305" i="5"/>
  <c r="Y382" i="5"/>
  <c r="R382" i="5"/>
  <c r="Y711" i="5"/>
  <c r="R711" i="5"/>
  <c r="J872" i="5"/>
  <c r="W872" i="5" s="1"/>
  <c r="X955" i="5"/>
  <c r="Q955" i="5"/>
  <c r="Z275" i="5"/>
  <c r="S275" i="5"/>
  <c r="Z739" i="5"/>
  <c r="S739" i="5"/>
  <c r="X348" i="5"/>
  <c r="Q348" i="5"/>
  <c r="X945" i="5"/>
  <c r="Q945" i="5"/>
  <c r="Z315" i="5"/>
  <c r="S315" i="5"/>
  <c r="Z202" i="5"/>
  <c r="S202" i="5"/>
  <c r="Z97" i="5"/>
  <c r="S97" i="5"/>
  <c r="X283" i="5"/>
  <c r="Q283" i="5"/>
  <c r="M323" i="5"/>
  <c r="N323" i="5" s="1"/>
  <c r="X626" i="5"/>
  <c r="Q626" i="5"/>
  <c r="X745" i="5"/>
  <c r="Q745" i="5"/>
  <c r="X438" i="5"/>
  <c r="Q438" i="5"/>
  <c r="X787" i="5"/>
  <c r="Q787" i="5"/>
  <c r="X215" i="5"/>
  <c r="Q215" i="5"/>
  <c r="Z553" i="5"/>
  <c r="S553" i="5"/>
  <c r="Z544" i="5"/>
  <c r="S544" i="5"/>
  <c r="L241" i="5"/>
  <c r="X839" i="5"/>
  <c r="Q839" i="5"/>
  <c r="Y592" i="5"/>
  <c r="R592" i="5"/>
  <c r="Y352" i="5"/>
  <c r="R352" i="5"/>
  <c r="Z23" i="5"/>
  <c r="S23" i="5"/>
  <c r="X85" i="5"/>
  <c r="Q85" i="5"/>
  <c r="J629" i="5"/>
  <c r="Z457" i="5"/>
  <c r="S457" i="5"/>
  <c r="X782" i="5"/>
  <c r="Q782" i="5"/>
  <c r="Y774" i="5"/>
  <c r="R774" i="5"/>
  <c r="Z47" i="5"/>
  <c r="S47" i="5"/>
  <c r="X59" i="5"/>
  <c r="Q59" i="5"/>
  <c r="Y228" i="5"/>
  <c r="R228" i="5"/>
  <c r="X888" i="5"/>
  <c r="Q888" i="5"/>
  <c r="Y455" i="5"/>
  <c r="R455" i="5"/>
  <c r="Z282" i="5"/>
  <c r="S282" i="5"/>
  <c r="X262" i="5"/>
  <c r="Q262" i="5"/>
  <c r="Y465" i="5"/>
  <c r="R465" i="5"/>
  <c r="Y844" i="5"/>
  <c r="R844" i="5"/>
  <c r="Z723" i="5"/>
  <c r="S723" i="5"/>
  <c r="Z651" i="5"/>
  <c r="S651" i="5"/>
  <c r="Z372" i="5"/>
  <c r="S372" i="5"/>
  <c r="X370" i="5"/>
  <c r="Q370" i="5"/>
  <c r="Y126" i="5"/>
  <c r="R126" i="5"/>
  <c r="Z840" i="5"/>
  <c r="S840" i="5"/>
  <c r="Y524" i="5"/>
  <c r="R524" i="5"/>
  <c r="Y432" i="5"/>
  <c r="R432" i="5"/>
  <c r="Y879" i="5"/>
  <c r="R879" i="5"/>
  <c r="Y381" i="5"/>
  <c r="R381" i="5"/>
  <c r="Y858" i="5"/>
  <c r="R858" i="5"/>
  <c r="Y522" i="5"/>
  <c r="R522" i="5"/>
  <c r="X826" i="5"/>
  <c r="Q826" i="5"/>
  <c r="Z540" i="5"/>
  <c r="S540" i="5"/>
  <c r="Y142" i="5"/>
  <c r="R142" i="5"/>
  <c r="X767" i="5"/>
  <c r="Q767" i="5"/>
  <c r="Z191" i="5"/>
  <c r="S191" i="5"/>
  <c r="Z34" i="5"/>
  <c r="S34" i="5"/>
  <c r="X128" i="5"/>
  <c r="Q128" i="5"/>
  <c r="Y184" i="5"/>
  <c r="R184" i="5"/>
  <c r="Z744" i="5"/>
  <c r="S744" i="5"/>
  <c r="Y973" i="5"/>
  <c r="R973" i="5"/>
  <c r="Z700" i="5"/>
  <c r="S700" i="5"/>
  <c r="Y781" i="5"/>
  <c r="R781" i="5"/>
  <c r="Z253" i="5"/>
  <c r="S253" i="5"/>
  <c r="Y520" i="5"/>
  <c r="R520" i="5"/>
  <c r="X934" i="5"/>
  <c r="Q934" i="5"/>
  <c r="X232" i="5"/>
  <c r="Q232" i="5"/>
  <c r="Z712" i="5"/>
  <c r="S712" i="5"/>
  <c r="Y478" i="5"/>
  <c r="R478" i="5"/>
  <c r="Y827" i="5"/>
  <c r="R827" i="5"/>
  <c r="Y19" i="5"/>
  <c r="R19" i="5"/>
  <c r="K303" i="5"/>
  <c r="X473" i="5"/>
  <c r="Q473" i="5"/>
  <c r="K440" i="5"/>
  <c r="Z878" i="5"/>
  <c r="S878" i="5"/>
  <c r="W162" i="5"/>
  <c r="V162" i="5"/>
  <c r="P162" i="5"/>
  <c r="O162" i="5"/>
  <c r="V964" i="5"/>
  <c r="O964" i="5"/>
  <c r="V270" i="5"/>
  <c r="O270" i="5"/>
  <c r="V151" i="5"/>
  <c r="O151" i="5"/>
  <c r="V367" i="5"/>
  <c r="O367" i="5"/>
  <c r="W120" i="5"/>
  <c r="V120" i="5"/>
  <c r="P120" i="5"/>
  <c r="O120" i="5"/>
  <c r="V583" i="5"/>
  <c r="O583" i="5"/>
  <c r="W951" i="5"/>
  <c r="V951" i="5"/>
  <c r="P951" i="5"/>
  <c r="O951" i="5"/>
  <c r="V704" i="5"/>
  <c r="O704" i="5"/>
  <c r="V290" i="5"/>
  <c r="O290" i="5"/>
  <c r="V908" i="5"/>
  <c r="O908" i="5"/>
  <c r="W940" i="5"/>
  <c r="V940" i="5"/>
  <c r="P940" i="5"/>
  <c r="O940" i="5"/>
  <c r="V329" i="5"/>
  <c r="W329" i="5"/>
  <c r="P329" i="5"/>
  <c r="O329" i="5"/>
  <c r="V962" i="5"/>
  <c r="O962" i="5"/>
  <c r="V915" i="5"/>
  <c r="O915" i="5"/>
  <c r="V64" i="5"/>
  <c r="O64" i="5"/>
  <c r="V662" i="5"/>
  <c r="O662" i="5"/>
  <c r="W21" i="5"/>
  <c r="V21" i="5"/>
  <c r="O21" i="5"/>
  <c r="P21" i="5"/>
  <c r="W615" i="5"/>
  <c r="V615" i="5"/>
  <c r="P615" i="5"/>
  <c r="O615" i="5"/>
  <c r="V986" i="5"/>
  <c r="O986" i="5"/>
  <c r="W747" i="5"/>
  <c r="V747" i="5"/>
  <c r="P747" i="5"/>
  <c r="O747" i="5"/>
  <c r="W968" i="5"/>
  <c r="V968" i="5"/>
  <c r="O968" i="5"/>
  <c r="P968" i="5"/>
  <c r="W792" i="5"/>
  <c r="V792" i="5"/>
  <c r="O792" i="5"/>
  <c r="P792" i="5"/>
  <c r="V211" i="5"/>
  <c r="O211" i="5"/>
  <c r="W976" i="5"/>
  <c r="V976" i="5"/>
  <c r="P976" i="5"/>
  <c r="O976" i="5"/>
  <c r="V635" i="5"/>
  <c r="O635" i="5"/>
  <c r="V568" i="5"/>
  <c r="O568" i="5"/>
  <c r="W781" i="5"/>
  <c r="V781" i="5"/>
  <c r="P781" i="5"/>
  <c r="O781" i="5"/>
  <c r="W354" i="5"/>
  <c r="V354" i="5"/>
  <c r="P354" i="5"/>
  <c r="O354" i="5"/>
  <c r="V736" i="5"/>
  <c r="O736" i="5"/>
  <c r="W744" i="5"/>
  <c r="V744" i="5"/>
  <c r="O744" i="5"/>
  <c r="P744" i="5"/>
  <c r="V982" i="5"/>
  <c r="O982" i="5"/>
  <c r="V297" i="5"/>
  <c r="O297" i="5"/>
  <c r="W207" i="5"/>
  <c r="V207" i="5"/>
  <c r="P207" i="5"/>
  <c r="O207" i="5"/>
  <c r="V784" i="5"/>
  <c r="O784" i="5"/>
  <c r="V765" i="5"/>
  <c r="O765" i="5"/>
  <c r="V793" i="5"/>
  <c r="O793" i="5"/>
  <c r="V11" i="5"/>
  <c r="O11" i="5"/>
  <c r="V823" i="5"/>
  <c r="O823" i="5"/>
  <c r="W408" i="5"/>
  <c r="V408" i="5"/>
  <c r="P408" i="5"/>
  <c r="O408" i="5"/>
  <c r="V598" i="5"/>
  <c r="O598" i="5"/>
  <c r="W468" i="5"/>
  <c r="V468" i="5"/>
  <c r="P468" i="5"/>
  <c r="O468" i="5"/>
  <c r="W750" i="5"/>
  <c r="V750" i="5"/>
  <c r="P750" i="5"/>
  <c r="O750" i="5"/>
  <c r="V695" i="5"/>
  <c r="O695" i="5"/>
  <c r="V100" i="5"/>
  <c r="O100" i="5"/>
  <c r="W809" i="5"/>
  <c r="V809" i="5"/>
  <c r="P809" i="5"/>
  <c r="O809" i="5"/>
  <c r="V831" i="5"/>
  <c r="O831" i="5"/>
  <c r="V158" i="5"/>
  <c r="O158" i="5"/>
  <c r="W13" i="5"/>
  <c r="V13" i="5"/>
  <c r="O13" i="5"/>
  <c r="P13" i="5"/>
  <c r="W479" i="5"/>
  <c r="V479" i="5"/>
  <c r="P479" i="5"/>
  <c r="O479" i="5"/>
  <c r="V86" i="5"/>
  <c r="O86" i="5"/>
  <c r="W524" i="5"/>
  <c r="V524" i="5"/>
  <c r="P524" i="5"/>
  <c r="O524" i="5"/>
  <c r="W396" i="5"/>
  <c r="V396" i="5"/>
  <c r="P396" i="5"/>
  <c r="O396" i="5"/>
  <c r="V76" i="5"/>
  <c r="O76" i="5"/>
  <c r="W372" i="5"/>
  <c r="V372" i="5"/>
  <c r="P372" i="5"/>
  <c r="O372" i="5"/>
  <c r="W663" i="5"/>
  <c r="V663" i="5"/>
  <c r="P663" i="5"/>
  <c r="O663" i="5"/>
  <c r="W49" i="5"/>
  <c r="V49" i="5"/>
  <c r="P49" i="5"/>
  <c r="O49" i="5"/>
  <c r="W648" i="5"/>
  <c r="V648" i="5"/>
  <c r="P648" i="5"/>
  <c r="O648" i="5"/>
  <c r="W116" i="5"/>
  <c r="V116" i="5"/>
  <c r="P116" i="5"/>
  <c r="O116" i="5"/>
  <c r="V992" i="5"/>
  <c r="O992" i="5"/>
  <c r="W147" i="5"/>
  <c r="V147" i="5"/>
  <c r="P147" i="5"/>
  <c r="O147" i="5"/>
  <c r="V243" i="5"/>
  <c r="O243" i="5"/>
  <c r="W264" i="5"/>
  <c r="V264" i="5"/>
  <c r="P264" i="5"/>
  <c r="O264" i="5"/>
  <c r="W888" i="5"/>
  <c r="V888" i="5"/>
  <c r="O888" i="5"/>
  <c r="P888" i="5"/>
  <c r="W22" i="5"/>
  <c r="V22" i="5"/>
  <c r="P22" i="5"/>
  <c r="O22" i="5"/>
  <c r="W994" i="5"/>
  <c r="V994" i="5"/>
  <c r="P994" i="5"/>
  <c r="O994" i="5"/>
  <c r="W47" i="5"/>
  <c r="V47" i="5"/>
  <c r="P47" i="5"/>
  <c r="O47" i="5"/>
  <c r="W180" i="5"/>
  <c r="V180" i="5"/>
  <c r="P180" i="5"/>
  <c r="O180" i="5"/>
  <c r="V698" i="5"/>
  <c r="O698" i="5"/>
  <c r="W466" i="5"/>
  <c r="V466" i="5"/>
  <c r="P466" i="5"/>
  <c r="O466" i="5"/>
  <c r="V87" i="5"/>
  <c r="O87" i="5"/>
  <c r="V407" i="5"/>
  <c r="O407" i="5"/>
  <c r="W708" i="5"/>
  <c r="V708" i="5"/>
  <c r="P708" i="5"/>
  <c r="O708" i="5"/>
  <c r="W190" i="5"/>
  <c r="V190" i="5"/>
  <c r="P190" i="5"/>
  <c r="O190" i="5"/>
  <c r="V886" i="5"/>
  <c r="O886" i="5"/>
  <c r="W544" i="5"/>
  <c r="V544" i="5"/>
  <c r="P544" i="5"/>
  <c r="O544" i="5"/>
  <c r="V790" i="5"/>
  <c r="O790" i="5"/>
  <c r="V400" i="5"/>
  <c r="O400" i="5"/>
  <c r="W780" i="5"/>
  <c r="V780" i="5"/>
  <c r="P780" i="5"/>
  <c r="O780" i="5"/>
  <c r="V36" i="5"/>
  <c r="O36" i="5"/>
  <c r="W386" i="5"/>
  <c r="V386" i="5"/>
  <c r="P386" i="5"/>
  <c r="O386" i="5"/>
  <c r="W283" i="5"/>
  <c r="V283" i="5"/>
  <c r="P283" i="5"/>
  <c r="O283" i="5"/>
  <c r="V613" i="5"/>
  <c r="O613" i="5"/>
  <c r="V749" i="5"/>
  <c r="O749" i="5"/>
  <c r="W380" i="5"/>
  <c r="V380" i="5"/>
  <c r="P380" i="5"/>
  <c r="O380" i="5"/>
  <c r="V674" i="5"/>
  <c r="O674" i="5"/>
  <c r="V937" i="5"/>
  <c r="O937" i="5"/>
  <c r="W474" i="5"/>
  <c r="V474" i="5"/>
  <c r="P474" i="5"/>
  <c r="O474" i="5"/>
  <c r="V275" i="5"/>
  <c r="O275" i="5"/>
  <c r="V538" i="5"/>
  <c r="O538" i="5"/>
  <c r="W333" i="5"/>
  <c r="V333" i="5"/>
  <c r="P333" i="5"/>
  <c r="O333" i="5"/>
  <c r="V979" i="5"/>
  <c r="O979" i="5"/>
  <c r="W486" i="5"/>
  <c r="V486" i="5"/>
  <c r="P486" i="5"/>
  <c r="O486" i="5"/>
  <c r="W235" i="5"/>
  <c r="V235" i="5"/>
  <c r="O235" i="5"/>
  <c r="P235" i="5"/>
  <c r="W231" i="5"/>
  <c r="V231" i="5"/>
  <c r="P231" i="5"/>
  <c r="O231" i="5"/>
  <c r="V390" i="5"/>
  <c r="O390" i="5"/>
  <c r="W31" i="5"/>
  <c r="V31" i="5"/>
  <c r="P31" i="5"/>
  <c r="O31" i="5"/>
  <c r="V902" i="5"/>
  <c r="O902" i="5"/>
  <c r="V506" i="5"/>
  <c r="O506" i="5"/>
  <c r="W63" i="5"/>
  <c r="V63" i="5"/>
  <c r="P63" i="5"/>
  <c r="O63" i="5"/>
  <c r="V664" i="5"/>
  <c r="O664" i="5"/>
  <c r="V70" i="5"/>
  <c r="O70" i="5"/>
  <c r="W140" i="5"/>
  <c r="V140" i="5"/>
  <c r="P140" i="5"/>
  <c r="O140" i="5"/>
  <c r="V280" i="5"/>
  <c r="O280" i="5"/>
  <c r="V343" i="5"/>
  <c r="O343" i="5"/>
  <c r="W6" i="5"/>
  <c r="V6" i="5"/>
  <c r="P6" i="5"/>
  <c r="O6" i="5"/>
  <c r="W803" i="5"/>
  <c r="V803" i="5"/>
  <c r="O803" i="5"/>
  <c r="P803" i="5"/>
  <c r="V363" i="5"/>
  <c r="O363" i="5"/>
  <c r="W901" i="5"/>
  <c r="V901" i="5"/>
  <c r="P901" i="5"/>
  <c r="O901" i="5"/>
  <c r="V276" i="5"/>
  <c r="O276" i="5"/>
  <c r="V949" i="5"/>
  <c r="O949" i="5"/>
  <c r="W900" i="5"/>
  <c r="V900" i="5"/>
  <c r="P900" i="5"/>
  <c r="O900" i="5"/>
  <c r="V351" i="5"/>
  <c r="O351" i="5"/>
  <c r="W582" i="5"/>
  <c r="V582" i="5"/>
  <c r="P582" i="5"/>
  <c r="O582" i="5"/>
  <c r="W796" i="5"/>
  <c r="V796" i="5"/>
  <c r="P796" i="5"/>
  <c r="O796" i="5"/>
  <c r="V532" i="5"/>
  <c r="O532" i="5"/>
  <c r="W836" i="5"/>
  <c r="V836" i="5"/>
  <c r="P836" i="5"/>
  <c r="O836" i="5"/>
  <c r="W447" i="5"/>
  <c r="V447" i="5"/>
  <c r="P447" i="5"/>
  <c r="O447" i="5"/>
  <c r="V362" i="5"/>
  <c r="O362" i="5"/>
  <c r="V742" i="5"/>
  <c r="O742" i="5"/>
  <c r="W878" i="5"/>
  <c r="V878" i="5"/>
  <c r="P878" i="5"/>
  <c r="O878" i="5"/>
  <c r="V849" i="5"/>
  <c r="O849" i="5"/>
  <c r="V847" i="5"/>
  <c r="W847" i="5"/>
  <c r="P847" i="5"/>
  <c r="O847" i="5"/>
  <c r="W103" i="5"/>
  <c r="V103" i="5"/>
  <c r="P103" i="5"/>
  <c r="O103" i="5"/>
  <c r="W868" i="5"/>
  <c r="V868" i="5"/>
  <c r="P868" i="5"/>
  <c r="O868" i="5"/>
  <c r="Z154" i="5"/>
  <c r="S154" i="5"/>
  <c r="X865" i="5"/>
  <c r="Q865" i="5"/>
  <c r="Y731" i="5"/>
  <c r="R731" i="5"/>
  <c r="Z672" i="5"/>
  <c r="S672" i="5"/>
  <c r="X419" i="5"/>
  <c r="Q419" i="5"/>
  <c r="Y496" i="5"/>
  <c r="R496" i="5"/>
  <c r="Y627" i="5"/>
  <c r="R627" i="5"/>
  <c r="V430" i="5"/>
  <c r="O430" i="5"/>
  <c r="V614" i="5"/>
  <c r="O614" i="5"/>
  <c r="W853" i="5"/>
  <c r="V853" i="5"/>
  <c r="P853" i="5"/>
  <c r="O853" i="5"/>
  <c r="X335" i="5"/>
  <c r="Q335" i="5"/>
  <c r="Z313" i="5"/>
  <c r="S313" i="5"/>
  <c r="Z504" i="5"/>
  <c r="S504" i="5"/>
  <c r="Z446" i="5"/>
  <c r="S446" i="5"/>
  <c r="X700" i="5"/>
  <c r="Q700" i="5"/>
  <c r="Z232" i="5"/>
  <c r="S232" i="5"/>
  <c r="Z515" i="5"/>
  <c r="S515" i="5"/>
  <c r="Y892" i="5"/>
  <c r="R892" i="5"/>
  <c r="Z868" i="5"/>
  <c r="S868" i="5"/>
  <c r="X838" i="5"/>
  <c r="Q838" i="5"/>
  <c r="V41" i="5"/>
  <c r="O41" i="5"/>
  <c r="W910" i="5"/>
  <c r="V910" i="5"/>
  <c r="P910" i="5"/>
  <c r="O910" i="5"/>
  <c r="W251" i="5"/>
  <c r="V251" i="5"/>
  <c r="P251" i="5"/>
  <c r="O251" i="5"/>
  <c r="W247" i="5"/>
  <c r="V247" i="5"/>
  <c r="P247" i="5"/>
  <c r="O247" i="5"/>
  <c r="V434" i="5"/>
  <c r="O434" i="5"/>
  <c r="V981" i="5"/>
  <c r="O981" i="5"/>
  <c r="W946" i="5"/>
  <c r="V946" i="5"/>
  <c r="P946" i="5"/>
  <c r="O946" i="5"/>
  <c r="V33" i="5"/>
  <c r="O33" i="5"/>
  <c r="V515" i="5"/>
  <c r="O515" i="5"/>
  <c r="V178" i="5"/>
  <c r="O178" i="5"/>
  <c r="V489" i="5"/>
  <c r="O489" i="5"/>
  <c r="W590" i="5"/>
  <c r="V590" i="5"/>
  <c r="P590" i="5"/>
  <c r="O590" i="5"/>
  <c r="V510" i="5"/>
  <c r="O510" i="5"/>
  <c r="W99" i="5"/>
  <c r="V99" i="5"/>
  <c r="P99" i="5"/>
  <c r="O99" i="5"/>
  <c r="W512" i="5"/>
  <c r="V512" i="5"/>
  <c r="P512" i="5"/>
  <c r="O512" i="5"/>
  <c r="W330" i="5"/>
  <c r="V330" i="5"/>
  <c r="P330" i="5"/>
  <c r="O330" i="5"/>
  <c r="V317" i="5"/>
  <c r="O317" i="5"/>
  <c r="V226" i="5"/>
  <c r="O226" i="5"/>
  <c r="W246" i="5"/>
  <c r="V246" i="5"/>
  <c r="P246" i="5"/>
  <c r="O246" i="5"/>
  <c r="W863" i="5"/>
  <c r="V863" i="5"/>
  <c r="P863" i="5"/>
  <c r="O863" i="5"/>
  <c r="W149" i="5"/>
  <c r="V149" i="5"/>
  <c r="P149" i="5"/>
  <c r="O149" i="5"/>
  <c r="V786" i="5"/>
  <c r="O786" i="5"/>
  <c r="W239" i="5"/>
  <c r="V239" i="5"/>
  <c r="P239" i="5"/>
  <c r="O239" i="5"/>
  <c r="V494" i="5"/>
  <c r="O494" i="5"/>
  <c r="W67" i="5"/>
  <c r="V67" i="5"/>
  <c r="P67" i="5"/>
  <c r="O67" i="5"/>
  <c r="W326" i="5"/>
  <c r="V326" i="5"/>
  <c r="P326" i="5"/>
  <c r="O326" i="5"/>
  <c r="V783" i="5"/>
  <c r="O783" i="5"/>
  <c r="V496" i="5"/>
  <c r="O496" i="5"/>
  <c r="W687" i="5"/>
  <c r="V687" i="5"/>
  <c r="P687" i="5"/>
  <c r="O687" i="5"/>
  <c r="V959" i="5"/>
  <c r="O959" i="5"/>
  <c r="V580" i="5"/>
  <c r="O580" i="5"/>
  <c r="V732" i="5"/>
  <c r="O732" i="5"/>
  <c r="W597" i="5"/>
  <c r="V597" i="5"/>
  <c r="P597" i="5"/>
  <c r="O597" i="5"/>
  <c r="V338" i="5"/>
  <c r="O338" i="5"/>
  <c r="W903" i="5"/>
  <c r="V903" i="5"/>
  <c r="P903" i="5"/>
  <c r="O903" i="5"/>
  <c r="W110" i="5"/>
  <c r="V110" i="5"/>
  <c r="P110" i="5"/>
  <c r="O110" i="5"/>
  <c r="W972" i="5"/>
  <c r="V972" i="5"/>
  <c r="P972" i="5"/>
  <c r="O972" i="5"/>
  <c r="W142" i="5"/>
  <c r="V142" i="5"/>
  <c r="P142" i="5"/>
  <c r="O142" i="5"/>
  <c r="W799" i="5"/>
  <c r="V799" i="5"/>
  <c r="P799" i="5"/>
  <c r="O799" i="5"/>
  <c r="V561" i="5"/>
  <c r="W561" i="5"/>
  <c r="P561" i="5"/>
  <c r="O561" i="5"/>
  <c r="W26" i="5"/>
  <c r="V26" i="5"/>
  <c r="P26" i="5"/>
  <c r="O26" i="5"/>
  <c r="V461" i="5"/>
  <c r="O461" i="5"/>
  <c r="V858" i="5"/>
  <c r="O858" i="5"/>
  <c r="W493" i="5"/>
  <c r="V493" i="5"/>
  <c r="P493" i="5"/>
  <c r="O493" i="5"/>
  <c r="W811" i="5"/>
  <c r="V811" i="5"/>
  <c r="P811" i="5"/>
  <c r="O811" i="5"/>
  <c r="V879" i="5"/>
  <c r="W879" i="5"/>
  <c r="P879" i="5"/>
  <c r="O879" i="5"/>
  <c r="V108" i="5"/>
  <c r="O108" i="5"/>
  <c r="W459" i="5"/>
  <c r="V459" i="5"/>
  <c r="P459" i="5"/>
  <c r="O459" i="5"/>
  <c r="W398" i="5"/>
  <c r="V398" i="5"/>
  <c r="P398" i="5"/>
  <c r="O398" i="5"/>
  <c r="W439" i="5"/>
  <c r="V439" i="5"/>
  <c r="P439" i="5"/>
  <c r="O439" i="5"/>
  <c r="V318" i="5"/>
  <c r="O318" i="5"/>
  <c r="W651" i="5"/>
  <c r="V651" i="5"/>
  <c r="P651" i="5"/>
  <c r="O651" i="5"/>
  <c r="V914" i="5"/>
  <c r="O914" i="5"/>
  <c r="V701" i="5"/>
  <c r="O701" i="5"/>
  <c r="V237" i="5"/>
  <c r="O237" i="5"/>
  <c r="V527" i="5"/>
  <c r="O527" i="5"/>
  <c r="W39" i="5"/>
  <c r="V39" i="5"/>
  <c r="P39" i="5"/>
  <c r="O39" i="5"/>
  <c r="W828" i="5"/>
  <c r="V828" i="5"/>
  <c r="P828" i="5"/>
  <c r="O828" i="5"/>
  <c r="V513" i="5"/>
  <c r="W513" i="5"/>
  <c r="P513" i="5"/>
  <c r="O513" i="5"/>
  <c r="W58" i="5"/>
  <c r="V58" i="5"/>
  <c r="P58" i="5"/>
  <c r="O58" i="5"/>
  <c r="W201" i="5"/>
  <c r="V201" i="5"/>
  <c r="P201" i="5"/>
  <c r="O201" i="5"/>
  <c r="W59" i="5"/>
  <c r="V59" i="5"/>
  <c r="P59" i="5"/>
  <c r="O59" i="5"/>
  <c r="W316" i="5"/>
  <c r="V316" i="5"/>
  <c r="P316" i="5"/>
  <c r="O316" i="5"/>
  <c r="V497" i="5"/>
  <c r="W497" i="5"/>
  <c r="P497" i="5"/>
  <c r="O497" i="5"/>
  <c r="V457" i="5"/>
  <c r="W457" i="5"/>
  <c r="P457" i="5"/>
  <c r="O457" i="5"/>
  <c r="W606" i="5"/>
  <c r="V606" i="5"/>
  <c r="P606" i="5"/>
  <c r="O606" i="5"/>
  <c r="W85" i="5"/>
  <c r="V85" i="5"/>
  <c r="P85" i="5"/>
  <c r="O85" i="5"/>
  <c r="W833" i="5"/>
  <c r="V833" i="5"/>
  <c r="P833" i="5"/>
  <c r="O833" i="5"/>
  <c r="V32" i="5"/>
  <c r="O32" i="5"/>
  <c r="W805" i="5"/>
  <c r="V805" i="5"/>
  <c r="P805" i="5"/>
  <c r="O805" i="5"/>
  <c r="W60" i="5"/>
  <c r="V60" i="5"/>
  <c r="P60" i="5"/>
  <c r="O60" i="5"/>
  <c r="W857" i="5"/>
  <c r="V857" i="5"/>
  <c r="P857" i="5"/>
  <c r="O857" i="5"/>
  <c r="W310" i="5"/>
  <c r="V310" i="5"/>
  <c r="P310" i="5"/>
  <c r="O310" i="5"/>
  <c r="W413" i="5"/>
  <c r="V413" i="5"/>
  <c r="P413" i="5"/>
  <c r="O413" i="5"/>
  <c r="W754" i="5"/>
  <c r="V754" i="5"/>
  <c r="P754" i="5"/>
  <c r="O754" i="5"/>
  <c r="W438" i="5"/>
  <c r="V438" i="5"/>
  <c r="P438" i="5"/>
  <c r="O438" i="5"/>
  <c r="W997" i="5"/>
  <c r="V997" i="5"/>
  <c r="P997" i="5"/>
  <c r="O997" i="5"/>
  <c r="V521" i="5"/>
  <c r="W521" i="5"/>
  <c r="P521" i="5"/>
  <c r="O521" i="5"/>
  <c r="V97" i="5"/>
  <c r="W97" i="5"/>
  <c r="P97" i="5"/>
  <c r="O97" i="5"/>
  <c r="V315" i="5"/>
  <c r="O315" i="5"/>
  <c r="W348" i="5"/>
  <c r="V348" i="5"/>
  <c r="P348" i="5"/>
  <c r="O348" i="5"/>
  <c r="W491" i="5"/>
  <c r="V491" i="5"/>
  <c r="O491" i="5"/>
  <c r="P491" i="5"/>
  <c r="W739" i="5"/>
  <c r="V739" i="5"/>
  <c r="O739" i="5"/>
  <c r="P739" i="5"/>
  <c r="V570" i="5"/>
  <c r="O570" i="5"/>
  <c r="W665" i="5"/>
  <c r="V665" i="5"/>
  <c r="P665" i="5"/>
  <c r="O665" i="5"/>
  <c r="W993" i="5"/>
  <c r="V993" i="5"/>
  <c r="P993" i="5"/>
  <c r="O993" i="5"/>
  <c r="W101" i="5"/>
  <c r="V101" i="5"/>
  <c r="P101" i="5"/>
  <c r="O101" i="5"/>
  <c r="W273" i="5"/>
  <c r="V273" i="5"/>
  <c r="P273" i="5"/>
  <c r="O273" i="5"/>
  <c r="V122" i="5"/>
  <c r="O122" i="5"/>
  <c r="V703" i="5"/>
  <c r="O703" i="5"/>
  <c r="W382" i="5"/>
  <c r="V382" i="5"/>
  <c r="P382" i="5"/>
  <c r="O382" i="5"/>
  <c r="V305" i="5"/>
  <c r="W305" i="5"/>
  <c r="P305" i="5"/>
  <c r="O305" i="5"/>
  <c r="W887" i="5"/>
  <c r="V887" i="5"/>
  <c r="P887" i="5"/>
  <c r="O887" i="5"/>
  <c r="V815" i="5"/>
  <c r="W815" i="5"/>
  <c r="P815" i="5"/>
  <c r="O815" i="5"/>
  <c r="V212" i="5"/>
  <c r="O212" i="5"/>
  <c r="W891" i="5"/>
  <c r="V891" i="5"/>
  <c r="P891" i="5"/>
  <c r="O891" i="5"/>
  <c r="W227" i="5"/>
  <c r="V227" i="5"/>
  <c r="P227" i="5"/>
  <c r="O227" i="5"/>
  <c r="V919" i="5"/>
  <c r="W919" i="5"/>
  <c r="P919" i="5"/>
  <c r="O919" i="5"/>
  <c r="W771" i="5"/>
  <c r="V771" i="5"/>
  <c r="O771" i="5"/>
  <c r="P771" i="5"/>
  <c r="W814" i="5"/>
  <c r="V814" i="5"/>
  <c r="P814" i="5"/>
  <c r="O814" i="5"/>
  <c r="V653" i="5"/>
  <c r="O653" i="5"/>
  <c r="W889" i="5"/>
  <c r="V889" i="5"/>
  <c r="P889" i="5"/>
  <c r="O889" i="5"/>
  <c r="W25" i="5"/>
  <c r="V25" i="5"/>
  <c r="P25" i="5"/>
  <c r="O25" i="5"/>
  <c r="W865" i="5"/>
  <c r="V865" i="5"/>
  <c r="P865" i="5"/>
  <c r="O865" i="5"/>
  <c r="V378" i="5"/>
  <c r="O378" i="5"/>
  <c r="W218" i="5"/>
  <c r="V218" i="5"/>
  <c r="P218" i="5"/>
  <c r="O218" i="5"/>
  <c r="W134" i="5"/>
  <c r="V134" i="5"/>
  <c r="P134" i="5"/>
  <c r="O134" i="5"/>
  <c r="V360" i="5"/>
  <c r="O360" i="5"/>
  <c r="W564" i="5"/>
  <c r="V564" i="5"/>
  <c r="P564" i="5"/>
  <c r="O564" i="5"/>
  <c r="W720" i="5"/>
  <c r="V720" i="5"/>
  <c r="P720" i="5"/>
  <c r="O720" i="5"/>
  <c r="W485" i="5"/>
  <c r="V485" i="5"/>
  <c r="P485" i="5"/>
  <c r="O485" i="5"/>
  <c r="W899" i="5"/>
  <c r="V899" i="5"/>
  <c r="O899" i="5"/>
  <c r="P899" i="5"/>
  <c r="W942" i="5"/>
  <c r="V942" i="5"/>
  <c r="P942" i="5"/>
  <c r="O942" i="5"/>
  <c r="W335" i="5"/>
  <c r="V335" i="5"/>
  <c r="P335" i="5"/>
  <c r="O335" i="5"/>
  <c r="W921" i="5"/>
  <c r="V921" i="5"/>
  <c r="P921" i="5"/>
  <c r="O921" i="5"/>
  <c r="V436" i="5"/>
  <c r="O436" i="5"/>
  <c r="V941" i="5"/>
  <c r="O941" i="5"/>
  <c r="V631" i="5"/>
  <c r="O631" i="5"/>
  <c r="V66" i="5"/>
  <c r="O66" i="5"/>
  <c r="V322" i="5"/>
  <c r="O322" i="5"/>
  <c r="W884" i="5"/>
  <c r="V884" i="5"/>
  <c r="P884" i="5"/>
  <c r="O884" i="5"/>
  <c r="Y464" i="5"/>
  <c r="R464" i="5"/>
  <c r="Z779" i="5"/>
  <c r="S779" i="5"/>
  <c r="Y421" i="5"/>
  <c r="R421" i="5"/>
  <c r="X956" i="5"/>
  <c r="Q956" i="5"/>
  <c r="Y288" i="5"/>
  <c r="R288" i="5"/>
  <c r="X739" i="5"/>
  <c r="Q739" i="5"/>
  <c r="Y754" i="5"/>
  <c r="R754" i="5"/>
  <c r="Z483" i="5"/>
  <c r="S483" i="5"/>
  <c r="Y805" i="5"/>
  <c r="R805" i="5"/>
  <c r="X23" i="5"/>
  <c r="Q23" i="5"/>
  <c r="Y58" i="5"/>
  <c r="R58" i="5"/>
  <c r="Z454" i="5"/>
  <c r="S454" i="5"/>
  <c r="Z48" i="5"/>
  <c r="S48" i="5"/>
  <c r="Y811" i="5"/>
  <c r="R811" i="5"/>
  <c r="X26" i="5"/>
  <c r="Q26" i="5"/>
  <c r="Y349" i="5"/>
  <c r="R349" i="5"/>
  <c r="X84" i="5"/>
  <c r="Q84" i="5"/>
  <c r="Y278" i="5"/>
  <c r="R278" i="5"/>
  <c r="X487" i="5"/>
  <c r="Q487" i="5"/>
  <c r="X874" i="5"/>
  <c r="Q874" i="5"/>
  <c r="X884" i="5"/>
  <c r="Q884" i="5"/>
  <c r="Y913" i="5"/>
  <c r="R913" i="5"/>
  <c r="V42" i="5"/>
  <c r="O42" i="5"/>
  <c r="W880" i="5"/>
  <c r="V880" i="5"/>
  <c r="P880" i="5"/>
  <c r="O880" i="5"/>
  <c r="V193" i="5"/>
  <c r="O193" i="5"/>
  <c r="V423" i="5"/>
  <c r="O423" i="5"/>
  <c r="V963" i="5"/>
  <c r="O963" i="5"/>
  <c r="V296" i="5"/>
  <c r="O296" i="5"/>
  <c r="W54" i="5"/>
  <c r="V54" i="5"/>
  <c r="P54" i="5"/>
  <c r="O54" i="5"/>
  <c r="V916" i="5"/>
  <c r="O916" i="5"/>
  <c r="W27" i="5"/>
  <c r="V27" i="5"/>
  <c r="P27" i="5"/>
  <c r="O27" i="5"/>
  <c r="V52" i="5"/>
  <c r="O52" i="5"/>
  <c r="V801" i="5"/>
  <c r="O801" i="5"/>
  <c r="X96" i="5"/>
  <c r="Q96" i="5"/>
  <c r="X967" i="5"/>
  <c r="Q967" i="5"/>
  <c r="Z899" i="5"/>
  <c r="S899" i="5"/>
  <c r="Z763" i="5"/>
  <c r="S763" i="5"/>
  <c r="X160" i="5"/>
  <c r="Q160" i="5"/>
  <c r="X697" i="5"/>
  <c r="Q697" i="5"/>
  <c r="Z14" i="5"/>
  <c r="S14" i="5"/>
  <c r="X887" i="5"/>
  <c r="Q887" i="5"/>
  <c r="Z382" i="5"/>
  <c r="S382" i="5"/>
  <c r="X77" i="5"/>
  <c r="Q77" i="5"/>
  <c r="Z993" i="5"/>
  <c r="S993" i="5"/>
  <c r="K307" i="5"/>
  <c r="Y975" i="5"/>
  <c r="R975" i="5"/>
  <c r="Y315" i="5"/>
  <c r="R315" i="5"/>
  <c r="Y283" i="5"/>
  <c r="R283" i="5"/>
  <c r="Y745" i="5"/>
  <c r="R745" i="5"/>
  <c r="Z352" i="5"/>
  <c r="S352" i="5"/>
  <c r="X537" i="5"/>
  <c r="Q537" i="5"/>
  <c r="X466" i="5"/>
  <c r="Q466" i="5"/>
  <c r="Y782" i="5"/>
  <c r="R782" i="5"/>
  <c r="Z228" i="5"/>
  <c r="S228" i="5"/>
  <c r="Z828" i="5"/>
  <c r="S828" i="5"/>
  <c r="Z398" i="5"/>
  <c r="S398" i="5"/>
  <c r="X409" i="5"/>
  <c r="Q409" i="5"/>
  <c r="X443" i="5"/>
  <c r="Q443" i="5"/>
  <c r="Y826" i="5"/>
  <c r="R826" i="5"/>
  <c r="Y659" i="5"/>
  <c r="R659" i="5"/>
  <c r="Z184" i="5"/>
  <c r="S184" i="5"/>
  <c r="Z973" i="5"/>
  <c r="S973" i="5"/>
  <c r="Y934" i="5"/>
  <c r="R934" i="5"/>
  <c r="Z33" i="5"/>
  <c r="S33" i="5"/>
  <c r="Z401" i="5"/>
  <c r="S401" i="5"/>
  <c r="V585" i="5"/>
  <c r="O585" i="5"/>
  <c r="K96" i="5"/>
  <c r="Y688" i="5"/>
  <c r="R688" i="5"/>
  <c r="L958" i="5"/>
  <c r="Y967" i="5"/>
  <c r="R967" i="5"/>
  <c r="X899" i="5"/>
  <c r="Q899" i="5"/>
  <c r="Z796" i="5"/>
  <c r="S796" i="5"/>
  <c r="X953" i="5"/>
  <c r="Q953" i="5"/>
  <c r="X230" i="5"/>
  <c r="Q230" i="5"/>
  <c r="X134" i="5"/>
  <c r="Q134" i="5"/>
  <c r="X5" i="5"/>
  <c r="Q5" i="5"/>
  <c r="Y276" i="5"/>
  <c r="R276" i="5"/>
  <c r="Z160" i="5"/>
  <c r="S160" i="5"/>
  <c r="Z870" i="5"/>
  <c r="S870" i="5"/>
  <c r="Z25" i="5"/>
  <c r="S25" i="5"/>
  <c r="Y6" i="5"/>
  <c r="R6" i="5"/>
  <c r="Y697" i="5"/>
  <c r="R697" i="5"/>
  <c r="Z743" i="5"/>
  <c r="S743" i="5"/>
  <c r="Y814" i="5"/>
  <c r="R814" i="5"/>
  <c r="Z140" i="5"/>
  <c r="S140" i="5"/>
  <c r="Y735" i="5"/>
  <c r="R735" i="5"/>
  <c r="X548" i="5"/>
  <c r="Q548" i="5"/>
  <c r="Y227" i="5"/>
  <c r="R227" i="5"/>
  <c r="X63" i="5"/>
  <c r="Q63" i="5"/>
  <c r="Y821" i="5"/>
  <c r="R821" i="5"/>
  <c r="Y887" i="5"/>
  <c r="R887" i="5"/>
  <c r="K927" i="5"/>
  <c r="Y331" i="5"/>
  <c r="R331" i="5"/>
  <c r="K722" i="5"/>
  <c r="Z122" i="5"/>
  <c r="S122" i="5"/>
  <c r="Y77" i="5"/>
  <c r="R77" i="5"/>
  <c r="Z333" i="5"/>
  <c r="S333" i="5"/>
  <c r="L872" i="5"/>
  <c r="Z406" i="5"/>
  <c r="S406" i="5"/>
  <c r="Z955" i="5"/>
  <c r="S955" i="5"/>
  <c r="Z385" i="5"/>
  <c r="S385" i="5"/>
  <c r="L307" i="5"/>
  <c r="Z948" i="5"/>
  <c r="S948" i="5"/>
  <c r="X975" i="5"/>
  <c r="Q975" i="5"/>
  <c r="Z348" i="5"/>
  <c r="S348" i="5"/>
  <c r="S945" i="5"/>
  <c r="X257" i="5"/>
  <c r="Q257" i="5"/>
  <c r="X234" i="5"/>
  <c r="Q234" i="5"/>
  <c r="Z50" i="5"/>
  <c r="S50" i="5"/>
  <c r="Z283" i="5"/>
  <c r="S283" i="5"/>
  <c r="X789" i="5"/>
  <c r="Q789" i="5"/>
  <c r="Z626" i="5"/>
  <c r="S626" i="5"/>
  <c r="Z745" i="5"/>
  <c r="S745" i="5"/>
  <c r="Y780" i="5"/>
  <c r="R780" i="5"/>
  <c r="K269" i="5"/>
  <c r="Z413" i="5"/>
  <c r="S413" i="5"/>
  <c r="Z787" i="5"/>
  <c r="S787" i="5"/>
  <c r="Z215" i="5"/>
  <c r="S215" i="5"/>
  <c r="X857" i="5"/>
  <c r="Q857" i="5"/>
  <c r="X864" i="5"/>
  <c r="Q864" i="5"/>
  <c r="X508" i="5"/>
  <c r="Q508" i="5"/>
  <c r="Z839" i="5"/>
  <c r="S839" i="5"/>
  <c r="Y80" i="5"/>
  <c r="R80" i="5"/>
  <c r="Y833" i="5"/>
  <c r="R833" i="5"/>
  <c r="Y537" i="5"/>
  <c r="R537" i="5"/>
  <c r="Y170" i="5"/>
  <c r="R170" i="5"/>
  <c r="Y466" i="5"/>
  <c r="R466" i="5"/>
  <c r="Z74" i="5"/>
  <c r="S74" i="5"/>
  <c r="Z782" i="5"/>
  <c r="S782" i="5"/>
  <c r="Y94" i="5"/>
  <c r="R94" i="5"/>
  <c r="Z59" i="5"/>
  <c r="S59" i="5"/>
  <c r="Y560" i="5"/>
  <c r="R560" i="5"/>
  <c r="Z888" i="5"/>
  <c r="S888" i="5"/>
  <c r="X379" i="5"/>
  <c r="Q379" i="5"/>
  <c r="X828" i="5"/>
  <c r="Q828" i="5"/>
  <c r="L27" i="5"/>
  <c r="X834" i="5"/>
  <c r="Q834" i="5"/>
  <c r="Y651" i="5"/>
  <c r="R651" i="5"/>
  <c r="X656" i="5"/>
  <c r="X289" i="5"/>
  <c r="Q289" i="5"/>
  <c r="X761" i="5"/>
  <c r="Q761" i="5"/>
  <c r="Y409" i="5"/>
  <c r="R409" i="5"/>
  <c r="Y13" i="5"/>
  <c r="R13" i="5"/>
  <c r="Y493" i="5"/>
  <c r="R493" i="5"/>
  <c r="Y443" i="5"/>
  <c r="R443" i="5"/>
  <c r="Z603" i="5"/>
  <c r="S603" i="5"/>
  <c r="Z841" i="5"/>
  <c r="S841" i="5"/>
  <c r="Z522" i="5"/>
  <c r="S522" i="5"/>
  <c r="J448" i="5"/>
  <c r="Z680" i="5"/>
  <c r="S680" i="5"/>
  <c r="Y972" i="5"/>
  <c r="R972" i="5"/>
  <c r="Z767" i="5"/>
  <c r="S767" i="5"/>
  <c r="X188" i="5"/>
  <c r="Q188" i="5"/>
  <c r="X597" i="5"/>
  <c r="Q597" i="5"/>
  <c r="K732" i="5"/>
  <c r="Z250" i="5"/>
  <c r="S250" i="5"/>
  <c r="Z128" i="5"/>
  <c r="S128" i="5"/>
  <c r="X207" i="5"/>
  <c r="Q207" i="5"/>
  <c r="K145" i="5"/>
  <c r="Z197" i="5"/>
  <c r="S197" i="5"/>
  <c r="Y660" i="5"/>
  <c r="R660" i="5"/>
  <c r="L326" i="5"/>
  <c r="Y700" i="5"/>
  <c r="R700" i="5"/>
  <c r="L239" i="5"/>
  <c r="Y239" i="5" s="1"/>
  <c r="Y410" i="5"/>
  <c r="R410" i="5"/>
  <c r="X976" i="5"/>
  <c r="Q976" i="5"/>
  <c r="X164" i="5"/>
  <c r="Q164" i="5"/>
  <c r="L226" i="5"/>
  <c r="Y775" i="5"/>
  <c r="R775" i="5"/>
  <c r="X427" i="5"/>
  <c r="Q427" i="5"/>
  <c r="X816" i="5"/>
  <c r="Q816" i="5"/>
  <c r="L512" i="5"/>
  <c r="X252" i="5"/>
  <c r="Q252" i="5"/>
  <c r="L590" i="5"/>
  <c r="X618" i="5"/>
  <c r="Q618" i="5"/>
  <c r="Y804" i="5"/>
  <c r="R804" i="5"/>
  <c r="M515" i="5"/>
  <c r="N515" i="5" s="1"/>
  <c r="X92" i="5"/>
  <c r="Q92" i="5"/>
  <c r="Z908" i="5"/>
  <c r="S908" i="5"/>
  <c r="Y401" i="5"/>
  <c r="R401" i="5"/>
  <c r="Z892" i="5"/>
  <c r="S892" i="5"/>
  <c r="X769" i="5"/>
  <c r="Q769" i="5"/>
  <c r="X210" i="5"/>
  <c r="Q210" i="5"/>
  <c r="L657" i="5"/>
  <c r="W136" i="5"/>
  <c r="V136" i="5"/>
  <c r="P136" i="5"/>
  <c r="O136" i="5"/>
  <c r="V69" i="5"/>
  <c r="O69" i="5"/>
  <c r="V991" i="5"/>
  <c r="O991" i="5"/>
  <c r="W90" i="5"/>
  <c r="V90" i="5"/>
  <c r="P90" i="5"/>
  <c r="O90" i="5"/>
  <c r="W608" i="5"/>
  <c r="V608" i="5"/>
  <c r="P608" i="5"/>
  <c r="O608" i="5"/>
  <c r="W874" i="5"/>
  <c r="V874" i="5"/>
  <c r="P874" i="5"/>
  <c r="O874" i="5"/>
  <c r="V768" i="5"/>
  <c r="O768" i="5"/>
  <c r="W401" i="5"/>
  <c r="V401" i="5"/>
  <c r="P401" i="5"/>
  <c r="O401" i="5"/>
  <c r="V129" i="5"/>
  <c r="W129" i="5"/>
  <c r="P129" i="5"/>
  <c r="O129" i="5"/>
  <c r="V818" i="5"/>
  <c r="O818" i="5"/>
  <c r="W19" i="5"/>
  <c r="V19" i="5"/>
  <c r="P19" i="5"/>
  <c r="O19" i="5"/>
  <c r="W559" i="5"/>
  <c r="V559" i="5"/>
  <c r="P559" i="5"/>
  <c r="O559" i="5"/>
  <c r="V364" i="5"/>
  <c r="O364" i="5"/>
  <c r="W974" i="5"/>
  <c r="V974" i="5"/>
  <c r="P974" i="5"/>
  <c r="O974" i="5"/>
  <c r="W109" i="5"/>
  <c r="V109" i="5"/>
  <c r="P109" i="5"/>
  <c r="O109" i="5"/>
  <c r="W57" i="5"/>
  <c r="V57" i="5"/>
  <c r="P57" i="5"/>
  <c r="O57" i="5"/>
  <c r="W647" i="5"/>
  <c r="V647" i="5"/>
  <c r="P647" i="5"/>
  <c r="O647" i="5"/>
  <c r="V375" i="5"/>
  <c r="O375" i="5"/>
  <c r="V444" i="5"/>
  <c r="O444" i="5"/>
  <c r="W816" i="5"/>
  <c r="V816" i="5"/>
  <c r="P816" i="5"/>
  <c r="O816" i="5"/>
  <c r="W999" i="5"/>
  <c r="V999" i="5"/>
  <c r="P999" i="5"/>
  <c r="O999" i="5"/>
  <c r="V912" i="5"/>
  <c r="O912" i="5"/>
  <c r="V143" i="5"/>
  <c r="O143" i="5"/>
  <c r="V983" i="5"/>
  <c r="O983" i="5"/>
  <c r="V121" i="5"/>
  <c r="O121" i="5"/>
  <c r="W410" i="5"/>
  <c r="V410" i="5"/>
  <c r="P410" i="5"/>
  <c r="O410" i="5"/>
  <c r="V336" i="5"/>
  <c r="O336" i="5"/>
  <c r="V860" i="5"/>
  <c r="O860" i="5"/>
  <c r="V91" i="5"/>
  <c r="O91" i="5"/>
  <c r="V414" i="5"/>
  <c r="O414" i="5"/>
  <c r="W634" i="5"/>
  <c r="V634" i="5"/>
  <c r="P634" i="5"/>
  <c r="O634" i="5"/>
  <c r="W558" i="5"/>
  <c r="V558" i="5"/>
  <c r="P558" i="5"/>
  <c r="O558" i="5"/>
  <c r="V279" i="5"/>
  <c r="O279" i="5"/>
  <c r="V724" i="5"/>
  <c r="O724" i="5"/>
  <c r="W128" i="5"/>
  <c r="V128" i="5"/>
  <c r="P128" i="5"/>
  <c r="O128" i="5"/>
  <c r="V617" i="5"/>
  <c r="O617" i="5"/>
  <c r="V766" i="5"/>
  <c r="O766" i="5"/>
  <c r="V565" i="5"/>
  <c r="O565" i="5"/>
  <c r="W623" i="5"/>
  <c r="V623" i="5"/>
  <c r="P623" i="5"/>
  <c r="O623" i="5"/>
  <c r="V481" i="5"/>
  <c r="O481" i="5"/>
  <c r="W659" i="5"/>
  <c r="V659" i="5"/>
  <c r="P659" i="5"/>
  <c r="O659" i="5"/>
  <c r="V431" i="5"/>
  <c r="O431" i="5"/>
  <c r="V852" i="5"/>
  <c r="O852" i="5"/>
  <c r="W522" i="5"/>
  <c r="V522" i="5"/>
  <c r="P522" i="5"/>
  <c r="O522" i="5"/>
  <c r="V645" i="5"/>
  <c r="O645" i="5"/>
  <c r="W287" i="5"/>
  <c r="V287" i="5"/>
  <c r="P287" i="5"/>
  <c r="O287" i="5"/>
  <c r="W319" i="5"/>
  <c r="V319" i="5"/>
  <c r="P319" i="5"/>
  <c r="O319" i="5"/>
  <c r="V156" i="5"/>
  <c r="O156" i="5"/>
  <c r="V729" i="5"/>
  <c r="O729" i="5"/>
  <c r="V954" i="5"/>
  <c r="O954" i="5"/>
  <c r="V258" i="5"/>
  <c r="O258" i="5"/>
  <c r="V877" i="5"/>
  <c r="O877" i="5"/>
  <c r="V894" i="5"/>
  <c r="O894" i="5"/>
  <c r="W599" i="5"/>
  <c r="V599" i="5"/>
  <c r="P599" i="5"/>
  <c r="O599" i="5"/>
  <c r="V517" i="5"/>
  <c r="O517" i="5"/>
  <c r="W371" i="5"/>
  <c r="V371" i="5"/>
  <c r="O371" i="5"/>
  <c r="P371" i="5"/>
  <c r="V111" i="5"/>
  <c r="O111" i="5"/>
  <c r="V208" i="5"/>
  <c r="O208" i="5"/>
  <c r="W454" i="5"/>
  <c r="V454" i="5"/>
  <c r="P454" i="5"/>
  <c r="O454" i="5"/>
  <c r="V575" i="5"/>
  <c r="O575" i="5"/>
  <c r="V528" i="5"/>
  <c r="O528" i="5"/>
  <c r="V282" i="5"/>
  <c r="O282" i="5"/>
  <c r="V482" i="5"/>
  <c r="O482" i="5"/>
  <c r="W676" i="5"/>
  <c r="V676" i="5"/>
  <c r="P676" i="5"/>
  <c r="O676" i="5"/>
  <c r="W672" i="5"/>
  <c r="V672" i="5"/>
  <c r="O672" i="5"/>
  <c r="P672" i="5"/>
  <c r="V499" i="5"/>
  <c r="O499" i="5"/>
  <c r="V713" i="5"/>
  <c r="W713" i="5"/>
  <c r="P713" i="5"/>
  <c r="O713" i="5"/>
  <c r="V304" i="5"/>
  <c r="O304" i="5"/>
  <c r="W822" i="5"/>
  <c r="V822" i="5"/>
  <c r="P822" i="5"/>
  <c r="O822" i="5"/>
  <c r="V37" i="5"/>
  <c r="O37" i="5"/>
  <c r="V855" i="5"/>
  <c r="W855" i="5"/>
  <c r="P855" i="5"/>
  <c r="O855" i="5"/>
  <c r="V939" i="5"/>
  <c r="O939" i="5"/>
  <c r="V922" i="5"/>
  <c r="O922" i="5"/>
  <c r="W9" i="5"/>
  <c r="V9" i="5"/>
  <c r="P9" i="5"/>
  <c r="O9" i="5"/>
  <c r="W424" i="5"/>
  <c r="V424" i="5"/>
  <c r="P424" i="5"/>
  <c r="O424" i="5"/>
  <c r="W519" i="5"/>
  <c r="V519" i="5"/>
  <c r="P519" i="5"/>
  <c r="O519" i="5"/>
  <c r="W215" i="5"/>
  <c r="V215" i="5"/>
  <c r="P215" i="5"/>
  <c r="O215" i="5"/>
  <c r="W534" i="5"/>
  <c r="V534" i="5"/>
  <c r="P534" i="5"/>
  <c r="O534" i="5"/>
  <c r="V238" i="5"/>
  <c r="O238" i="5"/>
  <c r="V428" i="5"/>
  <c r="O428" i="5"/>
  <c r="V475" i="5"/>
  <c r="O475" i="5"/>
  <c r="W167" i="5"/>
  <c r="V167" i="5"/>
  <c r="P167" i="5"/>
  <c r="O167" i="5"/>
  <c r="W547" i="5"/>
  <c r="V547" i="5"/>
  <c r="P547" i="5"/>
  <c r="O547" i="5"/>
  <c r="W334" i="5"/>
  <c r="V334" i="5"/>
  <c r="P334" i="5"/>
  <c r="O334" i="5"/>
  <c r="V980" i="5"/>
  <c r="O980" i="5"/>
  <c r="V975" i="5"/>
  <c r="W975" i="5"/>
  <c r="P975" i="5"/>
  <c r="O975" i="5"/>
  <c r="V383" i="5"/>
  <c r="O383" i="5"/>
  <c r="V721" i="5"/>
  <c r="O721" i="5"/>
  <c r="W955" i="5"/>
  <c r="V955" i="5"/>
  <c r="P955" i="5"/>
  <c r="O955" i="5"/>
  <c r="V952" i="5"/>
  <c r="O952" i="5"/>
  <c r="V602" i="5"/>
  <c r="O602" i="5"/>
  <c r="W77" i="5"/>
  <c r="V77" i="5"/>
  <c r="P77" i="5"/>
  <c r="O77" i="5"/>
  <c r="W346" i="5"/>
  <c r="V346" i="5"/>
  <c r="P346" i="5"/>
  <c r="O346" i="5"/>
  <c r="V376" i="5"/>
  <c r="O376" i="5"/>
  <c r="W399" i="5"/>
  <c r="V399" i="5"/>
  <c r="P399" i="5"/>
  <c r="O399" i="5"/>
  <c r="V166" i="5"/>
  <c r="O166" i="5"/>
  <c r="V523" i="5"/>
  <c r="O523" i="5"/>
  <c r="W324" i="5"/>
  <c r="V324" i="5"/>
  <c r="P324" i="5"/>
  <c r="O324" i="5"/>
  <c r="W727" i="5"/>
  <c r="V727" i="5"/>
  <c r="P727" i="5"/>
  <c r="O727" i="5"/>
  <c r="V904" i="5"/>
  <c r="O904" i="5"/>
  <c r="W355" i="5"/>
  <c r="V355" i="5"/>
  <c r="P355" i="5"/>
  <c r="O355" i="5"/>
  <c r="W620" i="5"/>
  <c r="V620" i="5"/>
  <c r="P620" i="5"/>
  <c r="O620" i="5"/>
  <c r="W800" i="5"/>
  <c r="V800" i="5"/>
  <c r="O800" i="5"/>
  <c r="P800" i="5"/>
  <c r="W421" i="5"/>
  <c r="V421" i="5"/>
  <c r="P421" i="5"/>
  <c r="O421" i="5"/>
  <c r="V738" i="5"/>
  <c r="O738" i="5"/>
  <c r="V897" i="5"/>
  <c r="O897" i="5"/>
  <c r="W359" i="5"/>
  <c r="V359" i="5"/>
  <c r="P359" i="5"/>
  <c r="O359" i="5"/>
  <c r="V579" i="5"/>
  <c r="O579" i="5"/>
  <c r="V277" i="5"/>
  <c r="O277" i="5"/>
  <c r="W327" i="5"/>
  <c r="V327" i="5"/>
  <c r="P327" i="5"/>
  <c r="O327" i="5"/>
  <c r="W295" i="5"/>
  <c r="V295" i="5"/>
  <c r="P295" i="5"/>
  <c r="O295" i="5"/>
  <c r="V340" i="5"/>
  <c r="O340" i="5"/>
  <c r="V832" i="5"/>
  <c r="O832" i="5"/>
  <c r="W163" i="5"/>
  <c r="V163" i="5"/>
  <c r="P163" i="5"/>
  <c r="O163" i="5"/>
  <c r="V81" i="5"/>
  <c r="O81" i="5"/>
  <c r="V924" i="5"/>
  <c r="O924" i="5"/>
  <c r="V78" i="5"/>
  <c r="O78" i="5"/>
  <c r="V573" i="5"/>
  <c r="O573" i="5"/>
  <c r="W688" i="5"/>
  <c r="V688" i="5"/>
  <c r="P688" i="5"/>
  <c r="O688" i="5"/>
  <c r="V480" i="5"/>
  <c r="O480" i="5"/>
  <c r="W213" i="5"/>
  <c r="V213" i="5"/>
  <c r="P213" i="5"/>
  <c r="O213" i="5"/>
  <c r="V913" i="5"/>
  <c r="O913" i="5"/>
  <c r="W715" i="5"/>
  <c r="V715" i="5"/>
  <c r="P715" i="5"/>
  <c r="O715" i="5"/>
  <c r="W556" i="5"/>
  <c r="V556" i="5"/>
  <c r="P556" i="5"/>
  <c r="O556" i="5"/>
  <c r="V369" i="5"/>
  <c r="W369" i="5"/>
  <c r="P369" i="5"/>
  <c r="O369" i="5"/>
  <c r="Z327" i="5"/>
  <c r="S327" i="5"/>
  <c r="Y771" i="5"/>
  <c r="R771" i="5"/>
  <c r="Z212" i="5"/>
  <c r="S212" i="5"/>
  <c r="Y978" i="5"/>
  <c r="R978" i="5"/>
  <c r="Z521" i="5"/>
  <c r="S521" i="5"/>
  <c r="Y714" i="5"/>
  <c r="R714" i="5"/>
  <c r="X241" i="5"/>
  <c r="Q241" i="5"/>
  <c r="X606" i="5"/>
  <c r="Q606" i="5"/>
  <c r="Y970" i="5"/>
  <c r="R970" i="5"/>
  <c r="X131" i="5"/>
  <c r="Q131" i="5"/>
  <c r="Z785" i="5"/>
  <c r="S785" i="5"/>
  <c r="Y666" i="5"/>
  <c r="R666" i="5"/>
  <c r="X712" i="5"/>
  <c r="Q712" i="5"/>
  <c r="Z717" i="5"/>
  <c r="S717" i="5"/>
  <c r="W533" i="5"/>
  <c r="V533" i="5"/>
  <c r="P533" i="5"/>
  <c r="O533" i="5"/>
  <c r="V689" i="5"/>
  <c r="O689" i="5"/>
  <c r="W581" i="5"/>
  <c r="V581" i="5"/>
  <c r="P581" i="5"/>
  <c r="O581" i="5"/>
  <c r="V450" i="5"/>
  <c r="O450" i="5"/>
  <c r="V810" i="5"/>
  <c r="O810" i="5"/>
  <c r="W404" i="5"/>
  <c r="V404" i="5"/>
  <c r="P404" i="5"/>
  <c r="O404" i="5"/>
  <c r="V173" i="5"/>
  <c r="O173" i="5"/>
  <c r="V896" i="5"/>
  <c r="O896" i="5"/>
  <c r="W935" i="5"/>
  <c r="V935" i="5"/>
  <c r="P935" i="5"/>
  <c r="O935" i="5"/>
  <c r="W920" i="5"/>
  <c r="V920" i="5"/>
  <c r="O920" i="5"/>
  <c r="P920" i="5"/>
  <c r="W366" i="5"/>
  <c r="V366" i="5"/>
  <c r="P366" i="5"/>
  <c r="O366" i="5"/>
  <c r="V374" i="5"/>
  <c r="O374" i="5"/>
  <c r="W969" i="5"/>
  <c r="V969" i="5"/>
  <c r="P969" i="5"/>
  <c r="O969" i="5"/>
  <c r="V498" i="5"/>
  <c r="O498" i="5"/>
  <c r="X688" i="5"/>
  <c r="Q688" i="5"/>
  <c r="X227" i="5"/>
  <c r="Q227" i="5"/>
  <c r="Y955" i="5"/>
  <c r="R955" i="5"/>
  <c r="Y348" i="5"/>
  <c r="R348" i="5"/>
  <c r="X97" i="5"/>
  <c r="Q97" i="5"/>
  <c r="Y438" i="5"/>
  <c r="R438" i="5"/>
  <c r="Y215" i="5"/>
  <c r="R215" i="5"/>
  <c r="Z592" i="5"/>
  <c r="S592" i="5"/>
  <c r="X170" i="5"/>
  <c r="Q170" i="5"/>
  <c r="Z774" i="5"/>
  <c r="S774" i="5"/>
  <c r="X560" i="5"/>
  <c r="Q560" i="5"/>
  <c r="K27" i="5"/>
  <c r="X651" i="5"/>
  <c r="Q651" i="5"/>
  <c r="Z432" i="5"/>
  <c r="S432" i="5"/>
  <c r="L54" i="5"/>
  <c r="J145" i="5"/>
  <c r="X410" i="5"/>
  <c r="Q410" i="5"/>
  <c r="Y226" i="5"/>
  <c r="R226" i="5"/>
  <c r="Z478" i="5"/>
  <c r="S478" i="5"/>
  <c r="L689" i="5"/>
  <c r="W440" i="5"/>
  <c r="V440" i="5"/>
  <c r="P440" i="5"/>
  <c r="O440" i="5"/>
  <c r="Z628" i="5"/>
  <c r="S628" i="5"/>
  <c r="Z688" i="5"/>
  <c r="S688" i="5"/>
  <c r="Y377" i="5"/>
  <c r="R377" i="5"/>
  <c r="X525" i="5"/>
  <c r="Q525" i="5"/>
  <c r="X441" i="5"/>
  <c r="Q441" i="5"/>
  <c r="X205" i="5"/>
  <c r="Q205" i="5"/>
  <c r="Y230" i="5"/>
  <c r="R230" i="5"/>
  <c r="Y134" i="5"/>
  <c r="R134" i="5"/>
  <c r="X365" i="5"/>
  <c r="Q365" i="5"/>
  <c r="Y642" i="5"/>
  <c r="R642" i="5"/>
  <c r="X171" i="5"/>
  <c r="Q171" i="5"/>
  <c r="X803" i="5"/>
  <c r="Q803" i="5"/>
  <c r="X65" i="5"/>
  <c r="Q65" i="5"/>
  <c r="Z697" i="5"/>
  <c r="S697" i="5"/>
  <c r="X743" i="5"/>
  <c r="Q743" i="5"/>
  <c r="Z814" i="5"/>
  <c r="S814" i="5"/>
  <c r="X140" i="5"/>
  <c r="Q140" i="5"/>
  <c r="Z735" i="5"/>
  <c r="S735" i="5"/>
  <c r="Y548" i="5"/>
  <c r="R548" i="5"/>
  <c r="Z227" i="5"/>
  <c r="S227" i="5"/>
  <c r="Y63" i="5"/>
  <c r="R63" i="5"/>
  <c r="Z821" i="5"/>
  <c r="S821" i="5"/>
  <c r="Z82" i="5"/>
  <c r="S82" i="5"/>
  <c r="X815" i="5"/>
  <c r="Q815" i="5"/>
  <c r="L927" i="5"/>
  <c r="X399" i="5"/>
  <c r="Q399" i="5"/>
  <c r="Z231" i="5"/>
  <c r="S231" i="5"/>
  <c r="L722" i="5"/>
  <c r="Z155" i="5"/>
  <c r="S155" i="5"/>
  <c r="Z77" i="5"/>
  <c r="S77" i="5"/>
  <c r="M872" i="5"/>
  <c r="N872" i="5" s="1"/>
  <c r="X406" i="5"/>
  <c r="Q406" i="5"/>
  <c r="Z474" i="5"/>
  <c r="S474" i="5"/>
  <c r="Z776" i="5"/>
  <c r="S776" i="5"/>
  <c r="Z491" i="5"/>
  <c r="S491" i="5"/>
  <c r="Y257" i="5"/>
  <c r="R257" i="5"/>
  <c r="Y234" i="5"/>
  <c r="R234" i="5"/>
  <c r="Y50" i="5"/>
  <c r="R50" i="5"/>
  <c r="Y789" i="5"/>
  <c r="R789" i="5"/>
  <c r="Z567" i="5"/>
  <c r="S567" i="5"/>
  <c r="Z780" i="5"/>
  <c r="S780" i="5"/>
  <c r="L269" i="5"/>
  <c r="Y413" i="5"/>
  <c r="R413" i="5"/>
  <c r="Y857" i="5"/>
  <c r="R857" i="5"/>
  <c r="Y864" i="5"/>
  <c r="R864" i="5"/>
  <c r="Y508" i="5"/>
  <c r="R508" i="5"/>
  <c r="X192" i="5"/>
  <c r="Q192" i="5"/>
  <c r="X9" i="5"/>
  <c r="Q9" i="5"/>
  <c r="Z32" i="5"/>
  <c r="S32" i="5"/>
  <c r="Z833" i="5"/>
  <c r="S833" i="5"/>
  <c r="Z537" i="5"/>
  <c r="S537" i="5"/>
  <c r="Z170" i="5"/>
  <c r="S170" i="5"/>
  <c r="Z466" i="5"/>
  <c r="S466" i="5"/>
  <c r="X820" i="5"/>
  <c r="Q820" i="5"/>
  <c r="X74" i="5"/>
  <c r="Q74" i="5"/>
  <c r="Z316" i="5"/>
  <c r="S316" i="5"/>
  <c r="Z94" i="5"/>
  <c r="S94" i="5"/>
  <c r="X248" i="5"/>
  <c r="Q248" i="5"/>
  <c r="Z560" i="5"/>
  <c r="S560" i="5"/>
  <c r="X513" i="5"/>
  <c r="Q513" i="5"/>
  <c r="Y379" i="5"/>
  <c r="R379" i="5"/>
  <c r="Y39" i="5"/>
  <c r="R39" i="5"/>
  <c r="Y175" i="5"/>
  <c r="R175" i="5"/>
  <c r="Y834" i="5"/>
  <c r="R834" i="5"/>
  <c r="Z701" i="5"/>
  <c r="S701" i="5"/>
  <c r="L920" i="5"/>
  <c r="Z643" i="5"/>
  <c r="S643" i="5"/>
  <c r="Y656" i="5"/>
  <c r="R656" i="5"/>
  <c r="Y439" i="5"/>
  <c r="R439" i="5"/>
  <c r="Y289" i="5"/>
  <c r="R289" i="5"/>
  <c r="Z249" i="5"/>
  <c r="S249" i="5"/>
  <c r="Y761" i="5"/>
  <c r="R761" i="5"/>
  <c r="X61" i="5"/>
  <c r="Q61" i="5"/>
  <c r="Z409" i="5"/>
  <c r="S409" i="5"/>
  <c r="Z13" i="5"/>
  <c r="S13" i="5"/>
  <c r="Z493" i="5"/>
  <c r="S493" i="5"/>
  <c r="Z443" i="5"/>
  <c r="S443" i="5"/>
  <c r="Z809" i="5"/>
  <c r="S809" i="5"/>
  <c r="X841" i="5"/>
  <c r="Q841" i="5"/>
  <c r="Z799" i="5"/>
  <c r="S799" i="5"/>
  <c r="L448" i="5"/>
  <c r="X972" i="5"/>
  <c r="Q972" i="5"/>
  <c r="Y113" i="5"/>
  <c r="R113" i="5"/>
  <c r="Y188" i="5"/>
  <c r="R188" i="5"/>
  <c r="J851" i="5"/>
  <c r="Z732" i="5"/>
  <c r="S732" i="5"/>
  <c r="K580" i="5"/>
  <c r="Z207" i="5"/>
  <c r="S207" i="5"/>
  <c r="X558" i="5"/>
  <c r="Q558" i="5"/>
  <c r="L783" i="5"/>
  <c r="K646" i="5"/>
  <c r="X845" i="5"/>
  <c r="Q845" i="5"/>
  <c r="Y759" i="5"/>
  <c r="R759" i="5"/>
  <c r="J494" i="5"/>
  <c r="X702" i="5"/>
  <c r="Q702" i="5"/>
  <c r="Z397" i="5"/>
  <c r="S397" i="5"/>
  <c r="Z410" i="5"/>
  <c r="S410" i="5"/>
  <c r="Y976" i="5"/>
  <c r="R976" i="5"/>
  <c r="Y164" i="5"/>
  <c r="R164" i="5"/>
  <c r="M226" i="5"/>
  <c r="N226" i="5" s="1"/>
  <c r="Z775" i="5"/>
  <c r="S775" i="5"/>
  <c r="Y427" i="5"/>
  <c r="R427" i="5"/>
  <c r="Y816" i="5"/>
  <c r="R816" i="5"/>
  <c r="X615" i="5"/>
  <c r="Q615" i="5"/>
  <c r="J356" i="5"/>
  <c r="W356" i="5" s="1"/>
  <c r="X848" i="5"/>
  <c r="Q848" i="5"/>
  <c r="X647" i="5"/>
  <c r="Q647" i="5"/>
  <c r="M590" i="5"/>
  <c r="N590" i="5" s="1"/>
  <c r="Y618" i="5"/>
  <c r="R618" i="5"/>
  <c r="Z804" i="5"/>
  <c r="S804" i="5"/>
  <c r="Y92" i="5"/>
  <c r="R92" i="5"/>
  <c r="Z588" i="5"/>
  <c r="S588" i="5"/>
  <c r="J434" i="5"/>
  <c r="X495" i="5"/>
  <c r="Q495" i="5"/>
  <c r="X470" i="5"/>
  <c r="Q470" i="5"/>
  <c r="Z210" i="5"/>
  <c r="S210" i="5"/>
  <c r="Z667" i="5"/>
  <c r="S667" i="5"/>
  <c r="Y179" i="5"/>
  <c r="R179" i="5"/>
  <c r="Z525" i="5"/>
  <c r="S525" i="5"/>
  <c r="V392" i="5"/>
  <c r="O392" i="5"/>
  <c r="V219" i="5"/>
  <c r="O219" i="5"/>
  <c r="W730" i="5"/>
  <c r="V730" i="5"/>
  <c r="P730" i="5"/>
  <c r="O730" i="5"/>
  <c r="W622" i="5"/>
  <c r="V622" i="5"/>
  <c r="P622" i="5"/>
  <c r="O622" i="5"/>
  <c r="W892" i="5"/>
  <c r="V892" i="5"/>
  <c r="P892" i="5"/>
  <c r="O892" i="5"/>
  <c r="V593" i="5"/>
  <c r="O593" i="5"/>
  <c r="W10" i="5"/>
  <c r="V10" i="5"/>
  <c r="P10" i="5"/>
  <c r="O10" i="5"/>
  <c r="W627" i="5"/>
  <c r="V627" i="5"/>
  <c r="O627" i="5"/>
  <c r="P627" i="5"/>
  <c r="V911" i="5"/>
  <c r="O911" i="5"/>
  <c r="W220" i="5"/>
  <c r="V220" i="5"/>
  <c r="P220" i="5"/>
  <c r="O220" i="5"/>
  <c r="W487" i="5"/>
  <c r="V487" i="5"/>
  <c r="P487" i="5"/>
  <c r="O487" i="5"/>
  <c r="W105" i="5"/>
  <c r="V105" i="5"/>
  <c r="P105" i="5"/>
  <c r="O105" i="5"/>
  <c r="W746" i="5"/>
  <c r="V746" i="5"/>
  <c r="P746" i="5"/>
  <c r="O746" i="5"/>
  <c r="W804" i="5"/>
  <c r="V804" i="5"/>
  <c r="P804" i="5"/>
  <c r="O804" i="5"/>
  <c r="V830" i="5"/>
  <c r="O830" i="5"/>
  <c r="W274" i="5"/>
  <c r="V274" i="5"/>
  <c r="P274" i="5"/>
  <c r="O274" i="5"/>
  <c r="W827" i="5"/>
  <c r="V827" i="5"/>
  <c r="P827" i="5"/>
  <c r="O827" i="5"/>
  <c r="V43" i="5"/>
  <c r="O43" i="5"/>
  <c r="V772" i="5"/>
  <c r="O772" i="5"/>
  <c r="W712" i="5"/>
  <c r="V712" i="5"/>
  <c r="O712" i="5"/>
  <c r="P712" i="5"/>
  <c r="V977" i="5"/>
  <c r="O977" i="5"/>
  <c r="V862" i="5"/>
  <c r="O862" i="5"/>
  <c r="W164" i="5"/>
  <c r="V164" i="5"/>
  <c r="P164" i="5"/>
  <c r="O164" i="5"/>
  <c r="V308" i="5"/>
  <c r="O308" i="5"/>
  <c r="W261" i="5"/>
  <c r="V261" i="5"/>
  <c r="P261" i="5"/>
  <c r="O261" i="5"/>
  <c r="W253" i="5"/>
  <c r="V253" i="5"/>
  <c r="P253" i="5"/>
  <c r="O253" i="5"/>
  <c r="W445" i="5"/>
  <c r="V445" i="5"/>
  <c r="P445" i="5"/>
  <c r="O445" i="5"/>
  <c r="V829" i="5"/>
  <c r="O829" i="5"/>
  <c r="W759" i="5"/>
  <c r="V759" i="5"/>
  <c r="P759" i="5"/>
  <c r="O759" i="5"/>
  <c r="V616" i="5"/>
  <c r="O616" i="5"/>
  <c r="W650" i="5"/>
  <c r="V650" i="5"/>
  <c r="P650" i="5"/>
  <c r="O650" i="5"/>
  <c r="W184" i="5"/>
  <c r="V184" i="5"/>
  <c r="P184" i="5"/>
  <c r="O184" i="5"/>
  <c r="V112" i="5"/>
  <c r="O112" i="5"/>
  <c r="W56" i="5"/>
  <c r="V56" i="5"/>
  <c r="P56" i="5"/>
  <c r="O56" i="5"/>
  <c r="W389" i="5"/>
  <c r="V389" i="5"/>
  <c r="P389" i="5"/>
  <c r="O389" i="5"/>
  <c r="W172" i="5"/>
  <c r="V172" i="5"/>
  <c r="P172" i="5"/>
  <c r="O172" i="5"/>
  <c r="W115" i="5"/>
  <c r="V115" i="5"/>
  <c r="P115" i="5"/>
  <c r="O115" i="5"/>
  <c r="W188" i="5"/>
  <c r="V188" i="5"/>
  <c r="P188" i="5"/>
  <c r="O188" i="5"/>
  <c r="V344" i="5"/>
  <c r="O344" i="5"/>
  <c r="V773" i="5"/>
  <c r="O773" i="5"/>
  <c r="V73" i="5"/>
  <c r="O73" i="5"/>
  <c r="V929" i="5"/>
  <c r="O929" i="5"/>
  <c r="W200" i="5"/>
  <c r="V200" i="5"/>
  <c r="P200" i="5"/>
  <c r="O200" i="5"/>
  <c r="W644" i="5"/>
  <c r="V644" i="5"/>
  <c r="P644" i="5"/>
  <c r="O644" i="5"/>
  <c r="V947" i="5"/>
  <c r="O947" i="5"/>
  <c r="V843" i="5"/>
  <c r="O843" i="5"/>
  <c r="V174" i="5"/>
  <c r="O174" i="5"/>
  <c r="V45" i="5"/>
  <c r="O45" i="5"/>
  <c r="W633" i="5"/>
  <c r="V633" i="5"/>
  <c r="P633" i="5"/>
  <c r="O633" i="5"/>
  <c r="W29" i="5"/>
  <c r="V29" i="5"/>
  <c r="O29" i="5"/>
  <c r="P29" i="5"/>
  <c r="V971" i="5"/>
  <c r="O971" i="5"/>
  <c r="V638" i="5"/>
  <c r="O638" i="5"/>
  <c r="W840" i="5"/>
  <c r="V840" i="5"/>
  <c r="O840" i="5"/>
  <c r="P840" i="5"/>
  <c r="V794" i="5"/>
  <c r="O794" i="5"/>
  <c r="V292" i="5"/>
  <c r="O292" i="5"/>
  <c r="W643" i="5"/>
  <c r="V643" i="5"/>
  <c r="P643" i="5"/>
  <c r="O643" i="5"/>
  <c r="W867" i="5"/>
  <c r="V867" i="5"/>
  <c r="O867" i="5"/>
  <c r="P867" i="5"/>
  <c r="W24" i="5"/>
  <c r="V24" i="5"/>
  <c r="P24" i="5"/>
  <c r="O24" i="5"/>
  <c r="W834" i="5"/>
  <c r="V834" i="5"/>
  <c r="P834" i="5"/>
  <c r="O834" i="5"/>
  <c r="W263" i="5"/>
  <c r="V263" i="5"/>
  <c r="P263" i="5"/>
  <c r="O263" i="5"/>
  <c r="V699" i="5"/>
  <c r="O699" i="5"/>
  <c r="V546" i="5"/>
  <c r="O546" i="5"/>
  <c r="W960" i="5"/>
  <c r="V960" i="5"/>
  <c r="O960" i="5"/>
  <c r="P960" i="5"/>
  <c r="V764" i="5"/>
  <c r="O764" i="5"/>
  <c r="W248" i="5"/>
  <c r="V248" i="5"/>
  <c r="P248" i="5"/>
  <c r="O248" i="5"/>
  <c r="V388" i="5"/>
  <c r="O388" i="5"/>
  <c r="V435" i="5"/>
  <c r="O435" i="5"/>
  <c r="W782" i="5"/>
  <c r="V782" i="5"/>
  <c r="P782" i="5"/>
  <c r="O782" i="5"/>
  <c r="V861" i="5"/>
  <c r="O861" i="5"/>
  <c r="V325" i="5"/>
  <c r="O325" i="5"/>
  <c r="W537" i="5"/>
  <c r="V537" i="5"/>
  <c r="P537" i="5"/>
  <c r="O537" i="5"/>
  <c r="V502" i="5"/>
  <c r="O502" i="5"/>
  <c r="V422" i="5"/>
  <c r="O422" i="5"/>
  <c r="W592" i="5"/>
  <c r="V592" i="5"/>
  <c r="P592" i="5"/>
  <c r="O592" i="5"/>
  <c r="V3" i="5"/>
  <c r="O3" i="5"/>
  <c r="V778" i="5"/>
  <c r="O778" i="5"/>
  <c r="W483" i="5"/>
  <c r="V483" i="5"/>
  <c r="P483" i="5"/>
  <c r="O483" i="5"/>
  <c r="W28" i="5"/>
  <c r="V28" i="5"/>
  <c r="P28" i="5"/>
  <c r="O28" i="5"/>
  <c r="V285" i="5"/>
  <c r="O285" i="5"/>
  <c r="V745" i="5"/>
  <c r="W745" i="5"/>
  <c r="P745" i="5"/>
  <c r="O745" i="5"/>
  <c r="V135" i="5"/>
  <c r="O135" i="5"/>
  <c r="W578" i="5"/>
  <c r="V578" i="5"/>
  <c r="P578" i="5"/>
  <c r="O578" i="5"/>
  <c r="W234" i="5"/>
  <c r="V234" i="5"/>
  <c r="P234" i="5"/>
  <c r="O234" i="5"/>
  <c r="V936" i="5"/>
  <c r="O936" i="5"/>
  <c r="W144" i="5"/>
  <c r="V144" i="5"/>
  <c r="P144" i="5"/>
  <c r="O144" i="5"/>
  <c r="V681" i="5"/>
  <c r="W681" i="5"/>
  <c r="P681" i="5"/>
  <c r="O681" i="5"/>
  <c r="V463" i="5"/>
  <c r="O463" i="5"/>
  <c r="V268" i="5"/>
  <c r="O268" i="5"/>
  <c r="W35" i="5"/>
  <c r="V35" i="5"/>
  <c r="P35" i="5"/>
  <c r="O35" i="5"/>
  <c r="W636" i="5"/>
  <c r="V636" i="5"/>
  <c r="P636" i="5"/>
  <c r="O636" i="5"/>
  <c r="W719" i="5"/>
  <c r="V719" i="5"/>
  <c r="P719" i="5"/>
  <c r="O719" i="5"/>
  <c r="W990" i="5"/>
  <c r="V990" i="5"/>
  <c r="P990" i="5"/>
  <c r="O990" i="5"/>
  <c r="W671" i="5"/>
  <c r="V671" i="5"/>
  <c r="P671" i="5"/>
  <c r="O671" i="5"/>
  <c r="W632" i="5"/>
  <c r="V632" i="5"/>
  <c r="P632" i="5"/>
  <c r="O632" i="5"/>
  <c r="W331" i="5"/>
  <c r="V331" i="5"/>
  <c r="P331" i="5"/>
  <c r="O331" i="5"/>
  <c r="V7" i="5"/>
  <c r="O7" i="5"/>
  <c r="V123" i="5"/>
  <c r="O123" i="5"/>
  <c r="V146" i="5"/>
  <c r="O146" i="5"/>
  <c r="W918" i="5"/>
  <c r="V918" i="5"/>
  <c r="P918" i="5"/>
  <c r="O918" i="5"/>
  <c r="V272" i="5"/>
  <c r="O272" i="5"/>
  <c r="V254" i="5"/>
  <c r="O254" i="5"/>
  <c r="V141" i="5"/>
  <c r="O141" i="5"/>
  <c r="V221" i="5"/>
  <c r="O221" i="5"/>
  <c r="W610" i="5"/>
  <c r="V610" i="5"/>
  <c r="P610" i="5"/>
  <c r="O610" i="5"/>
  <c r="V802" i="5"/>
  <c r="O802" i="5"/>
  <c r="V222" i="5"/>
  <c r="O222" i="5"/>
  <c r="W171" i="5"/>
  <c r="V171" i="5"/>
  <c r="O171" i="5"/>
  <c r="P171" i="5"/>
  <c r="V102" i="5"/>
  <c r="O102" i="5"/>
  <c r="V612" i="5"/>
  <c r="O612" i="5"/>
  <c r="W5" i="5"/>
  <c r="V5" i="5"/>
  <c r="O5" i="5"/>
  <c r="P5" i="5"/>
  <c r="W751" i="5"/>
  <c r="V751" i="5"/>
  <c r="P751" i="5"/>
  <c r="O751" i="5"/>
  <c r="V995" i="5"/>
  <c r="O995" i="5"/>
  <c r="W205" i="5"/>
  <c r="V205" i="5"/>
  <c r="P205" i="5"/>
  <c r="O205" i="5"/>
  <c r="V75" i="5"/>
  <c r="O75" i="5"/>
  <c r="V132" i="5"/>
  <c r="O132" i="5"/>
  <c r="W233" i="5"/>
  <c r="V233" i="5"/>
  <c r="P233" i="5"/>
  <c r="O233" i="5"/>
  <c r="V460" i="5"/>
  <c r="O460" i="5"/>
  <c r="V165" i="5"/>
  <c r="O165" i="5"/>
  <c r="V885" i="5"/>
  <c r="O885" i="5"/>
  <c r="V516" i="5"/>
  <c r="O516" i="5"/>
  <c r="W998" i="5"/>
  <c r="V998" i="5"/>
  <c r="P998" i="5"/>
  <c r="O998" i="5"/>
  <c r="W476" i="5"/>
  <c r="V476" i="5"/>
  <c r="P476" i="5"/>
  <c r="O476" i="5"/>
  <c r="V299" i="5"/>
  <c r="O299" i="5"/>
  <c r="V670" i="5"/>
  <c r="O670" i="5"/>
  <c r="V20" i="5"/>
  <c r="O20" i="5"/>
  <c r="Z941" i="5"/>
  <c r="S941" i="5"/>
  <c r="Y426" i="5"/>
  <c r="R426" i="5"/>
  <c r="Z889" i="5"/>
  <c r="S889" i="5"/>
  <c r="Y950" i="5"/>
  <c r="R950" i="5"/>
  <c r="X990" i="5"/>
  <c r="Q990" i="5"/>
  <c r="Z665" i="5"/>
  <c r="S665" i="5"/>
  <c r="Z380" i="5"/>
  <c r="S380" i="5"/>
  <c r="X202" i="5"/>
  <c r="Q202" i="5"/>
  <c r="Z997" i="5"/>
  <c r="S997" i="5"/>
  <c r="Z256" i="5"/>
  <c r="S256" i="5"/>
  <c r="Z60" i="5"/>
  <c r="S60" i="5"/>
  <c r="Y855" i="5"/>
  <c r="R855" i="5"/>
  <c r="Z914" i="5"/>
  <c r="S914" i="5"/>
  <c r="X840" i="5"/>
  <c r="Q840" i="5"/>
  <c r="Y644" i="5"/>
  <c r="R644" i="5"/>
  <c r="Z110" i="5"/>
  <c r="S110" i="5"/>
  <c r="Z389" i="5"/>
  <c r="S389" i="5"/>
  <c r="X744" i="5"/>
  <c r="Q744" i="5"/>
  <c r="Y17" i="5"/>
  <c r="R17" i="5"/>
  <c r="Y337" i="5"/>
  <c r="R337" i="5"/>
  <c r="V417" i="5"/>
  <c r="O417" i="5"/>
  <c r="W303" i="5"/>
  <c r="V303" i="5"/>
  <c r="P303" i="5"/>
  <c r="O303" i="5"/>
  <c r="V518" i="5"/>
  <c r="O518" i="5"/>
  <c r="V557" i="5"/>
  <c r="O557" i="5"/>
  <c r="W529" i="5"/>
  <c r="V529" i="5"/>
  <c r="P529" i="5"/>
  <c r="O529" i="5"/>
  <c r="V145" i="5"/>
  <c r="W145" i="5"/>
  <c r="P145" i="5"/>
  <c r="O145" i="5"/>
  <c r="W668" i="5"/>
  <c r="V668" i="5"/>
  <c r="P668" i="5"/>
  <c r="O668" i="5"/>
  <c r="V835" i="5"/>
  <c r="O835" i="5"/>
  <c r="V48" i="5"/>
  <c r="O48" i="5"/>
  <c r="V395" i="5"/>
  <c r="O395" i="5"/>
  <c r="V757" i="5"/>
  <c r="O757" i="5"/>
  <c r="V345" i="5"/>
  <c r="O345" i="5"/>
  <c r="Z179" i="5"/>
  <c r="S179" i="5"/>
  <c r="Z900" i="5"/>
  <c r="S900" i="5"/>
  <c r="Z901" i="5"/>
  <c r="S901" i="5"/>
  <c r="Y25" i="5"/>
  <c r="R25" i="5"/>
  <c r="Z324" i="5"/>
  <c r="S324" i="5"/>
  <c r="X331" i="5"/>
  <c r="Q331" i="5"/>
  <c r="Y626" i="5"/>
  <c r="R626" i="5"/>
  <c r="X780" i="5"/>
  <c r="Q780" i="5"/>
  <c r="Y787" i="5"/>
  <c r="R787" i="5"/>
  <c r="M241" i="5"/>
  <c r="N241" i="5" s="1"/>
  <c r="X80" i="5"/>
  <c r="Q80" i="5"/>
  <c r="Y59" i="5"/>
  <c r="R59" i="5"/>
  <c r="Z455" i="5"/>
  <c r="S455" i="5"/>
  <c r="Z465" i="5"/>
  <c r="S465" i="5"/>
  <c r="Z893" i="5"/>
  <c r="S893" i="5"/>
  <c r="Y370" i="5"/>
  <c r="R370" i="5"/>
  <c r="Z524" i="5"/>
  <c r="S524" i="5"/>
  <c r="X13" i="5"/>
  <c r="Q13" i="5"/>
  <c r="Y603" i="5"/>
  <c r="R603" i="5"/>
  <c r="Z597" i="5"/>
  <c r="S597" i="5"/>
  <c r="Y197" i="5"/>
  <c r="R197" i="5"/>
  <c r="Z873" i="5"/>
  <c r="S873" i="5"/>
  <c r="Z781" i="5"/>
  <c r="S781" i="5"/>
  <c r="Z520" i="5"/>
  <c r="S520" i="5"/>
  <c r="X512" i="5"/>
  <c r="Q512" i="5"/>
  <c r="Z827" i="5"/>
  <c r="S827" i="5"/>
  <c r="X804" i="5"/>
  <c r="Q804" i="5"/>
  <c r="L303" i="5"/>
  <c r="M533" i="5"/>
  <c r="N533" i="5" s="1"/>
  <c r="W83" i="5"/>
  <c r="V83" i="5"/>
  <c r="O83" i="5"/>
  <c r="P83" i="5"/>
  <c r="L417" i="5"/>
  <c r="L96" i="5"/>
  <c r="X898" i="5"/>
  <c r="Q898" i="5"/>
  <c r="Y5" i="5"/>
  <c r="R5" i="5"/>
  <c r="Z507" i="5"/>
  <c r="S507" i="5"/>
  <c r="Z913" i="5"/>
  <c r="S913" i="5"/>
  <c r="Y871" i="5"/>
  <c r="R871" i="5"/>
  <c r="X921" i="5"/>
  <c r="Q921" i="5"/>
  <c r="Z447" i="5"/>
  <c r="S447" i="5"/>
  <c r="X377" i="5"/>
  <c r="Q377" i="5"/>
  <c r="Y525" i="5"/>
  <c r="R525" i="5"/>
  <c r="X779" i="5"/>
  <c r="Q779" i="5"/>
  <c r="Y441" i="5"/>
  <c r="X720" i="5"/>
  <c r="Q720" i="5"/>
  <c r="Y205" i="5"/>
  <c r="R205" i="5"/>
  <c r="Y898" i="5"/>
  <c r="R898" i="5"/>
  <c r="Z230" i="5"/>
  <c r="S230" i="5"/>
  <c r="Z134" i="5"/>
  <c r="S134" i="5"/>
  <c r="Z5" i="5"/>
  <c r="S5" i="5"/>
  <c r="Y365" i="5"/>
  <c r="R365" i="5"/>
  <c r="Z642" i="5"/>
  <c r="S642" i="5"/>
  <c r="X415" i="5"/>
  <c r="Q415" i="5"/>
  <c r="Y171" i="5"/>
  <c r="R171" i="5"/>
  <c r="Y889" i="5"/>
  <c r="R889" i="5"/>
  <c r="Z65" i="5"/>
  <c r="S65" i="5"/>
  <c r="Y743" i="5"/>
  <c r="R743" i="5"/>
  <c r="Y140" i="5"/>
  <c r="R140" i="5"/>
  <c r="Z548" i="5"/>
  <c r="S548" i="5"/>
  <c r="Z63" i="5"/>
  <c r="S63" i="5"/>
  <c r="X82" i="5"/>
  <c r="Q82" i="5"/>
  <c r="Y815" i="5"/>
  <c r="R815" i="5"/>
  <c r="Z31" i="5"/>
  <c r="S31" i="5"/>
  <c r="M927" i="5"/>
  <c r="N927" i="5" s="1"/>
  <c r="Y399" i="5"/>
  <c r="R399" i="5"/>
  <c r="Z114" i="5"/>
  <c r="S114" i="5"/>
  <c r="M722" i="5"/>
  <c r="N722" i="5" s="1"/>
  <c r="X176" i="5"/>
  <c r="Q176" i="5"/>
  <c r="X35" i="5"/>
  <c r="Q35" i="5"/>
  <c r="X665" i="5"/>
  <c r="Q665" i="5"/>
  <c r="X474" i="5"/>
  <c r="Q474" i="5"/>
  <c r="X776" i="5"/>
  <c r="Q776" i="5"/>
  <c r="X965" i="5"/>
  <c r="Q965" i="5"/>
  <c r="X491" i="5"/>
  <c r="Q491" i="5"/>
  <c r="X380" i="5"/>
  <c r="Q380" i="5"/>
  <c r="L405" i="5"/>
  <c r="Z257" i="5"/>
  <c r="S257" i="5"/>
  <c r="Z234" i="5"/>
  <c r="S234" i="5"/>
  <c r="X521" i="5"/>
  <c r="Q521" i="5"/>
  <c r="Y728" i="5"/>
  <c r="R728" i="5"/>
  <c r="X932" i="5"/>
  <c r="Q932" i="5"/>
  <c r="Y428" i="5"/>
  <c r="R428" i="5"/>
  <c r="Y567" i="5"/>
  <c r="R567" i="5"/>
  <c r="M269" i="5"/>
  <c r="N269" i="5" s="1"/>
  <c r="X256" i="5"/>
  <c r="Q256" i="5"/>
  <c r="X483" i="5"/>
  <c r="Q483" i="5"/>
  <c r="X310" i="5"/>
  <c r="Q310" i="5"/>
  <c r="Z857" i="5"/>
  <c r="S857" i="5"/>
  <c r="Z864" i="5"/>
  <c r="S864" i="5"/>
  <c r="Z508" i="5"/>
  <c r="S508" i="5"/>
  <c r="Y192" i="5"/>
  <c r="R192" i="5"/>
  <c r="Y9" i="5"/>
  <c r="R9" i="5"/>
  <c r="Y32" i="5"/>
  <c r="R32" i="5"/>
  <c r="X127" i="5"/>
  <c r="Q127" i="5"/>
  <c r="Z820" i="5"/>
  <c r="S820" i="5"/>
  <c r="Y74" i="5"/>
  <c r="R74" i="5"/>
  <c r="Y304" i="5"/>
  <c r="R304" i="5"/>
  <c r="X316" i="5"/>
  <c r="Q316" i="5"/>
  <c r="X601" i="5"/>
  <c r="Q601" i="5"/>
  <c r="Y248" i="5"/>
  <c r="R248" i="5"/>
  <c r="X562" i="5"/>
  <c r="Q562" i="5"/>
  <c r="Y513" i="5"/>
  <c r="R513" i="5"/>
  <c r="Z379" i="5"/>
  <c r="S379" i="5"/>
  <c r="Y147" i="5"/>
  <c r="R147" i="5"/>
  <c r="Y527" i="5"/>
  <c r="R527" i="5"/>
  <c r="X454" i="5"/>
  <c r="Q454" i="5"/>
  <c r="Z648" i="5"/>
  <c r="S648" i="5"/>
  <c r="X643" i="5"/>
  <c r="Q643" i="5"/>
  <c r="Y117" i="5"/>
  <c r="R117" i="5"/>
  <c r="Z656" i="5"/>
  <c r="S656" i="5"/>
  <c r="X439" i="5"/>
  <c r="Q439" i="5"/>
  <c r="Z289" i="5"/>
  <c r="S289" i="5"/>
  <c r="Z761" i="5"/>
  <c r="S761" i="5"/>
  <c r="Y61" i="5"/>
  <c r="R61" i="5"/>
  <c r="Z825" i="5"/>
  <c r="S825" i="5"/>
  <c r="Z174" i="5"/>
  <c r="S174" i="5"/>
  <c r="X809" i="5"/>
  <c r="Q809" i="5"/>
  <c r="X813" i="5"/>
  <c r="Q813" i="5"/>
  <c r="Y841" i="5"/>
  <c r="R841" i="5"/>
  <c r="X561" i="5"/>
  <c r="Q561" i="5"/>
  <c r="Z586" i="5"/>
  <c r="S586" i="5"/>
  <c r="Z972" i="5"/>
  <c r="S972" i="5"/>
  <c r="X113" i="5"/>
  <c r="Q113" i="5"/>
  <c r="Z188" i="5"/>
  <c r="S188" i="5"/>
  <c r="M732" i="5"/>
  <c r="N732" i="5" s="1"/>
  <c r="X389" i="5"/>
  <c r="Q389" i="5"/>
  <c r="L580" i="5"/>
  <c r="Y985" i="5"/>
  <c r="R985" i="5"/>
  <c r="X353" i="5"/>
  <c r="Q353" i="5"/>
  <c r="Y558" i="5"/>
  <c r="R558" i="5"/>
  <c r="J783" i="5"/>
  <c r="Y845" i="5"/>
  <c r="R845" i="5"/>
  <c r="Z759" i="5"/>
  <c r="S759" i="5"/>
  <c r="K494" i="5"/>
  <c r="Y702" i="5"/>
  <c r="R702" i="5"/>
  <c r="X397" i="5"/>
  <c r="Q397" i="5"/>
  <c r="L786" i="5"/>
  <c r="Y625" i="5"/>
  <c r="R625" i="5"/>
  <c r="Z143" i="5"/>
  <c r="S143" i="5"/>
  <c r="Z968" i="5"/>
  <c r="S968" i="5"/>
  <c r="Z427" i="5"/>
  <c r="S427" i="5"/>
  <c r="Z816" i="5"/>
  <c r="S816" i="5"/>
  <c r="Y615" i="5"/>
  <c r="R615" i="5"/>
  <c r="Y848" i="5"/>
  <c r="R848" i="5"/>
  <c r="Y647" i="5"/>
  <c r="R647" i="5"/>
  <c r="Z64" i="5"/>
  <c r="S64" i="5"/>
  <c r="Z618" i="5"/>
  <c r="S618" i="5"/>
  <c r="Z329" i="5"/>
  <c r="S329" i="5"/>
  <c r="Z92" i="5"/>
  <c r="S92" i="5"/>
  <c r="X588" i="5"/>
  <c r="Q588" i="5"/>
  <c r="Z640" i="5"/>
  <c r="S640" i="5"/>
  <c r="Z658" i="5"/>
  <c r="S658" i="5"/>
  <c r="Y495" i="5"/>
  <c r="R495" i="5"/>
  <c r="Y470" i="5"/>
  <c r="R470" i="5"/>
  <c r="Y507" i="5"/>
  <c r="R507" i="5"/>
  <c r="X716" i="5"/>
  <c r="Q716" i="5"/>
  <c r="Y720" i="5"/>
  <c r="R720" i="5"/>
  <c r="V328" i="5"/>
  <c r="O328" i="5"/>
  <c r="W685" i="5"/>
  <c r="V685" i="5"/>
  <c r="P685" i="5"/>
  <c r="O685" i="5"/>
  <c r="V298" i="5"/>
  <c r="O298" i="5"/>
  <c r="V883" i="5"/>
  <c r="O883" i="5"/>
  <c r="W473" i="5"/>
  <c r="V473" i="5"/>
  <c r="P473" i="5"/>
  <c r="O473" i="5"/>
  <c r="W859" i="5"/>
  <c r="V859" i="5"/>
  <c r="P859" i="5"/>
  <c r="O859" i="5"/>
  <c r="V79" i="5"/>
  <c r="O79" i="5"/>
  <c r="V152" i="5"/>
  <c r="O152" i="5"/>
  <c r="V682" i="5"/>
  <c r="O682" i="5"/>
  <c r="V433" i="5"/>
  <c r="O433" i="5"/>
  <c r="V240" i="5"/>
  <c r="O240" i="5"/>
  <c r="V611" i="5"/>
  <c r="O611" i="5"/>
  <c r="V393" i="5"/>
  <c r="W393" i="5"/>
  <c r="P393" i="5"/>
  <c r="O393" i="5"/>
  <c r="V278" i="5"/>
  <c r="O278" i="5"/>
  <c r="V675" i="5"/>
  <c r="O675" i="5"/>
  <c r="V402" i="5"/>
  <c r="O402" i="5"/>
  <c r="W848" i="5"/>
  <c r="V848" i="5"/>
  <c r="P848" i="5"/>
  <c r="O848" i="5"/>
  <c r="V552" i="5"/>
  <c r="O552" i="5"/>
  <c r="V909" i="5"/>
  <c r="O909" i="5"/>
  <c r="W427" i="5"/>
  <c r="V427" i="5"/>
  <c r="O427" i="5"/>
  <c r="P427" i="5"/>
  <c r="W944" i="5"/>
  <c r="V944" i="5"/>
  <c r="P944" i="5"/>
  <c r="O944" i="5"/>
  <c r="V753" i="5"/>
  <c r="O753" i="5"/>
  <c r="W934" i="5"/>
  <c r="V934" i="5"/>
  <c r="P934" i="5"/>
  <c r="O934" i="5"/>
  <c r="V293" i="5"/>
  <c r="O293" i="5"/>
  <c r="W312" i="5"/>
  <c r="V312" i="5"/>
  <c r="P312" i="5"/>
  <c r="O312" i="5"/>
  <c r="W311" i="5"/>
  <c r="V311" i="5"/>
  <c r="P311" i="5"/>
  <c r="O311" i="5"/>
  <c r="V770" i="5"/>
  <c r="O770" i="5"/>
  <c r="V846" i="5"/>
  <c r="O846" i="5"/>
  <c r="W973" i="5"/>
  <c r="V973" i="5"/>
  <c r="P973" i="5"/>
  <c r="O973" i="5"/>
  <c r="V694" i="5"/>
  <c r="O694" i="5"/>
  <c r="W217" i="5"/>
  <c r="V217" i="5"/>
  <c r="P217" i="5"/>
  <c r="O217" i="5"/>
  <c r="V353" i="5"/>
  <c r="W353" i="5"/>
  <c r="P353" i="5"/>
  <c r="O353" i="5"/>
  <c r="V286" i="5"/>
  <c r="O286" i="5"/>
  <c r="V332" i="5"/>
  <c r="O332" i="5"/>
  <c r="W250" i="5"/>
  <c r="V250" i="5"/>
  <c r="P250" i="5"/>
  <c r="O250" i="5"/>
  <c r="V777" i="5"/>
  <c r="O777" i="5"/>
  <c r="V541" i="5"/>
  <c r="O541" i="5"/>
  <c r="V260" i="5"/>
  <c r="O260" i="5"/>
  <c r="V741" i="5"/>
  <c r="O741" i="5"/>
  <c r="V139" i="5"/>
  <c r="O139" i="5"/>
  <c r="W586" i="5"/>
  <c r="V586" i="5"/>
  <c r="P586" i="5"/>
  <c r="O586" i="5"/>
  <c r="V819" i="5"/>
  <c r="O819" i="5"/>
  <c r="W133" i="5"/>
  <c r="V133" i="5"/>
  <c r="P133" i="5"/>
  <c r="O133" i="5"/>
  <c r="W841" i="5"/>
  <c r="V841" i="5"/>
  <c r="P841" i="5"/>
  <c r="O841" i="5"/>
  <c r="W813" i="5"/>
  <c r="V813" i="5"/>
  <c r="P813" i="5"/>
  <c r="O813" i="5"/>
  <c r="V321" i="5"/>
  <c r="O321" i="5"/>
  <c r="W443" i="5"/>
  <c r="V443" i="5"/>
  <c r="P443" i="5"/>
  <c r="O443" i="5"/>
  <c r="V630" i="5"/>
  <c r="O630" i="5"/>
  <c r="W596" i="5"/>
  <c r="V596" i="5"/>
  <c r="P596" i="5"/>
  <c r="O596" i="5"/>
  <c r="W61" i="5"/>
  <c r="V61" i="5"/>
  <c r="P61" i="5"/>
  <c r="O61" i="5"/>
  <c r="V875" i="5"/>
  <c r="O875" i="5"/>
  <c r="W539" i="5"/>
  <c r="V539" i="5"/>
  <c r="P539" i="5"/>
  <c r="O539" i="5"/>
  <c r="V289" i="5"/>
  <c r="W289" i="5"/>
  <c r="P289" i="5"/>
  <c r="O289" i="5"/>
  <c r="V718" i="5"/>
  <c r="O718" i="5"/>
  <c r="V652" i="5"/>
  <c r="O652" i="5"/>
  <c r="W893" i="5"/>
  <c r="V893" i="5"/>
  <c r="P893" i="5"/>
  <c r="O893" i="5"/>
  <c r="V641" i="5"/>
  <c r="O641" i="5"/>
  <c r="V341" i="5"/>
  <c r="O341" i="5"/>
  <c r="W262" i="5"/>
  <c r="V262" i="5"/>
  <c r="P262" i="5"/>
  <c r="O262" i="5"/>
  <c r="W933" i="5"/>
  <c r="V933" i="5"/>
  <c r="P933" i="5"/>
  <c r="O933" i="5"/>
  <c r="V555" i="5"/>
  <c r="O555" i="5"/>
  <c r="W379" i="5"/>
  <c r="V379" i="5"/>
  <c r="P379" i="5"/>
  <c r="O379" i="5"/>
  <c r="V943" i="5"/>
  <c r="O943" i="5"/>
  <c r="V302" i="5"/>
  <c r="O302" i="5"/>
  <c r="W228" i="5"/>
  <c r="V228" i="5"/>
  <c r="P228" i="5"/>
  <c r="O228" i="5"/>
  <c r="V4" i="5"/>
  <c r="O4" i="5"/>
  <c r="V189" i="5"/>
  <c r="O189" i="5"/>
  <c r="W203" i="5"/>
  <c r="V203" i="5"/>
  <c r="P203" i="5"/>
  <c r="O203" i="5"/>
  <c r="V8" i="5"/>
  <c r="O8" i="5"/>
  <c r="W484" i="5"/>
  <c r="V484" i="5"/>
  <c r="P484" i="5"/>
  <c r="O484" i="5"/>
  <c r="W23" i="5"/>
  <c r="V23" i="5"/>
  <c r="P23" i="5"/>
  <c r="O23" i="5"/>
  <c r="V788" i="5"/>
  <c r="O788" i="5"/>
  <c r="W195" i="5"/>
  <c r="V195" i="5"/>
  <c r="P195" i="5"/>
  <c r="O195" i="5"/>
  <c r="W192" i="5"/>
  <c r="V192" i="5"/>
  <c r="P192" i="5"/>
  <c r="O192" i="5"/>
  <c r="V51" i="5"/>
  <c r="O51" i="5"/>
  <c r="W591" i="5"/>
  <c r="V591" i="5"/>
  <c r="P591" i="5"/>
  <c r="O591" i="5"/>
  <c r="W787" i="5"/>
  <c r="V787" i="5"/>
  <c r="P787" i="5"/>
  <c r="O787" i="5"/>
  <c r="W504" i="5"/>
  <c r="V504" i="5"/>
  <c r="P504" i="5"/>
  <c r="O504" i="5"/>
  <c r="V373" i="5"/>
  <c r="O373" i="5"/>
  <c r="W932" i="5"/>
  <c r="V932" i="5"/>
  <c r="P932" i="5"/>
  <c r="O932" i="5"/>
  <c r="W236" i="5"/>
  <c r="V236" i="5"/>
  <c r="P236" i="5"/>
  <c r="O236" i="5"/>
  <c r="V259" i="5"/>
  <c r="O259" i="5"/>
  <c r="W202" i="5"/>
  <c r="V202" i="5"/>
  <c r="P202" i="5"/>
  <c r="O202" i="5"/>
  <c r="W38" i="5"/>
  <c r="V38" i="5"/>
  <c r="P38" i="5"/>
  <c r="O38" i="5"/>
  <c r="V705" i="5"/>
  <c r="W705" i="5"/>
  <c r="P705" i="5"/>
  <c r="O705" i="5"/>
  <c r="W965" i="5"/>
  <c r="V965" i="5"/>
  <c r="P965" i="5"/>
  <c r="O965" i="5"/>
  <c r="V477" i="5"/>
  <c r="O477" i="5"/>
  <c r="V453" i="5"/>
  <c r="O453" i="5"/>
  <c r="W406" i="5"/>
  <c r="V406" i="5"/>
  <c r="P406" i="5"/>
  <c r="O406" i="5"/>
  <c r="W204" i="5"/>
  <c r="V204" i="5"/>
  <c r="P204" i="5"/>
  <c r="O204" i="5"/>
  <c r="W930" i="5"/>
  <c r="V930" i="5"/>
  <c r="P930" i="5"/>
  <c r="O930" i="5"/>
  <c r="W155" i="5"/>
  <c r="V155" i="5"/>
  <c r="P155" i="5"/>
  <c r="O155" i="5"/>
  <c r="M5" i="6"/>
  <c r="V2" i="5"/>
  <c r="O2" i="5"/>
  <c r="V505" i="5"/>
  <c r="O505" i="5"/>
  <c r="V677" i="5"/>
  <c r="O677" i="5"/>
  <c r="W309" i="5"/>
  <c r="V309" i="5"/>
  <c r="P309" i="5"/>
  <c r="O309" i="5"/>
  <c r="W124" i="5"/>
  <c r="V124" i="5"/>
  <c r="P124" i="5"/>
  <c r="O124" i="5"/>
  <c r="W82" i="5"/>
  <c r="V82" i="5"/>
  <c r="P82" i="5"/>
  <c r="O82" i="5"/>
  <c r="V225" i="5"/>
  <c r="O225" i="5"/>
  <c r="V684" i="5"/>
  <c r="O684" i="5"/>
  <c r="W548" i="5"/>
  <c r="V548" i="5"/>
  <c r="P548" i="5"/>
  <c r="O548" i="5"/>
  <c r="V733" i="5"/>
  <c r="O733" i="5"/>
  <c r="W93" i="5"/>
  <c r="V93" i="5"/>
  <c r="P93" i="5"/>
  <c r="O93" i="5"/>
  <c r="W743" i="5"/>
  <c r="V743" i="5"/>
  <c r="P743" i="5"/>
  <c r="O743" i="5"/>
  <c r="W266" i="5"/>
  <c r="V266" i="5"/>
  <c r="P266" i="5"/>
  <c r="O266" i="5"/>
  <c r="W181" i="5"/>
  <c r="V181" i="5"/>
  <c r="P181" i="5"/>
  <c r="O181" i="5"/>
  <c r="W870" i="5"/>
  <c r="V870" i="5"/>
  <c r="P870" i="5"/>
  <c r="O870" i="5"/>
  <c r="W415" i="5"/>
  <c r="V415" i="5"/>
  <c r="P415" i="5"/>
  <c r="O415" i="5"/>
  <c r="V535" i="5"/>
  <c r="O535" i="5"/>
  <c r="V569" i="5"/>
  <c r="W569" i="5"/>
  <c r="P569" i="5"/>
  <c r="O569" i="5"/>
  <c r="V726" i="5"/>
  <c r="O726" i="5"/>
  <c r="V806" i="5"/>
  <c r="O806" i="5"/>
  <c r="W763" i="5"/>
  <c r="V763" i="5"/>
  <c r="P763" i="5"/>
  <c r="O763" i="5"/>
  <c r="V347" i="5"/>
  <c r="O347" i="5"/>
  <c r="V706" i="5"/>
  <c r="O706" i="5"/>
  <c r="W525" i="5"/>
  <c r="V525" i="5"/>
  <c r="P525" i="5"/>
  <c r="O525" i="5"/>
  <c r="V655" i="5"/>
  <c r="O655" i="5"/>
  <c r="V673" i="5"/>
  <c r="O673" i="5"/>
  <c r="W306" i="5"/>
  <c r="V306" i="5"/>
  <c r="P306" i="5"/>
  <c r="O306" i="5"/>
  <c r="W543" i="5"/>
  <c r="V543" i="5"/>
  <c r="P543" i="5"/>
  <c r="O543" i="5"/>
  <c r="V350" i="5"/>
  <c r="O350" i="5"/>
  <c r="W716" i="5"/>
  <c r="V716" i="5"/>
  <c r="P716" i="5"/>
  <c r="O716" i="5"/>
  <c r="W795" i="5"/>
  <c r="V795" i="5"/>
  <c r="P795" i="5"/>
  <c r="O795" i="5"/>
  <c r="V429" i="5"/>
  <c r="O429" i="5"/>
  <c r="W507" i="5"/>
  <c r="V507" i="5"/>
  <c r="P507" i="5"/>
  <c r="O507" i="5"/>
  <c r="Z921" i="5"/>
  <c r="S921" i="5"/>
  <c r="X569" i="5"/>
  <c r="Q569" i="5"/>
  <c r="Z146" i="5"/>
  <c r="S146" i="5"/>
  <c r="Y273" i="5"/>
  <c r="R273" i="5"/>
  <c r="Y686" i="5"/>
  <c r="R686" i="5"/>
  <c r="Z216" i="5"/>
  <c r="S216" i="5"/>
  <c r="Z932" i="5"/>
  <c r="S932" i="5"/>
  <c r="Z310" i="5"/>
  <c r="S310" i="5"/>
  <c r="Y708" i="5"/>
  <c r="R708" i="5"/>
  <c r="Z127" i="5"/>
  <c r="S127" i="5"/>
  <c r="X47" i="5"/>
  <c r="Q47" i="5"/>
  <c r="Z562" i="5"/>
  <c r="S562" i="5"/>
  <c r="Z844" i="5"/>
  <c r="Y459" i="5"/>
  <c r="R459" i="5"/>
  <c r="Y566" i="5"/>
  <c r="R566" i="5"/>
  <c r="Y246" i="5"/>
  <c r="R246" i="5"/>
  <c r="Y130" i="5"/>
  <c r="R130" i="5"/>
  <c r="Z583" i="5"/>
  <c r="S583" i="5"/>
  <c r="W416" i="5"/>
  <c r="V416" i="5"/>
  <c r="P416" i="5"/>
  <c r="O416" i="5"/>
  <c r="V817" i="5"/>
  <c r="O817" i="5"/>
  <c r="W187" i="5"/>
  <c r="V187" i="5"/>
  <c r="P187" i="5"/>
  <c r="O187" i="5"/>
  <c r="V356" i="5"/>
  <c r="O356" i="5"/>
  <c r="W587" i="5"/>
  <c r="V587" i="5"/>
  <c r="P587" i="5"/>
  <c r="O587" i="5"/>
  <c r="W646" i="5"/>
  <c r="V646" i="5"/>
  <c r="P646" i="5"/>
  <c r="O646" i="5"/>
  <c r="V851" i="5"/>
  <c r="P851" i="5"/>
  <c r="O851" i="5"/>
  <c r="W448" i="5"/>
  <c r="V448" i="5"/>
  <c r="P448" i="5"/>
  <c r="O448" i="5"/>
  <c r="W938" i="5"/>
  <c r="V938" i="5"/>
  <c r="P938" i="5"/>
  <c r="O938" i="5"/>
  <c r="V545" i="5"/>
  <c r="O545" i="5"/>
  <c r="V255" i="5"/>
  <c r="O255" i="5"/>
  <c r="V183" i="5"/>
  <c r="O183" i="5"/>
  <c r="W629" i="5"/>
  <c r="V629" i="5"/>
  <c r="P629" i="5"/>
  <c r="O629" i="5"/>
  <c r="V957" i="5"/>
  <c r="O957" i="5"/>
  <c r="V709" i="5"/>
  <c r="O709" i="5"/>
  <c r="Y958" i="5"/>
  <c r="R958" i="5"/>
  <c r="Y796" i="5"/>
  <c r="R796" i="5"/>
  <c r="Y870" i="5"/>
  <c r="R870" i="5"/>
  <c r="X6" i="5"/>
  <c r="Q6" i="5"/>
  <c r="X814" i="5"/>
  <c r="Q814" i="5"/>
  <c r="X735" i="5"/>
  <c r="Q735" i="5"/>
  <c r="X821" i="5"/>
  <c r="Q821" i="5"/>
  <c r="J927" i="5"/>
  <c r="J722" i="5"/>
  <c r="K872" i="5"/>
  <c r="Y948" i="5"/>
  <c r="R948" i="5"/>
  <c r="Y945" i="5"/>
  <c r="R945" i="5"/>
  <c r="Z789" i="5"/>
  <c r="S789" i="5"/>
  <c r="J269" i="5"/>
  <c r="Y553" i="5"/>
  <c r="R553" i="5"/>
  <c r="Y839" i="5"/>
  <c r="R839" i="5"/>
  <c r="X833" i="5"/>
  <c r="Q833" i="5"/>
  <c r="K629" i="5"/>
  <c r="X94" i="5"/>
  <c r="Q94" i="5"/>
  <c r="Y888" i="5"/>
  <c r="R888" i="5"/>
  <c r="Z834" i="5"/>
  <c r="S834" i="5"/>
  <c r="J920" i="5"/>
  <c r="Z126" i="5"/>
  <c r="S126" i="5"/>
  <c r="X493" i="5"/>
  <c r="Q493" i="5"/>
  <c r="X522" i="5"/>
  <c r="Q522" i="5"/>
  <c r="K448" i="5"/>
  <c r="Y767" i="5"/>
  <c r="R767" i="5"/>
  <c r="Y128" i="5"/>
  <c r="R128" i="5"/>
  <c r="X660" i="5"/>
  <c r="Q660" i="5"/>
  <c r="Z976" i="5"/>
  <c r="S976" i="5"/>
  <c r="X775" i="5"/>
  <c r="Q775" i="5"/>
  <c r="V357" i="5"/>
  <c r="O357" i="5"/>
  <c r="X369" i="5"/>
  <c r="Q369" i="5"/>
  <c r="Z631" i="5"/>
  <c r="S631" i="5"/>
  <c r="Z871" i="5"/>
  <c r="S871" i="5"/>
  <c r="Y921" i="5"/>
  <c r="R921" i="5"/>
  <c r="X464" i="5"/>
  <c r="Q464" i="5"/>
  <c r="X942" i="5"/>
  <c r="Q942" i="5"/>
  <c r="Y779" i="5"/>
  <c r="R779" i="5"/>
  <c r="Z441" i="5"/>
  <c r="S441" i="5"/>
  <c r="Z720" i="5"/>
  <c r="S720" i="5"/>
  <c r="Z205" i="5"/>
  <c r="S205" i="5"/>
  <c r="Z898" i="5"/>
  <c r="S898" i="5"/>
  <c r="Z365" i="5"/>
  <c r="S365" i="5"/>
  <c r="Y865" i="5"/>
  <c r="R865" i="5"/>
  <c r="X889" i="5"/>
  <c r="Q889" i="5"/>
  <c r="J345" i="5"/>
  <c r="Z653" i="5"/>
  <c r="S653" i="5"/>
  <c r="X421" i="5"/>
  <c r="Q421" i="5"/>
  <c r="Z137" i="5"/>
  <c r="S137" i="5"/>
  <c r="J950" i="5"/>
  <c r="Z919" i="5"/>
  <c r="S919" i="5"/>
  <c r="Z254" i="5"/>
  <c r="S254" i="5"/>
  <c r="Z437" i="5"/>
  <c r="S437" i="5"/>
  <c r="Z866" i="5"/>
  <c r="S866" i="5"/>
  <c r="Y212" i="5"/>
  <c r="R212" i="5"/>
  <c r="Y82" i="5"/>
  <c r="R82" i="5"/>
  <c r="Z815" i="5"/>
  <c r="S815" i="5"/>
  <c r="Y31" i="5"/>
  <c r="R31" i="5"/>
  <c r="X926" i="5"/>
  <c r="Q926" i="5"/>
  <c r="Z399" i="5"/>
  <c r="S399" i="5"/>
  <c r="Z235" i="5"/>
  <c r="S235" i="5"/>
  <c r="X978" i="5"/>
  <c r="Q978" i="5"/>
  <c r="Z990" i="5"/>
  <c r="S990" i="5"/>
  <c r="X273" i="5"/>
  <c r="Q273" i="5"/>
  <c r="X288" i="5"/>
  <c r="Q288" i="5"/>
  <c r="Y176" i="5"/>
  <c r="R176" i="5"/>
  <c r="Y35" i="5"/>
  <c r="R35" i="5"/>
  <c r="Y665" i="5"/>
  <c r="R665" i="5"/>
  <c r="Y776" i="5"/>
  <c r="R776" i="5"/>
  <c r="Y965" i="5"/>
  <c r="R965" i="5"/>
  <c r="Y491" i="5"/>
  <c r="R491" i="5"/>
  <c r="Y380" i="5"/>
  <c r="R380" i="5"/>
  <c r="M405" i="5"/>
  <c r="N405" i="5" s="1"/>
  <c r="Y521" i="5"/>
  <c r="R521" i="5"/>
  <c r="Z728" i="5"/>
  <c r="S728" i="5"/>
  <c r="Y932" i="5"/>
  <c r="R932" i="5"/>
  <c r="Z428" i="5"/>
  <c r="S428" i="5"/>
  <c r="X754" i="5"/>
  <c r="Q754" i="5"/>
  <c r="X731" i="5"/>
  <c r="Q731" i="5"/>
  <c r="X714" i="5"/>
  <c r="Q714" i="5"/>
  <c r="Y256" i="5"/>
  <c r="R256" i="5"/>
  <c r="Y483" i="5"/>
  <c r="R483" i="5"/>
  <c r="Y310" i="5"/>
  <c r="R310" i="5"/>
  <c r="Z192" i="5"/>
  <c r="S192" i="5"/>
  <c r="Z9" i="5"/>
  <c r="S9" i="5"/>
  <c r="X708" i="5"/>
  <c r="Q708" i="5"/>
  <c r="J52" i="5"/>
  <c r="W52" i="5" s="1"/>
  <c r="X855" i="5"/>
  <c r="Q855" i="5"/>
  <c r="Z606" i="5"/>
  <c r="S606" i="5"/>
  <c r="Y127" i="5"/>
  <c r="R127" i="5"/>
  <c r="X203" i="5"/>
  <c r="Q203" i="5"/>
  <c r="Z304" i="5"/>
  <c r="S304" i="5"/>
  <c r="Y316" i="5"/>
  <c r="R316" i="5"/>
  <c r="K40" i="5"/>
  <c r="Y601" i="5"/>
  <c r="R601" i="5"/>
  <c r="Z248" i="5"/>
  <c r="S248" i="5"/>
  <c r="X58" i="5"/>
  <c r="Q58" i="5"/>
  <c r="Y562" i="5"/>
  <c r="R562" i="5"/>
  <c r="Z513" i="5"/>
  <c r="S513" i="5"/>
  <c r="Z678" i="5"/>
  <c r="S678" i="5"/>
  <c r="Z527" i="5"/>
  <c r="S527" i="5"/>
  <c r="Y454" i="5"/>
  <c r="R454" i="5"/>
  <c r="X648" i="5"/>
  <c r="Q648" i="5"/>
  <c r="Y914" i="5"/>
  <c r="R914" i="5"/>
  <c r="Y643" i="5"/>
  <c r="R643" i="5"/>
  <c r="Y318" i="5"/>
  <c r="R318" i="5"/>
  <c r="K48" i="5"/>
  <c r="Z439" i="5"/>
  <c r="S439" i="5"/>
  <c r="X459" i="5"/>
  <c r="Q459" i="5"/>
  <c r="Z600" i="5"/>
  <c r="S600" i="5"/>
  <c r="Z61" i="5"/>
  <c r="S61" i="5"/>
  <c r="X811" i="5"/>
  <c r="Q811" i="5"/>
  <c r="L988" i="5"/>
  <c r="Z419" i="5"/>
  <c r="S419" i="5"/>
  <c r="Z319" i="5"/>
  <c r="S319" i="5"/>
  <c r="Z44" i="5"/>
  <c r="S44" i="5"/>
  <c r="Z26" i="5"/>
  <c r="S26" i="5"/>
  <c r="X644" i="5"/>
  <c r="Q644" i="5"/>
  <c r="Z750" i="5"/>
  <c r="S750" i="5"/>
  <c r="Y549" i="5"/>
  <c r="R549" i="5"/>
  <c r="X586" i="5"/>
  <c r="Q586" i="5"/>
  <c r="Z565" i="5"/>
  <c r="S565" i="5"/>
  <c r="L851" i="5"/>
  <c r="X566" i="5"/>
  <c r="Q566" i="5"/>
  <c r="Y389" i="5"/>
  <c r="R389" i="5"/>
  <c r="X349" i="5"/>
  <c r="Q349" i="5"/>
  <c r="Z985" i="5"/>
  <c r="S985" i="5"/>
  <c r="Z353" i="5"/>
  <c r="S353" i="5"/>
  <c r="Z558" i="5"/>
  <c r="S558" i="5"/>
  <c r="M783" i="5"/>
  <c r="N783" i="5" s="1"/>
  <c r="Z131" i="5"/>
  <c r="S131" i="5"/>
  <c r="Z845" i="5"/>
  <c r="S845" i="5"/>
  <c r="L494" i="5"/>
  <c r="Z702" i="5"/>
  <c r="S702" i="5"/>
  <c r="Z311" i="5"/>
  <c r="S311" i="5"/>
  <c r="M786" i="5"/>
  <c r="N786" i="5" s="1"/>
  <c r="X666" i="5"/>
  <c r="Q666" i="5"/>
  <c r="Z625" i="5"/>
  <c r="S625" i="5"/>
  <c r="J246" i="5"/>
  <c r="X968" i="5"/>
  <c r="Q968" i="5"/>
  <c r="J317" i="5"/>
  <c r="X17" i="5"/>
  <c r="Q17" i="5"/>
  <c r="Z615" i="5"/>
  <c r="S615" i="5"/>
  <c r="L356" i="5"/>
  <c r="Z848" i="5"/>
  <c r="S848" i="5"/>
  <c r="Z647" i="5"/>
  <c r="S647" i="5"/>
  <c r="Z974" i="5"/>
  <c r="S974" i="5"/>
  <c r="Z130" i="5"/>
  <c r="S130" i="5"/>
  <c r="Y487" i="5"/>
  <c r="R487" i="5"/>
  <c r="X337" i="5"/>
  <c r="Q337" i="5"/>
  <c r="X627" i="5"/>
  <c r="Q627" i="5"/>
  <c r="Z495" i="5"/>
  <c r="S495" i="5"/>
  <c r="Z608" i="5"/>
  <c r="S608" i="5"/>
  <c r="Z470" i="5"/>
  <c r="S470" i="5"/>
  <c r="Z219" i="5"/>
  <c r="S219" i="5"/>
  <c r="J417" i="5"/>
  <c r="X476" i="5"/>
  <c r="Q476" i="5"/>
  <c r="W229" i="5"/>
  <c r="V229" i="5"/>
  <c r="P229" i="5"/>
  <c r="O229" i="5"/>
  <c r="V798" i="5"/>
  <c r="O798" i="5"/>
  <c r="W210" i="5"/>
  <c r="V210" i="5"/>
  <c r="P210" i="5"/>
  <c r="O210" i="5"/>
  <c r="V769" i="5"/>
  <c r="W769" i="5"/>
  <c r="P769" i="5"/>
  <c r="O769" i="5"/>
  <c r="V572" i="5"/>
  <c r="O572" i="5"/>
  <c r="W495" i="5"/>
  <c r="V495" i="5"/>
  <c r="P495" i="5"/>
  <c r="O495" i="5"/>
  <c r="W658" i="5"/>
  <c r="V658" i="5"/>
  <c r="P658" i="5"/>
  <c r="O658" i="5"/>
  <c r="V554" i="5"/>
  <c r="O554" i="5"/>
  <c r="V640" i="5"/>
  <c r="O640" i="5"/>
  <c r="W588" i="5"/>
  <c r="V588" i="5"/>
  <c r="P588" i="5"/>
  <c r="O588" i="5"/>
  <c r="W92" i="5"/>
  <c r="V92" i="5"/>
  <c r="P92" i="5"/>
  <c r="O92" i="5"/>
  <c r="V683" i="5"/>
  <c r="O683" i="5"/>
  <c r="W492" i="5"/>
  <c r="V492" i="5"/>
  <c r="P492" i="5"/>
  <c r="O492" i="5"/>
  <c r="W618" i="5"/>
  <c r="V618" i="5"/>
  <c r="P618" i="5"/>
  <c r="O618" i="5"/>
  <c r="W451" i="5"/>
  <c r="V451" i="5"/>
  <c r="P451" i="5"/>
  <c r="O451" i="5"/>
  <c r="V536" i="5"/>
  <c r="O536" i="5"/>
  <c r="W252" i="5"/>
  <c r="V252" i="5"/>
  <c r="P252" i="5"/>
  <c r="O252" i="5"/>
  <c r="V837" i="5"/>
  <c r="O837" i="5"/>
  <c r="W17" i="5"/>
  <c r="V17" i="5"/>
  <c r="O17" i="5"/>
  <c r="P17" i="5"/>
  <c r="W232" i="5"/>
  <c r="V232" i="5"/>
  <c r="P232" i="5"/>
  <c r="O232" i="5"/>
  <c r="W775" i="5"/>
  <c r="V775" i="5"/>
  <c r="P775" i="5"/>
  <c r="O775" i="5"/>
  <c r="W594" i="5"/>
  <c r="V594" i="5"/>
  <c r="P594" i="5"/>
  <c r="O594" i="5"/>
  <c r="V625" i="5"/>
  <c r="O625" i="5"/>
  <c r="W520" i="5"/>
  <c r="V520" i="5"/>
  <c r="P520" i="5"/>
  <c r="O520" i="5"/>
  <c r="W462" i="5"/>
  <c r="V462" i="5"/>
  <c r="P462" i="5"/>
  <c r="O462" i="5"/>
  <c r="W397" i="5"/>
  <c r="V397" i="5"/>
  <c r="P397" i="5"/>
  <c r="O397" i="5"/>
  <c r="V785" i="5"/>
  <c r="W785" i="5"/>
  <c r="P785" i="5"/>
  <c r="O785" i="5"/>
  <c r="W700" i="5"/>
  <c r="V700" i="5"/>
  <c r="P700" i="5"/>
  <c r="O700" i="5"/>
  <c r="W845" i="5"/>
  <c r="V845" i="5"/>
  <c r="P845" i="5"/>
  <c r="O845" i="5"/>
  <c r="W131" i="5"/>
  <c r="V131" i="5"/>
  <c r="P131" i="5"/>
  <c r="O131" i="5"/>
  <c r="W873" i="5"/>
  <c r="V873" i="5"/>
  <c r="P873" i="5"/>
  <c r="O873" i="5"/>
  <c r="V197" i="5"/>
  <c r="O197" i="5"/>
  <c r="W985" i="5"/>
  <c r="V985" i="5"/>
  <c r="P985" i="5"/>
  <c r="O985" i="5"/>
  <c r="V987" i="5"/>
  <c r="O987" i="5"/>
  <c r="W566" i="5"/>
  <c r="V566" i="5"/>
  <c r="P566" i="5"/>
  <c r="O566" i="5"/>
  <c r="W34" i="5"/>
  <c r="V34" i="5"/>
  <c r="P34" i="5"/>
  <c r="O34" i="5"/>
  <c r="W320" i="5"/>
  <c r="V320" i="5"/>
  <c r="P320" i="5"/>
  <c r="O320" i="5"/>
  <c r="V191" i="5"/>
  <c r="O191" i="5"/>
  <c r="V113" i="5"/>
  <c r="W113" i="5"/>
  <c r="P113" i="5"/>
  <c r="O113" i="5"/>
  <c r="W467" i="5"/>
  <c r="V467" i="5"/>
  <c r="P467" i="5"/>
  <c r="O467" i="5"/>
  <c r="W680" i="5"/>
  <c r="V680" i="5"/>
  <c r="O680" i="5"/>
  <c r="P680" i="5"/>
  <c r="V549" i="5"/>
  <c r="O549" i="5"/>
  <c r="W826" i="5"/>
  <c r="V826" i="5"/>
  <c r="P826" i="5"/>
  <c r="O826" i="5"/>
  <c r="W391" i="5"/>
  <c r="V391" i="5"/>
  <c r="P391" i="5"/>
  <c r="O391" i="5"/>
  <c r="W624" i="5"/>
  <c r="V624" i="5"/>
  <c r="P624" i="5"/>
  <c r="O624" i="5"/>
  <c r="V603" i="5"/>
  <c r="O603" i="5"/>
  <c r="W419" i="5"/>
  <c r="V419" i="5"/>
  <c r="P419" i="5"/>
  <c r="O419" i="5"/>
  <c r="V381" i="5"/>
  <c r="O381" i="5"/>
  <c r="W409" i="5"/>
  <c r="V409" i="5"/>
  <c r="P409" i="5"/>
  <c r="O409" i="5"/>
  <c r="W432" i="5"/>
  <c r="V432" i="5"/>
  <c r="AA432" i="5" s="1"/>
  <c r="AB432" i="5" s="1"/>
  <c r="P432" i="5"/>
  <c r="O432" i="5"/>
  <c r="W600" i="5"/>
  <c r="V600" i="5"/>
  <c r="P600" i="5"/>
  <c r="O600" i="5"/>
  <c r="W249" i="5"/>
  <c r="V249" i="5"/>
  <c r="P249" i="5"/>
  <c r="O249" i="5"/>
  <c r="W126" i="5"/>
  <c r="V126" i="5"/>
  <c r="P126" i="5"/>
  <c r="O126" i="5"/>
  <c r="W370" i="5"/>
  <c r="V370" i="5"/>
  <c r="AA370" i="5" s="1"/>
  <c r="AB370" i="5" s="1"/>
  <c r="P370" i="5"/>
  <c r="O370" i="5"/>
  <c r="V117" i="5"/>
  <c r="O117" i="5"/>
  <c r="V723" i="5"/>
  <c r="O723" i="5"/>
  <c r="V425" i="5"/>
  <c r="W425" i="5"/>
  <c r="P425" i="5"/>
  <c r="O425" i="5"/>
  <c r="W465" i="5"/>
  <c r="V465" i="5"/>
  <c r="P465" i="5"/>
  <c r="O465" i="5"/>
  <c r="V1000" i="5"/>
  <c r="O1000" i="5"/>
  <c r="W175" i="5"/>
  <c r="V175" i="5"/>
  <c r="P175" i="5"/>
  <c r="O175" i="5"/>
  <c r="W808" i="5"/>
  <c r="V808" i="5"/>
  <c r="O808" i="5"/>
  <c r="P808" i="5"/>
  <c r="W455" i="5"/>
  <c r="V455" i="5"/>
  <c r="P455" i="5"/>
  <c r="O455" i="5"/>
  <c r="W446" i="5"/>
  <c r="V446" i="5"/>
  <c r="P446" i="5"/>
  <c r="O446" i="5"/>
  <c r="W560" i="5"/>
  <c r="V560" i="5"/>
  <c r="P560" i="5"/>
  <c r="O560" i="5"/>
  <c r="W601" i="5"/>
  <c r="V601" i="5"/>
  <c r="P601" i="5"/>
  <c r="O601" i="5"/>
  <c r="W12" i="5"/>
  <c r="V12" i="5"/>
  <c r="P12" i="5"/>
  <c r="O12" i="5"/>
  <c r="W774" i="5"/>
  <c r="V774" i="5"/>
  <c r="P774" i="5"/>
  <c r="O774" i="5"/>
  <c r="W74" i="5"/>
  <c r="V74" i="5"/>
  <c r="P74" i="5"/>
  <c r="O74" i="5"/>
  <c r="W820" i="5"/>
  <c r="V820" i="5"/>
  <c r="P820" i="5"/>
  <c r="O820" i="5"/>
  <c r="W170" i="5"/>
  <c r="V170" i="5"/>
  <c r="P170" i="5"/>
  <c r="O170" i="5"/>
  <c r="V384" i="5"/>
  <c r="O384" i="5"/>
  <c r="W589" i="5"/>
  <c r="V589" i="5"/>
  <c r="P589" i="5"/>
  <c r="O589" i="5"/>
  <c r="W352" i="5"/>
  <c r="V352" i="5"/>
  <c r="P352" i="5"/>
  <c r="O352" i="5"/>
  <c r="W839" i="5"/>
  <c r="V839" i="5"/>
  <c r="P839" i="5"/>
  <c r="O839" i="5"/>
  <c r="W508" i="5"/>
  <c r="V508" i="5"/>
  <c r="P508" i="5"/>
  <c r="O508" i="5"/>
  <c r="V553" i="5"/>
  <c r="W553" i="5"/>
  <c r="P553" i="5"/>
  <c r="O553" i="5"/>
  <c r="W256" i="5"/>
  <c r="V256" i="5"/>
  <c r="P256" i="5"/>
  <c r="O256" i="5"/>
  <c r="W714" i="5"/>
  <c r="V714" i="5"/>
  <c r="P714" i="5"/>
  <c r="O714" i="5"/>
  <c r="W567" i="5"/>
  <c r="V567" i="5"/>
  <c r="P567" i="5"/>
  <c r="O567" i="5"/>
  <c r="W626" i="5"/>
  <c r="V626" i="5"/>
  <c r="P626" i="5"/>
  <c r="O626" i="5"/>
  <c r="W789" i="5"/>
  <c r="V789" i="5"/>
  <c r="P789" i="5"/>
  <c r="O789" i="5"/>
  <c r="W50" i="5"/>
  <c r="V50" i="5"/>
  <c r="P50" i="5"/>
  <c r="O50" i="5"/>
  <c r="V257" i="5"/>
  <c r="W257" i="5"/>
  <c r="P257" i="5"/>
  <c r="O257" i="5"/>
  <c r="W216" i="5"/>
  <c r="V216" i="5"/>
  <c r="P216" i="5"/>
  <c r="O216" i="5"/>
  <c r="V639" i="5"/>
  <c r="O639" i="5"/>
  <c r="W948" i="5"/>
  <c r="V948" i="5"/>
  <c r="P948" i="5"/>
  <c r="O948" i="5"/>
  <c r="V776" i="5"/>
  <c r="W776" i="5"/>
  <c r="O776" i="5"/>
  <c r="P776" i="5"/>
  <c r="V385" i="5"/>
  <c r="O385" i="5"/>
  <c r="W961" i="5"/>
  <c r="V961" i="5"/>
  <c r="P961" i="5"/>
  <c r="O961" i="5"/>
  <c r="W176" i="5"/>
  <c r="V176" i="5"/>
  <c r="P176" i="5"/>
  <c r="O176" i="5"/>
  <c r="V313" i="5"/>
  <c r="O313" i="5"/>
  <c r="V106" i="5"/>
  <c r="O106" i="5"/>
  <c r="W978" i="5"/>
  <c r="V978" i="5"/>
  <c r="P978" i="5"/>
  <c r="O978" i="5"/>
  <c r="V114" i="5"/>
  <c r="O114" i="5"/>
  <c r="W314" i="5"/>
  <c r="V314" i="5"/>
  <c r="P314" i="5"/>
  <c r="O314" i="5"/>
  <c r="W926" i="5"/>
  <c r="V926" i="5"/>
  <c r="P926" i="5"/>
  <c r="O926" i="5"/>
  <c r="V456" i="5"/>
  <c r="O456" i="5"/>
  <c r="W14" i="5"/>
  <c r="V14" i="5"/>
  <c r="O14" i="5"/>
  <c r="P14" i="5"/>
  <c r="W821" i="5"/>
  <c r="V821" i="5"/>
  <c r="P821" i="5"/>
  <c r="O821" i="5"/>
  <c r="W437" i="5"/>
  <c r="V437" i="5"/>
  <c r="P437" i="5"/>
  <c r="O437" i="5"/>
  <c r="W752" i="5"/>
  <c r="V752" i="5"/>
  <c r="P752" i="5"/>
  <c r="O752" i="5"/>
  <c r="W735" i="5"/>
  <c r="V735" i="5"/>
  <c r="P735" i="5"/>
  <c r="O735" i="5"/>
  <c r="V137" i="5"/>
  <c r="O137" i="5"/>
  <c r="W138" i="5"/>
  <c r="V138" i="5"/>
  <c r="P138" i="5"/>
  <c r="O138" i="5"/>
  <c r="W697" i="5"/>
  <c r="V697" i="5"/>
  <c r="P697" i="5"/>
  <c r="O697" i="5"/>
  <c r="W725" i="5"/>
  <c r="V725" i="5"/>
  <c r="P725" i="5"/>
  <c r="O725" i="5"/>
  <c r="W182" i="5"/>
  <c r="V182" i="5"/>
  <c r="P182" i="5"/>
  <c r="O182" i="5"/>
  <c r="W160" i="5"/>
  <c r="V160" i="5"/>
  <c r="P160" i="5"/>
  <c r="O160" i="5"/>
  <c r="W365" i="5"/>
  <c r="V365" i="5"/>
  <c r="P365" i="5"/>
  <c r="O365" i="5"/>
  <c r="V68" i="5"/>
  <c r="O68" i="5"/>
  <c r="W281" i="5"/>
  <c r="V281" i="5"/>
  <c r="P281" i="5"/>
  <c r="O281" i="5"/>
  <c r="W898" i="5"/>
  <c r="V898" i="5"/>
  <c r="P898" i="5"/>
  <c r="O898" i="5"/>
  <c r="V161" i="5"/>
  <c r="W161" i="5"/>
  <c r="P161" i="5"/>
  <c r="O161" i="5"/>
  <c r="L953" i="5"/>
  <c r="W953" i="5"/>
  <c r="V953" i="5"/>
  <c r="P953" i="5"/>
  <c r="O953" i="5"/>
  <c r="W779" i="5"/>
  <c r="V779" i="5"/>
  <c r="P779" i="5"/>
  <c r="O779" i="5"/>
  <c r="V967" i="5"/>
  <c r="W967" i="5"/>
  <c r="P967" i="5"/>
  <c r="O967" i="5"/>
  <c r="V377" i="5"/>
  <c r="W377" i="5"/>
  <c r="P377" i="5"/>
  <c r="O377" i="5"/>
  <c r="V923" i="5"/>
  <c r="O923" i="5"/>
  <c r="V154" i="5"/>
  <c r="O154" i="5"/>
  <c r="V871" i="5"/>
  <c r="O871" i="5"/>
  <c r="W89" i="5"/>
  <c r="V89" i="5"/>
  <c r="P89" i="5"/>
  <c r="O89" i="5"/>
  <c r="W628" i="5"/>
  <c r="V628" i="5"/>
  <c r="P628" i="5"/>
  <c r="O628" i="5"/>
  <c r="W179" i="5"/>
  <c r="V179" i="5"/>
  <c r="O179" i="5"/>
  <c r="P179" i="5"/>
  <c r="W30" i="5"/>
  <c r="V30" i="5"/>
  <c r="P30" i="5"/>
  <c r="O30" i="5"/>
  <c r="V931" i="5"/>
  <c r="O931" i="5"/>
  <c r="M14" i="3"/>
  <c r="M7" i="6"/>
  <c r="O7" i="6" s="1"/>
  <c r="M17" i="3"/>
  <c r="J964" i="5"/>
  <c r="K270" i="5"/>
  <c r="J151" i="5"/>
  <c r="J367" i="5"/>
  <c r="K120" i="5"/>
  <c r="M951" i="5"/>
  <c r="N951" i="5" s="1"/>
  <c r="K704" i="5"/>
  <c r="M908" i="5"/>
  <c r="N908" i="5" s="1"/>
  <c r="L940" i="5"/>
  <c r="M962" i="5"/>
  <c r="N962" i="5" s="1"/>
  <c r="L915" i="5"/>
  <c r="J662" i="5"/>
  <c r="M21" i="5"/>
  <c r="N21" i="5" s="1"/>
  <c r="L792" i="5"/>
  <c r="M211" i="5"/>
  <c r="N211" i="5" s="1"/>
  <c r="M635" i="5"/>
  <c r="N635" i="5" s="1"/>
  <c r="M568" i="5"/>
  <c r="N568" i="5" s="1"/>
  <c r="L354" i="5"/>
  <c r="L736" i="5"/>
  <c r="L982" i="5"/>
  <c r="L297" i="5"/>
  <c r="J784" i="5"/>
  <c r="K11" i="5"/>
  <c r="M823" i="5"/>
  <c r="N823" i="5" s="1"/>
  <c r="M598" i="5"/>
  <c r="N598" i="5" s="1"/>
  <c r="L468" i="5"/>
  <c r="K695" i="5"/>
  <c r="L100" i="5"/>
  <c r="L831" i="5"/>
  <c r="M158" i="5"/>
  <c r="N158" i="5" s="1"/>
  <c r="L479" i="5"/>
  <c r="L86" i="5"/>
  <c r="J396" i="5"/>
  <c r="L663" i="5"/>
  <c r="J49" i="5"/>
  <c r="L116" i="5"/>
  <c r="J992" i="5"/>
  <c r="K243" i="5"/>
  <c r="J264" i="5"/>
  <c r="K22" i="5"/>
  <c r="K994" i="5"/>
  <c r="K180" i="5"/>
  <c r="L698" i="5"/>
  <c r="K87" i="5"/>
  <c r="M407" i="5"/>
  <c r="N407" i="5" s="1"/>
  <c r="J190" i="5"/>
  <c r="L886" i="5"/>
  <c r="L790" i="5"/>
  <c r="L400" i="5"/>
  <c r="L36" i="5"/>
  <c r="L386" i="5"/>
  <c r="L613" i="5"/>
  <c r="L749" i="5"/>
  <c r="L674" i="5"/>
  <c r="K937" i="5"/>
  <c r="M275" i="5"/>
  <c r="N275" i="5" s="1"/>
  <c r="M538" i="5"/>
  <c r="N538" i="5" s="1"/>
  <c r="M979" i="5"/>
  <c r="N979" i="5" s="1"/>
  <c r="M486" i="5"/>
  <c r="N486" i="5" s="1"/>
  <c r="M231" i="5"/>
  <c r="N231" i="5" s="1"/>
  <c r="J390" i="5"/>
  <c r="L902" i="5"/>
  <c r="M664" i="5"/>
  <c r="N664" i="5" s="1"/>
  <c r="M280" i="5"/>
  <c r="N280" i="5" s="1"/>
  <c r="M803" i="5"/>
  <c r="N803" i="5" s="1"/>
  <c r="K363" i="5"/>
  <c r="J276" i="5"/>
  <c r="L949" i="5"/>
  <c r="K351" i="5"/>
  <c r="L582" i="5"/>
  <c r="K532" i="5"/>
  <c r="L836" i="5"/>
  <c r="L362" i="5"/>
  <c r="L742" i="5"/>
  <c r="K849" i="5"/>
  <c r="K357" i="5"/>
  <c r="M251" i="5"/>
  <c r="N251" i="5" s="1"/>
  <c r="M83" i="5"/>
  <c r="N83" i="5" s="1"/>
  <c r="J981" i="5"/>
  <c r="L585" i="5"/>
  <c r="L991" i="5"/>
  <c r="L768" i="5"/>
  <c r="K129" i="5"/>
  <c r="L559" i="5"/>
  <c r="K364" i="5"/>
  <c r="M109" i="5"/>
  <c r="N109" i="5" s="1"/>
  <c r="L375" i="5"/>
  <c r="L999" i="5"/>
  <c r="J912" i="5"/>
  <c r="P912" i="5" s="1"/>
  <c r="L983" i="5"/>
  <c r="M336" i="5"/>
  <c r="N336" i="5" s="1"/>
  <c r="K414" i="5"/>
  <c r="L617" i="5"/>
  <c r="M623" i="5"/>
  <c r="N623" i="5" s="1"/>
  <c r="M431" i="5"/>
  <c r="N431" i="5" s="1"/>
  <c r="L645" i="5"/>
  <c r="K156" i="5"/>
  <c r="J729" i="5"/>
  <c r="J258" i="5"/>
  <c r="M599" i="5"/>
  <c r="N599" i="5" s="1"/>
  <c r="J517" i="5"/>
  <c r="M111" i="5"/>
  <c r="N111" i="5" s="1"/>
  <c r="M575" i="5"/>
  <c r="N575" i="5" s="1"/>
  <c r="M482" i="5"/>
  <c r="N482" i="5" s="1"/>
  <c r="K499" i="5"/>
  <c r="K822" i="5"/>
  <c r="K939" i="5"/>
  <c r="K424" i="5"/>
  <c r="L519" i="5"/>
  <c r="J534" i="5"/>
  <c r="K475" i="5"/>
  <c r="L334" i="5"/>
  <c r="K383" i="5"/>
  <c r="L952" i="5"/>
  <c r="L346" i="5"/>
  <c r="K376" i="5"/>
  <c r="L166" i="5"/>
  <c r="K523" i="5"/>
  <c r="L727" i="5"/>
  <c r="K620" i="5"/>
  <c r="L738" i="5"/>
  <c r="L579" i="5"/>
  <c r="L295" i="5"/>
  <c r="L163" i="5"/>
  <c r="M78" i="5"/>
  <c r="N78" i="5" s="1"/>
  <c r="L480" i="5"/>
  <c r="J715" i="5"/>
  <c r="K556" i="5"/>
  <c r="J892" i="5"/>
  <c r="L593" i="5"/>
  <c r="L911" i="5"/>
  <c r="K105" i="5"/>
  <c r="L830" i="5"/>
  <c r="M43" i="5"/>
  <c r="N43" i="5" s="1"/>
  <c r="M977" i="5"/>
  <c r="N977" i="5" s="1"/>
  <c r="L862" i="5"/>
  <c r="L308" i="5"/>
  <c r="L261" i="5"/>
  <c r="L445" i="5"/>
  <c r="M829" i="5"/>
  <c r="N829" i="5" s="1"/>
  <c r="L650" i="5"/>
  <c r="L112" i="5"/>
  <c r="M56" i="5"/>
  <c r="N56" i="5" s="1"/>
  <c r="L172" i="5"/>
  <c r="L115" i="5"/>
  <c r="L344" i="5"/>
  <c r="M773" i="5"/>
  <c r="N773" i="5" s="1"/>
  <c r="M200" i="5"/>
  <c r="N200" i="5" s="1"/>
  <c r="J947" i="5"/>
  <c r="J843" i="5"/>
  <c r="P843" i="5" s="1"/>
  <c r="L633" i="5"/>
  <c r="M971" i="5"/>
  <c r="N971" i="5" s="1"/>
  <c r="L638" i="5"/>
  <c r="L794" i="5"/>
  <c r="L292" i="5"/>
  <c r="M867" i="5"/>
  <c r="N867" i="5" s="1"/>
  <c r="L24" i="5"/>
  <c r="M263" i="5"/>
  <c r="N263" i="5" s="1"/>
  <c r="J960" i="5"/>
  <c r="L764" i="5"/>
  <c r="L388" i="5"/>
  <c r="L435" i="5"/>
  <c r="K861" i="5"/>
  <c r="K325" i="5"/>
  <c r="K502" i="5"/>
  <c r="L422" i="5"/>
  <c r="M778" i="5"/>
  <c r="N778" i="5" s="1"/>
  <c r="M285" i="5"/>
  <c r="N285" i="5" s="1"/>
  <c r="M578" i="5"/>
  <c r="N578" i="5" s="1"/>
  <c r="L144" i="5"/>
  <c r="J463" i="5"/>
  <c r="K268" i="5"/>
  <c r="M636" i="5"/>
  <c r="N636" i="5" s="1"/>
  <c r="K719" i="5"/>
  <c r="M671" i="5"/>
  <c r="N671" i="5" s="1"/>
  <c r="M632" i="5"/>
  <c r="N632" i="5" s="1"/>
  <c r="L123" i="5"/>
  <c r="M918" i="5"/>
  <c r="N918" i="5" s="1"/>
  <c r="L272" i="5"/>
  <c r="M141" i="5"/>
  <c r="N141" i="5" s="1"/>
  <c r="L221" i="5"/>
  <c r="M802" i="5"/>
  <c r="N802" i="5" s="1"/>
  <c r="L222" i="5"/>
  <c r="K102" i="5"/>
  <c r="M612" i="5"/>
  <c r="N612" i="5" s="1"/>
  <c r="L751" i="5"/>
  <c r="L75" i="5"/>
  <c r="M132" i="5"/>
  <c r="N132" i="5" s="1"/>
  <c r="L460" i="5"/>
  <c r="K165" i="5"/>
  <c r="K516" i="5"/>
  <c r="L998" i="5"/>
  <c r="L299" i="5"/>
  <c r="K670" i="5"/>
  <c r="K369" i="5"/>
  <c r="K328" i="5"/>
  <c r="L685" i="5"/>
  <c r="L298" i="5"/>
  <c r="L883" i="5"/>
  <c r="M473" i="5"/>
  <c r="N473" i="5" s="1"/>
  <c r="L859" i="5"/>
  <c r="K79" i="5"/>
  <c r="J682" i="5"/>
  <c r="K433" i="5"/>
  <c r="J240" i="5"/>
  <c r="M611" i="5"/>
  <c r="N611" i="5" s="1"/>
  <c r="K393" i="5"/>
  <c r="M675" i="5"/>
  <c r="N675" i="5" s="1"/>
  <c r="L402" i="5"/>
  <c r="J552" i="5"/>
  <c r="M909" i="5"/>
  <c r="N909" i="5" s="1"/>
  <c r="M944" i="5"/>
  <c r="N944" i="5" s="1"/>
  <c r="J753" i="5"/>
  <c r="L293" i="5"/>
  <c r="M312" i="5"/>
  <c r="N312" i="5" s="1"/>
  <c r="L770" i="5"/>
  <c r="K846" i="5"/>
  <c r="J694" i="5"/>
  <c r="L217" i="5"/>
  <c r="J286" i="5"/>
  <c r="M777" i="5"/>
  <c r="N777" i="5" s="1"/>
  <c r="M541" i="5"/>
  <c r="N541" i="5" s="1"/>
  <c r="J741" i="5"/>
  <c r="J139" i="5"/>
  <c r="W139" i="5" s="1"/>
  <c r="L819" i="5"/>
  <c r="L133" i="5"/>
  <c r="L813" i="5"/>
  <c r="M321" i="5"/>
  <c r="N321" i="5" s="1"/>
  <c r="L630" i="5"/>
  <c r="M596" i="5"/>
  <c r="N596" i="5" s="1"/>
  <c r="K875" i="5"/>
  <c r="K539" i="5"/>
  <c r="L718" i="5"/>
  <c r="K652" i="5"/>
  <c r="L641" i="5"/>
  <c r="J341" i="5"/>
  <c r="M933" i="5"/>
  <c r="N933" i="5" s="1"/>
  <c r="M555" i="5"/>
  <c r="N555" i="5" s="1"/>
  <c r="K943" i="5"/>
  <c r="K302" i="5"/>
  <c r="K4" i="5"/>
  <c r="L189" i="5"/>
  <c r="M484" i="5"/>
  <c r="N484" i="5" s="1"/>
  <c r="M195" i="5"/>
  <c r="N195" i="5" s="1"/>
  <c r="L51" i="5"/>
  <c r="L591" i="5"/>
  <c r="K504" i="5"/>
  <c r="L373" i="5"/>
  <c r="L236" i="5"/>
  <c r="L259" i="5"/>
  <c r="J38" i="5"/>
  <c r="K705" i="5"/>
  <c r="L477" i="5"/>
  <c r="M453" i="5"/>
  <c r="N453" i="5" s="1"/>
  <c r="L204" i="5"/>
  <c r="M930" i="5"/>
  <c r="N930" i="5" s="1"/>
  <c r="M2" i="5"/>
  <c r="N2" i="5" s="1"/>
  <c r="M505" i="5"/>
  <c r="N505" i="5" s="1"/>
  <c r="L309" i="5"/>
  <c r="L225" i="5"/>
  <c r="M733" i="5"/>
  <c r="N733" i="5" s="1"/>
  <c r="K266" i="5"/>
  <c r="M181" i="5"/>
  <c r="N181" i="5" s="1"/>
  <c r="K415" i="5"/>
  <c r="L535" i="5"/>
  <c r="K726" i="5"/>
  <c r="L806" i="5"/>
  <c r="J347" i="5"/>
  <c r="L706" i="5"/>
  <c r="J655" i="5"/>
  <c r="W655" i="5" s="1"/>
  <c r="K673" i="5"/>
  <c r="L543" i="5"/>
  <c r="L350" i="5"/>
  <c r="L429" i="5"/>
  <c r="J229" i="5"/>
  <c r="L798" i="5"/>
  <c r="K769" i="5"/>
  <c r="M572" i="5"/>
  <c r="N572" i="5" s="1"/>
  <c r="L554" i="5"/>
  <c r="L69" i="5"/>
  <c r="L369" i="5"/>
  <c r="J871" i="5"/>
  <c r="L710" i="5"/>
  <c r="K817" i="5"/>
  <c r="L107" i="5"/>
  <c r="L693" i="5"/>
  <c r="L450" i="5"/>
  <c r="K168" i="5"/>
  <c r="M810" i="5"/>
  <c r="N810" i="5" s="1"/>
  <c r="K604" i="5"/>
  <c r="L963" i="5"/>
  <c r="K104" i="5"/>
  <c r="M118" i="5"/>
  <c r="N118" i="5" s="1"/>
  <c r="L173" i="5"/>
  <c r="M824" i="5"/>
  <c r="N824" i="5" s="1"/>
  <c r="K896" i="5"/>
  <c r="L938" i="5"/>
  <c r="L358" i="5"/>
  <c r="K545" i="5"/>
  <c r="M488" i="5"/>
  <c r="N488" i="5" s="1"/>
  <c r="M395" i="5"/>
  <c r="N395" i="5" s="1"/>
  <c r="M300" i="5"/>
  <c r="N300" i="5" s="1"/>
  <c r="K53" i="5"/>
  <c r="M62" i="5"/>
  <c r="N62" i="5" s="1"/>
  <c r="L374" i="5"/>
  <c r="M905" i="5"/>
  <c r="N905" i="5" s="1"/>
  <c r="L16" i="5"/>
  <c r="L957" i="5"/>
  <c r="J895" i="5"/>
  <c r="J420" i="5"/>
  <c r="M339" i="5"/>
  <c r="N339" i="5" s="1"/>
  <c r="J501" i="5"/>
  <c r="K748" i="5"/>
  <c r="J209" i="5"/>
  <c r="L125" i="5"/>
  <c r="K271" i="5"/>
  <c r="K661" i="5"/>
  <c r="K498" i="5"/>
  <c r="L709" i="5"/>
  <c r="M214" i="5"/>
  <c r="N214" i="5" s="1"/>
  <c r="J762" i="5"/>
  <c r="M842" i="5"/>
  <c r="N842" i="5" s="1"/>
  <c r="J605" i="5"/>
  <c r="M69" i="5"/>
  <c r="N69" i="5" s="1"/>
  <c r="M779" i="5"/>
  <c r="N779" i="5" s="1"/>
  <c r="M469" i="5"/>
  <c r="N469" i="5" s="1"/>
  <c r="L265" i="5"/>
  <c r="L571" i="5"/>
  <c r="L649" i="5"/>
  <c r="L928" i="5"/>
  <c r="J130" i="5"/>
  <c r="L530" i="5"/>
  <c r="M411" i="5"/>
  <c r="N411" i="5" s="1"/>
  <c r="M563" i="5"/>
  <c r="N563" i="5" s="1"/>
  <c r="M854" i="5"/>
  <c r="N854" i="5" s="1"/>
  <c r="L550" i="5"/>
  <c r="M206" i="5"/>
  <c r="N206" i="5" s="1"/>
  <c r="L514" i="5"/>
  <c r="L696" i="5"/>
  <c r="M692" i="5"/>
  <c r="N692" i="5" s="1"/>
  <c r="L55" i="5"/>
  <c r="M619" i="5"/>
  <c r="N619" i="5" s="1"/>
  <c r="M755" i="5"/>
  <c r="N755" i="5" s="1"/>
  <c r="J245" i="5"/>
  <c r="L511" i="5"/>
  <c r="K153" i="5"/>
  <c r="K15" i="5"/>
  <c r="M387" i="5"/>
  <c r="N387" i="5" s="1"/>
  <c r="L707" i="5"/>
  <c r="M737" i="5"/>
  <c r="N737" i="5" s="1"/>
  <c r="K157" i="5"/>
  <c r="J159" i="5"/>
  <c r="L740" i="5"/>
  <c r="J970" i="5"/>
  <c r="M869" i="5"/>
  <c r="N869" i="5" s="1"/>
  <c r="L490" i="5"/>
  <c r="M503" i="5"/>
  <c r="N503" i="5" s="1"/>
  <c r="L198" i="5"/>
  <c r="M509" i="5"/>
  <c r="N509" i="5" s="1"/>
  <c r="L242" i="5"/>
  <c r="L966" i="5"/>
  <c r="M368" i="5"/>
  <c r="N368" i="5" s="1"/>
  <c r="L442" i="5"/>
  <c r="L609" i="5"/>
  <c r="K223" i="5"/>
  <c r="M284" i="5"/>
  <c r="N284" i="5" s="1"/>
  <c r="L850" i="5"/>
  <c r="M449" i="5"/>
  <c r="N449" i="5" s="1"/>
  <c r="M500" i="5"/>
  <c r="N500" i="5" s="1"/>
  <c r="M458" i="5"/>
  <c r="N458" i="5" s="1"/>
  <c r="J984" i="5"/>
  <c r="L199" i="5"/>
  <c r="M574" i="5"/>
  <c r="N574" i="5" s="1"/>
  <c r="K72" i="5"/>
  <c r="M812" i="5"/>
  <c r="N812" i="5" s="1"/>
  <c r="K595" i="5"/>
  <c r="L177" i="5"/>
  <c r="L71" i="5"/>
  <c r="M526" i="5"/>
  <c r="N526" i="5" s="1"/>
  <c r="L150" i="5"/>
  <c r="M807" i="5"/>
  <c r="N807" i="5" s="1"/>
  <c r="K576" i="5"/>
  <c r="M471" i="5"/>
  <c r="N471" i="5" s="1"/>
  <c r="L531" i="5"/>
  <c r="M917" i="5"/>
  <c r="N917" i="5" s="1"/>
  <c r="K679" i="5"/>
  <c r="L342" i="5"/>
  <c r="M925" i="5"/>
  <c r="N925" i="5" s="1"/>
  <c r="L46" i="5"/>
  <c r="M989" i="5"/>
  <c r="N989" i="5" s="1"/>
  <c r="K394" i="5"/>
  <c r="K669" i="5"/>
  <c r="L760" i="5"/>
  <c r="K907" i="5"/>
  <c r="L791" i="5"/>
  <c r="L981" i="5"/>
  <c r="K265" i="5"/>
  <c r="L473" i="5"/>
  <c r="K151" i="5"/>
  <c r="K685" i="5"/>
  <c r="Q685" i="5" s="1"/>
  <c r="M151" i="5"/>
  <c r="N151" i="5" s="1"/>
  <c r="J526" i="5"/>
  <c r="K764" i="5"/>
  <c r="K843" i="5"/>
  <c r="L15" i="5"/>
  <c r="K263" i="5"/>
  <c r="J679" i="5"/>
  <c r="M633" i="5"/>
  <c r="N633" i="5" s="1"/>
  <c r="L854" i="5"/>
  <c r="K71" i="5"/>
  <c r="J850" i="5"/>
  <c r="K977" i="5"/>
  <c r="K850" i="5"/>
  <c r="K609" i="5"/>
  <c r="J344" i="5"/>
  <c r="L576" i="5"/>
  <c r="M595" i="5"/>
  <c r="N595" i="5" s="1"/>
  <c r="J177" i="5"/>
  <c r="K388" i="5"/>
  <c r="J802" i="5"/>
  <c r="L960" i="5"/>
  <c r="K245" i="5"/>
  <c r="M177" i="5"/>
  <c r="N177" i="5" s="1"/>
  <c r="L802" i="5"/>
  <c r="L245" i="5"/>
  <c r="K854" i="5"/>
  <c r="L263" i="5"/>
  <c r="L977" i="5"/>
  <c r="J509" i="5"/>
  <c r="K503" i="5"/>
  <c r="L526" i="5"/>
  <c r="K471" i="5"/>
  <c r="L503" i="5"/>
  <c r="L157" i="5"/>
  <c r="J471" i="5"/>
  <c r="J867" i="5"/>
  <c r="J530" i="5"/>
  <c r="K867" i="5"/>
  <c r="J563" i="5"/>
  <c r="L636" i="5"/>
  <c r="J388" i="5"/>
  <c r="P388" i="5" s="1"/>
  <c r="K563" i="5"/>
  <c r="L415" i="5"/>
  <c r="L266" i="5"/>
  <c r="K790" i="5"/>
  <c r="J641" i="5"/>
  <c r="W641" i="5" s="1"/>
  <c r="K777" i="5"/>
  <c r="J962" i="5"/>
  <c r="K682" i="5"/>
  <c r="L532" i="5"/>
  <c r="L351" i="5"/>
  <c r="L733" i="5"/>
  <c r="K225" i="5"/>
  <c r="L286" i="5"/>
  <c r="K530" i="5"/>
  <c r="L367" i="5"/>
  <c r="J532" i="5"/>
  <c r="J351" i="5"/>
  <c r="L276" i="5"/>
  <c r="L979" i="5"/>
  <c r="K477" i="5"/>
  <c r="K38" i="5"/>
  <c r="K396" i="5"/>
  <c r="M792" i="5"/>
  <c r="N792" i="5" s="1"/>
  <c r="J611" i="5"/>
  <c r="L190" i="5"/>
  <c r="M875" i="5"/>
  <c r="N875" i="5" s="1"/>
  <c r="J354" i="5"/>
  <c r="L803" i="5"/>
  <c r="J933" i="5"/>
  <c r="J280" i="5"/>
  <c r="M204" i="5"/>
  <c r="N204" i="5" s="1"/>
  <c r="J543" i="5"/>
  <c r="L726" i="5"/>
  <c r="J664" i="5"/>
  <c r="L695" i="5"/>
  <c r="L347" i="5"/>
  <c r="J726" i="5"/>
  <c r="L664" i="5"/>
  <c r="M902" i="5"/>
  <c r="N902" i="5" s="1"/>
  <c r="L2" i="5"/>
  <c r="K674" i="5"/>
  <c r="M116" i="5"/>
  <c r="N116" i="5" s="1"/>
  <c r="J951" i="5"/>
  <c r="K655" i="5"/>
  <c r="K347" i="5"/>
  <c r="K635" i="5"/>
  <c r="K675" i="5"/>
  <c r="J571" i="5"/>
  <c r="J221" i="5"/>
  <c r="L325" i="5"/>
  <c r="M843" i="5"/>
  <c r="N843" i="5" s="1"/>
  <c r="J773" i="5"/>
  <c r="L843" i="5"/>
  <c r="M15" i="5"/>
  <c r="N15" i="5" s="1"/>
  <c r="L72" i="5"/>
  <c r="K221" i="5"/>
  <c r="J123" i="5"/>
  <c r="L992" i="5"/>
  <c r="J200" i="5"/>
  <c r="K773" i="5"/>
  <c r="M650" i="5"/>
  <c r="N650" i="5" s="1"/>
  <c r="L937" i="5"/>
  <c r="J222" i="5"/>
  <c r="P222" i="5" s="1"/>
  <c r="J531" i="5"/>
  <c r="J150" i="5"/>
  <c r="K123" i="5"/>
  <c r="L632" i="5"/>
  <c r="K368" i="5"/>
  <c r="J292" i="5"/>
  <c r="K200" i="5"/>
  <c r="L773" i="5"/>
  <c r="J148" i="5"/>
  <c r="L612" i="5"/>
  <c r="K222" i="5"/>
  <c r="K531" i="5"/>
  <c r="K150" i="5"/>
  <c r="K632" i="5"/>
  <c r="L719" i="5"/>
  <c r="L368" i="5"/>
  <c r="K292" i="5"/>
  <c r="J737" i="5"/>
  <c r="J707" i="5"/>
  <c r="L200" i="5"/>
  <c r="J511" i="5"/>
  <c r="K737" i="5"/>
  <c r="K707" i="5"/>
  <c r="K511" i="5"/>
  <c r="K284" i="5"/>
  <c r="J272" i="5"/>
  <c r="P272" i="5" s="1"/>
  <c r="M719" i="5"/>
  <c r="N719" i="5" s="1"/>
  <c r="L285" i="5"/>
  <c r="L284" i="5"/>
  <c r="K435" i="5"/>
  <c r="L737" i="5"/>
  <c r="L274" i="5"/>
  <c r="L458" i="5"/>
  <c r="L500" i="5"/>
  <c r="M71" i="5"/>
  <c r="N71" i="5" s="1"/>
  <c r="K272" i="5"/>
  <c r="L268" i="5"/>
  <c r="K591" i="5"/>
  <c r="K242" i="5"/>
  <c r="J633" i="5"/>
  <c r="J576" i="5"/>
  <c r="L595" i="5"/>
  <c r="L578" i="5"/>
  <c r="L778" i="5"/>
  <c r="L449" i="5"/>
  <c r="M422" i="5"/>
  <c r="N422" i="5" s="1"/>
  <c r="K633" i="5"/>
  <c r="J15" i="5"/>
  <c r="K10" i="5"/>
  <c r="M622" i="5"/>
  <c r="N622" i="5" s="1"/>
  <c r="L746" i="5"/>
  <c r="M698" i="5"/>
  <c r="N698" i="5" s="1"/>
  <c r="K139" i="5"/>
  <c r="J350" i="5"/>
  <c r="J86" i="5"/>
  <c r="L139" i="5"/>
  <c r="K209" i="5"/>
  <c r="K264" i="5"/>
  <c r="L302" i="5"/>
  <c r="L264" i="5"/>
  <c r="M302" i="5"/>
  <c r="N302" i="5" s="1"/>
  <c r="M753" i="5"/>
  <c r="N753" i="5" s="1"/>
  <c r="L994" i="5"/>
  <c r="L357" i="5"/>
  <c r="L539" i="5"/>
  <c r="K706" i="5"/>
  <c r="M994" i="5"/>
  <c r="N994" i="5" s="1"/>
  <c r="J541" i="5"/>
  <c r="J357" i="5"/>
  <c r="M189" i="5"/>
  <c r="N189" i="5" s="1"/>
  <c r="K541" i="5"/>
  <c r="K62" i="5"/>
  <c r="K727" i="5"/>
  <c r="L420" i="5"/>
  <c r="K295" i="5"/>
  <c r="L424" i="5"/>
  <c r="M129" i="5"/>
  <c r="N129" i="5" s="1"/>
  <c r="K905" i="5"/>
  <c r="J559" i="5"/>
  <c r="K334" i="5"/>
  <c r="M168" i="5"/>
  <c r="N168" i="5" s="1"/>
  <c r="J824" i="5"/>
  <c r="J983" i="5"/>
  <c r="K762" i="5"/>
  <c r="K339" i="5"/>
  <c r="M383" i="5"/>
  <c r="N383" i="5" s="1"/>
  <c r="L534" i="5"/>
  <c r="L363" i="5"/>
  <c r="J486" i="5"/>
  <c r="J930" i="5"/>
  <c r="J453" i="5"/>
  <c r="M264" i="5"/>
  <c r="N264" i="5" s="1"/>
  <c r="L49" i="5"/>
  <c r="K86" i="5"/>
  <c r="M100" i="5"/>
  <c r="N100" i="5" s="1"/>
  <c r="M139" i="5"/>
  <c r="N139" i="5" s="1"/>
  <c r="L541" i="5"/>
  <c r="K568" i="5"/>
  <c r="K244" i="5"/>
  <c r="L120" i="5"/>
  <c r="J836" i="5"/>
  <c r="J363" i="5"/>
  <c r="K486" i="5"/>
  <c r="K930" i="5"/>
  <c r="J538" i="5"/>
  <c r="K453" i="5"/>
  <c r="K259" i="5"/>
  <c r="K386" i="5"/>
  <c r="J100" i="5"/>
  <c r="L568" i="5"/>
  <c r="L211" i="5"/>
  <c r="J862" i="5"/>
  <c r="L244" i="5"/>
  <c r="K940" i="5"/>
  <c r="J120" i="5"/>
  <c r="J270" i="5"/>
  <c r="M10" i="5"/>
  <c r="N10" i="5" s="1"/>
  <c r="K836" i="5"/>
  <c r="J535" i="5"/>
  <c r="W535" i="5" s="1"/>
  <c r="J505" i="5"/>
  <c r="L486" i="5"/>
  <c r="L930" i="5"/>
  <c r="K538" i="5"/>
  <c r="L453" i="5"/>
  <c r="J386" i="5"/>
  <c r="K886" i="5"/>
  <c r="K100" i="5"/>
  <c r="M468" i="5"/>
  <c r="N468" i="5" s="1"/>
  <c r="J115" i="5"/>
  <c r="J211" i="5"/>
  <c r="K862" i="5"/>
  <c r="J940" i="5"/>
  <c r="L270" i="5"/>
  <c r="M673" i="5"/>
  <c r="N673" i="5" s="1"/>
  <c r="J244" i="5"/>
  <c r="K949" i="5"/>
  <c r="K535" i="5"/>
  <c r="K505" i="5"/>
  <c r="L538" i="5"/>
  <c r="K373" i="5"/>
  <c r="M133" i="5"/>
  <c r="N133" i="5" s="1"/>
  <c r="J468" i="5"/>
  <c r="K115" i="5"/>
  <c r="J297" i="5"/>
  <c r="J736" i="5"/>
  <c r="L607" i="5"/>
  <c r="K469" i="5"/>
  <c r="J452" i="5"/>
  <c r="L505" i="5"/>
  <c r="K749" i="5"/>
  <c r="J373" i="5"/>
  <c r="J195" i="5"/>
  <c r="J407" i="5"/>
  <c r="J484" i="5"/>
  <c r="L555" i="5"/>
  <c r="K321" i="5"/>
  <c r="J133" i="5"/>
  <c r="J823" i="5"/>
  <c r="J56" i="5"/>
  <c r="K297" i="5"/>
  <c r="J217" i="5"/>
  <c r="K736" i="5"/>
  <c r="J829" i="5"/>
  <c r="P829" i="5" s="1"/>
  <c r="J550" i="5"/>
  <c r="J607" i="5"/>
  <c r="L119" i="5"/>
  <c r="L452" i="5"/>
  <c r="K195" i="5"/>
  <c r="K407" i="5"/>
  <c r="K484" i="5"/>
  <c r="J555" i="5"/>
  <c r="L341" i="5"/>
  <c r="L652" i="5"/>
  <c r="K133" i="5"/>
  <c r="K823" i="5"/>
  <c r="K56" i="5"/>
  <c r="K217" i="5"/>
  <c r="K829" i="5"/>
  <c r="J312" i="5"/>
  <c r="K550" i="5"/>
  <c r="L704" i="5"/>
  <c r="J673" i="5"/>
  <c r="K806" i="5"/>
  <c r="K390" i="5"/>
  <c r="L195" i="5"/>
  <c r="L407" i="5"/>
  <c r="L484" i="5"/>
  <c r="K555" i="5"/>
  <c r="J596" i="5"/>
  <c r="J158" i="5"/>
  <c r="L823" i="5"/>
  <c r="J755" i="5"/>
  <c r="L56" i="5"/>
  <c r="J619" i="5"/>
  <c r="L692" i="5"/>
  <c r="L829" i="5"/>
  <c r="L393" i="5"/>
  <c r="L79" i="5"/>
  <c r="L392" i="5"/>
  <c r="K582" i="5"/>
  <c r="J181" i="5"/>
  <c r="L390" i="5"/>
  <c r="J698" i="5"/>
  <c r="J189" i="5"/>
  <c r="K596" i="5"/>
  <c r="K158" i="5"/>
  <c r="K755" i="5"/>
  <c r="K619" i="5"/>
  <c r="J650" i="5"/>
  <c r="J692" i="5"/>
  <c r="J261" i="5"/>
  <c r="L772" i="5"/>
  <c r="J393" i="5"/>
  <c r="J79" i="5"/>
  <c r="K883" i="5"/>
  <c r="M390" i="5"/>
  <c r="N390" i="5" s="1"/>
  <c r="K400" i="5"/>
  <c r="K698" i="5"/>
  <c r="K189" i="5"/>
  <c r="J994" i="5"/>
  <c r="J302" i="5"/>
  <c r="J539" i="5"/>
  <c r="L596" i="5"/>
  <c r="L158" i="5"/>
  <c r="L755" i="5"/>
  <c r="L619" i="5"/>
  <c r="K650" i="5"/>
  <c r="K692" i="5"/>
  <c r="K261" i="5"/>
  <c r="J772" i="5"/>
  <c r="J274" i="5"/>
  <c r="L148" i="5"/>
  <c r="K274" i="5"/>
  <c r="K746" i="5"/>
  <c r="J10" i="5"/>
  <c r="L622" i="5"/>
  <c r="L762" i="5"/>
  <c r="L209" i="5"/>
  <c r="L339" i="5"/>
  <c r="K983" i="5"/>
  <c r="K480" i="5"/>
  <c r="K163" i="5"/>
  <c r="K46" i="5"/>
  <c r="M163" i="5"/>
  <c r="N163" i="5" s="1"/>
  <c r="J295" i="5"/>
  <c r="K709" i="5"/>
  <c r="K802" i="5"/>
  <c r="K526" i="5"/>
  <c r="L748" i="5"/>
  <c r="L383" i="5"/>
  <c r="J339" i="5"/>
  <c r="J334" i="5"/>
  <c r="K420" i="5"/>
  <c r="J424" i="5"/>
  <c r="K960" i="5"/>
  <c r="J263" i="5"/>
  <c r="J503" i="5"/>
  <c r="M358" i="5"/>
  <c r="N358" i="5" s="1"/>
  <c r="K824" i="5"/>
  <c r="L168" i="5"/>
  <c r="M308" i="5"/>
  <c r="N308" i="5" s="1"/>
  <c r="J854" i="5"/>
  <c r="J977" i="5"/>
  <c r="L105" i="5"/>
  <c r="L824" i="5"/>
  <c r="M295" i="5"/>
  <c r="N295" i="5" s="1"/>
  <c r="J214" i="5"/>
  <c r="L471" i="5"/>
  <c r="K141" i="5"/>
  <c r="J166" i="5"/>
  <c r="P166" i="5" s="1"/>
  <c r="J125" i="5"/>
  <c r="L671" i="5"/>
  <c r="J636" i="5"/>
  <c r="J475" i="5"/>
  <c r="K16" i="5"/>
  <c r="K482" i="5"/>
  <c r="K509" i="5"/>
  <c r="L867" i="5"/>
  <c r="J938" i="5"/>
  <c r="K344" i="5"/>
  <c r="J118" i="5"/>
  <c r="L563" i="5"/>
  <c r="J830" i="5"/>
  <c r="K571" i="5"/>
  <c r="J991" i="5"/>
  <c r="K214" i="5"/>
  <c r="J141" i="5"/>
  <c r="P141" i="5" s="1"/>
  <c r="L271" i="5"/>
  <c r="K166" i="5"/>
  <c r="K125" i="5"/>
  <c r="J671" i="5"/>
  <c r="L475" i="5"/>
  <c r="M499" i="5"/>
  <c r="N499" i="5" s="1"/>
  <c r="L509" i="5"/>
  <c r="J575" i="5"/>
  <c r="P575" i="5" s="1"/>
  <c r="J488" i="5"/>
  <c r="J869" i="5"/>
  <c r="K938" i="5"/>
  <c r="K431" i="5"/>
  <c r="K118" i="5"/>
  <c r="J617" i="5"/>
  <c r="J450" i="5"/>
  <c r="J999" i="5"/>
  <c r="J43" i="5"/>
  <c r="P43" i="5" s="1"/>
  <c r="K830" i="5"/>
  <c r="L214" i="5"/>
  <c r="L498" i="5"/>
  <c r="L141" i="5"/>
  <c r="J952" i="5"/>
  <c r="L502" i="5"/>
  <c r="L861" i="5"/>
  <c r="K575" i="5"/>
  <c r="K488" i="5"/>
  <c r="J111" i="5"/>
  <c r="K869" i="5"/>
  <c r="M938" i="5"/>
  <c r="N938" i="5" s="1"/>
  <c r="J431" i="5"/>
  <c r="J623" i="5"/>
  <c r="L118" i="5"/>
  <c r="K617" i="5"/>
  <c r="K450" i="5"/>
  <c r="K999" i="5"/>
  <c r="J693" i="5"/>
  <c r="K43" i="5"/>
  <c r="J928" i="5"/>
  <c r="M15" i="3"/>
  <c r="J78" i="5"/>
  <c r="K807" i="5"/>
  <c r="J346" i="5"/>
  <c r="K952" i="5"/>
  <c r="K957" i="5"/>
  <c r="J502" i="5"/>
  <c r="J861" i="5"/>
  <c r="J966" i="5"/>
  <c r="J395" i="5"/>
  <c r="L575" i="5"/>
  <c r="L488" i="5"/>
  <c r="K111" i="5"/>
  <c r="L869" i="5"/>
  <c r="J794" i="5"/>
  <c r="J740" i="5"/>
  <c r="L971" i="5"/>
  <c r="L156" i="5"/>
  <c r="L431" i="5"/>
  <c r="L153" i="5"/>
  <c r="K623" i="5"/>
  <c r="J206" i="5"/>
  <c r="K693" i="5"/>
  <c r="L43" i="5"/>
  <c r="L109" i="5"/>
  <c r="K928" i="5"/>
  <c r="L469" i="5"/>
  <c r="L605" i="5"/>
  <c r="K78" i="5"/>
  <c r="J842" i="5"/>
  <c r="K917" i="5"/>
  <c r="L620" i="5"/>
  <c r="J807" i="5"/>
  <c r="K346" i="5"/>
  <c r="L574" i="5"/>
  <c r="L895" i="5"/>
  <c r="J957" i="5"/>
  <c r="W957" i="5" s="1"/>
  <c r="K966" i="5"/>
  <c r="K395" i="5"/>
  <c r="L111" i="5"/>
  <c r="K794" i="5"/>
  <c r="K740" i="5"/>
  <c r="J156" i="5"/>
  <c r="P156" i="5" s="1"/>
  <c r="K645" i="5"/>
  <c r="K696" i="5"/>
  <c r="K445" i="5"/>
  <c r="K206" i="5"/>
  <c r="L78" i="5"/>
  <c r="K842" i="5"/>
  <c r="J579" i="5"/>
  <c r="J917" i="5"/>
  <c r="L807" i="5"/>
  <c r="K918" i="5"/>
  <c r="J574" i="5"/>
  <c r="M939" i="5"/>
  <c r="N939" i="5" s="1"/>
  <c r="M822" i="5"/>
  <c r="N822" i="5" s="1"/>
  <c r="L395" i="5"/>
  <c r="J545" i="5"/>
  <c r="L258" i="5"/>
  <c r="J173" i="5"/>
  <c r="P173" i="5" s="1"/>
  <c r="L206" i="5"/>
  <c r="J375" i="5"/>
  <c r="J411" i="5"/>
  <c r="J394" i="5"/>
  <c r="L842" i="5"/>
  <c r="J163" i="5"/>
  <c r="L917" i="5"/>
  <c r="J918" i="5"/>
  <c r="L812" i="5"/>
  <c r="L463" i="5"/>
  <c r="L223" i="5"/>
  <c r="J442" i="5"/>
  <c r="M53" i="5"/>
  <c r="N53" i="5" s="1"/>
  <c r="J599" i="5"/>
  <c r="J358" i="5"/>
  <c r="L896" i="5"/>
  <c r="K173" i="5"/>
  <c r="L336" i="5"/>
  <c r="J308" i="5"/>
  <c r="K375" i="5"/>
  <c r="K411" i="5"/>
  <c r="J911" i="5"/>
  <c r="L661" i="5"/>
  <c r="L918" i="5"/>
  <c r="J812" i="5"/>
  <c r="J223" i="5"/>
  <c r="K442" i="5"/>
  <c r="L599" i="5"/>
  <c r="K358" i="5"/>
  <c r="J896" i="5"/>
  <c r="J168" i="5"/>
  <c r="K308" i="5"/>
  <c r="L411" i="5"/>
  <c r="J105" i="5"/>
  <c r="K911" i="5"/>
  <c r="J748" i="5"/>
  <c r="M452" i="5"/>
  <c r="N452" i="5" s="1"/>
  <c r="L416" i="5"/>
  <c r="M266" i="5"/>
  <c r="N266" i="5" s="1"/>
  <c r="K664" i="5"/>
  <c r="K979" i="5"/>
  <c r="L38" i="5"/>
  <c r="J613" i="5"/>
  <c r="J51" i="5"/>
  <c r="K933" i="5"/>
  <c r="K813" i="5"/>
  <c r="L777" i="5"/>
  <c r="L694" i="5"/>
  <c r="K354" i="5"/>
  <c r="M682" i="5"/>
  <c r="N682" i="5" s="1"/>
  <c r="J298" i="5"/>
  <c r="K613" i="5"/>
  <c r="J36" i="5"/>
  <c r="K51" i="5"/>
  <c r="L933" i="5"/>
  <c r="K298" i="5"/>
  <c r="K803" i="5"/>
  <c r="K280" i="5"/>
  <c r="K36" i="5"/>
  <c r="J116" i="5"/>
  <c r="J718" i="5"/>
  <c r="W718" i="5" s="1"/>
  <c r="J479" i="5"/>
  <c r="J819" i="5"/>
  <c r="W819" i="5" s="1"/>
  <c r="J770" i="5"/>
  <c r="J792" i="5"/>
  <c r="L552" i="5"/>
  <c r="L280" i="5"/>
  <c r="K190" i="5"/>
  <c r="K116" i="5"/>
  <c r="K718" i="5"/>
  <c r="K819" i="5"/>
  <c r="K770" i="5"/>
  <c r="L635" i="5"/>
  <c r="K792" i="5"/>
  <c r="J908" i="5"/>
  <c r="J225" i="5"/>
  <c r="J790" i="5"/>
  <c r="J635" i="5"/>
  <c r="J675" i="5"/>
  <c r="K908" i="5"/>
  <c r="K367" i="5"/>
  <c r="J733" i="5"/>
  <c r="K236" i="5"/>
  <c r="K641" i="5"/>
  <c r="J875" i="5"/>
  <c r="J695" i="5"/>
  <c r="M11" i="5"/>
  <c r="N11" i="5" s="1"/>
  <c r="L784" i="5"/>
  <c r="K944" i="5"/>
  <c r="L675" i="5"/>
  <c r="K962" i="5"/>
  <c r="K611" i="5"/>
  <c r="K951" i="5"/>
  <c r="J859" i="5"/>
  <c r="K733" i="5"/>
  <c r="J674" i="5"/>
  <c r="J598" i="5"/>
  <c r="J11" i="5"/>
  <c r="J944" i="5"/>
  <c r="L962" i="5"/>
  <c r="L611" i="5"/>
  <c r="L951" i="5"/>
  <c r="L944" i="5"/>
  <c r="M662" i="5"/>
  <c r="N662" i="5" s="1"/>
  <c r="J266" i="5"/>
  <c r="J504" i="5"/>
  <c r="L598" i="5"/>
  <c r="K293" i="5"/>
  <c r="K598" i="5"/>
  <c r="J554" i="5"/>
  <c r="J585" i="5"/>
  <c r="K554" i="5"/>
  <c r="L41" i="5"/>
  <c r="K585" i="5"/>
  <c r="J83" i="5"/>
  <c r="J572" i="5"/>
  <c r="K83" i="5"/>
  <c r="K572" i="5"/>
  <c r="J251" i="5"/>
  <c r="L83" i="5"/>
  <c r="L572" i="5"/>
  <c r="K251" i="5"/>
  <c r="L251" i="5"/>
  <c r="J798" i="5"/>
  <c r="K798" i="5"/>
  <c r="L10" i="5"/>
  <c r="K473" i="5"/>
  <c r="L440" i="5"/>
  <c r="J622" i="5"/>
  <c r="J910" i="5"/>
  <c r="L162" i="5"/>
  <c r="L129" i="5"/>
  <c r="L910" i="5"/>
  <c r="L946" i="5"/>
  <c r="K220" i="5"/>
  <c r="M434" i="5"/>
  <c r="N434" i="5" s="1"/>
  <c r="M495" i="5"/>
  <c r="N495" i="5" s="1"/>
  <c r="J710" i="5"/>
  <c r="K210" i="5"/>
  <c r="L964" i="5"/>
  <c r="J119" i="5"/>
  <c r="L682" i="5"/>
  <c r="L434" i="5"/>
  <c r="J583" i="5"/>
  <c r="K859" i="5"/>
  <c r="L151" i="5"/>
  <c r="M210" i="5"/>
  <c r="N210" i="5" s="1"/>
  <c r="K452" i="5"/>
  <c r="J69" i="5"/>
  <c r="L136" i="5"/>
  <c r="K90" i="5"/>
  <c r="J768" i="5"/>
  <c r="J364" i="5"/>
  <c r="L996" i="5"/>
  <c r="L121" i="5"/>
  <c r="L423" i="5"/>
  <c r="J604" i="5"/>
  <c r="K963" i="5"/>
  <c r="J104" i="5"/>
  <c r="L294" i="5"/>
  <c r="L852" i="5"/>
  <c r="J287" i="5"/>
  <c r="K729" i="5"/>
  <c r="J877" i="5"/>
  <c r="P877" i="5" s="1"/>
  <c r="L517" i="5"/>
  <c r="L637" i="5"/>
  <c r="L208" i="5"/>
  <c r="L255" i="5"/>
  <c r="L528" i="5"/>
  <c r="J881" i="5"/>
  <c r="J519" i="5"/>
  <c r="J969" i="5"/>
  <c r="J238" i="5"/>
  <c r="J88" i="5"/>
  <c r="J167" i="5"/>
  <c r="J472" i="5"/>
  <c r="L980" i="5"/>
  <c r="L721" i="5"/>
  <c r="L756" i="5"/>
  <c r="L602" i="5"/>
  <c r="L797" i="5"/>
  <c r="L376" i="5"/>
  <c r="L906" i="5"/>
  <c r="L523" i="5"/>
  <c r="L853" i="5"/>
  <c r="L800" i="5"/>
  <c r="L654" i="5"/>
  <c r="L897" i="5"/>
  <c r="L801" i="5"/>
  <c r="J277" i="5"/>
  <c r="J196" i="5"/>
  <c r="J340" i="5"/>
  <c r="P340" i="5" s="1"/>
  <c r="J301" i="5"/>
  <c r="J81" i="5"/>
  <c r="L573" i="5"/>
  <c r="L882" i="5"/>
  <c r="K412" i="5"/>
  <c r="T775" i="5"/>
  <c r="U775" i="5" s="1"/>
  <c r="M5" i="5"/>
  <c r="N5" i="5" s="1"/>
  <c r="M796" i="5"/>
  <c r="N796" i="5" s="1"/>
  <c r="M42" i="5"/>
  <c r="N42" i="5" s="1"/>
  <c r="M621" i="5"/>
  <c r="N621" i="5" s="1"/>
  <c r="M818" i="5"/>
  <c r="N818" i="5" s="1"/>
  <c r="M518" i="5"/>
  <c r="N518" i="5" s="1"/>
  <c r="M57" i="5"/>
  <c r="N57" i="5" s="1"/>
  <c r="M860" i="5"/>
  <c r="N860" i="5" s="1"/>
  <c r="M634" i="5"/>
  <c r="N634" i="5" s="1"/>
  <c r="M724" i="5"/>
  <c r="N724" i="5" s="1"/>
  <c r="M766" i="5"/>
  <c r="N766" i="5" s="1"/>
  <c r="M296" i="5"/>
  <c r="N296" i="5" s="1"/>
  <c r="M614" i="5"/>
  <c r="N614" i="5" s="1"/>
  <c r="M835" i="5"/>
  <c r="N835" i="5" s="1"/>
  <c r="M734" i="5"/>
  <c r="N734" i="5" s="1"/>
  <c r="M916" i="5"/>
  <c r="N916" i="5" s="1"/>
  <c r="M676" i="5"/>
  <c r="N676" i="5" s="1"/>
  <c r="M713" i="5"/>
  <c r="N713" i="5" s="1"/>
  <c r="M374" i="5"/>
  <c r="N374" i="5" s="1"/>
  <c r="M37" i="5"/>
  <c r="N37" i="5" s="1"/>
  <c r="M757" i="5"/>
  <c r="N757" i="5" s="1"/>
  <c r="M922" i="5"/>
  <c r="N922" i="5" s="1"/>
  <c r="M501" i="5"/>
  <c r="N501" i="5" s="1"/>
  <c r="M758" i="5"/>
  <c r="N758" i="5" s="1"/>
  <c r="M213" i="5"/>
  <c r="N213" i="5" s="1"/>
  <c r="J412" i="5"/>
  <c r="L81" i="5"/>
  <c r="L904" i="5"/>
  <c r="J523" i="5"/>
  <c r="J376" i="5"/>
  <c r="K501" i="5"/>
  <c r="L37" i="5"/>
  <c r="J374" i="5"/>
  <c r="L676" i="5"/>
  <c r="K517" i="5"/>
  <c r="K734" i="5"/>
  <c r="L729" i="5"/>
  <c r="K481" i="5"/>
  <c r="L104" i="5"/>
  <c r="M963" i="5"/>
  <c r="N963" i="5" s="1"/>
  <c r="L604" i="5"/>
  <c r="J423" i="5"/>
  <c r="K912" i="5"/>
  <c r="L364" i="5"/>
  <c r="J621" i="5"/>
  <c r="M768" i="5"/>
  <c r="N768" i="5" s="1"/>
  <c r="K882" i="5"/>
  <c r="L196" i="5"/>
  <c r="M801" i="5"/>
  <c r="N801" i="5" s="1"/>
  <c r="K756" i="5"/>
  <c r="L501" i="5"/>
  <c r="L969" i="5"/>
  <c r="J37" i="5"/>
  <c r="J676" i="5"/>
  <c r="K528" i="5"/>
  <c r="J208" i="5"/>
  <c r="P208" i="5" s="1"/>
  <c r="L877" i="5"/>
  <c r="J734" i="5"/>
  <c r="M729" i="5"/>
  <c r="N729" i="5" s="1"/>
  <c r="L481" i="5"/>
  <c r="J724" i="5"/>
  <c r="P724" i="5" s="1"/>
  <c r="M604" i="5"/>
  <c r="N604" i="5" s="1"/>
  <c r="K423" i="5"/>
  <c r="L912" i="5"/>
  <c r="M364" i="5"/>
  <c r="N364" i="5" s="1"/>
  <c r="K621" i="5"/>
  <c r="L90" i="5"/>
  <c r="L95" i="5"/>
  <c r="J882" i="5"/>
  <c r="K801" i="5"/>
  <c r="J528" i="5"/>
  <c r="K208" i="5"/>
  <c r="L734" i="5"/>
  <c r="M481" i="5"/>
  <c r="N481" i="5" s="1"/>
  <c r="K724" i="5"/>
  <c r="J57" i="5"/>
  <c r="L621" i="5"/>
  <c r="K296" i="5"/>
  <c r="L724" i="5"/>
  <c r="J996" i="5"/>
  <c r="K57" i="5"/>
  <c r="K573" i="5"/>
  <c r="J654" i="5"/>
  <c r="J980" i="5"/>
  <c r="L238" i="5"/>
  <c r="L183" i="5"/>
  <c r="L296" i="5"/>
  <c r="J634" i="5"/>
  <c r="K996" i="5"/>
  <c r="L57" i="5"/>
  <c r="J880" i="5"/>
  <c r="L301" i="5"/>
  <c r="K654" i="5"/>
  <c r="K602" i="5"/>
  <c r="L757" i="5"/>
  <c r="J183" i="5"/>
  <c r="K634" i="5"/>
  <c r="J860" i="5"/>
  <c r="J518" i="5"/>
  <c r="K880" i="5"/>
  <c r="L890" i="5"/>
  <c r="K906" i="5"/>
  <c r="J757" i="5"/>
  <c r="W757" i="5" s="1"/>
  <c r="M183" i="5"/>
  <c r="N183" i="5" s="1"/>
  <c r="L916" i="5"/>
  <c r="K835" i="5"/>
  <c r="L634" i="5"/>
  <c r="K860" i="5"/>
  <c r="K518" i="5"/>
  <c r="L880" i="5"/>
  <c r="J818" i="5"/>
  <c r="J897" i="5"/>
  <c r="J906" i="5"/>
  <c r="K797" i="5"/>
  <c r="L713" i="5"/>
  <c r="J255" i="5"/>
  <c r="P255" i="5" s="1"/>
  <c r="J637" i="5"/>
  <c r="J916" i="5"/>
  <c r="J835" i="5"/>
  <c r="L860" i="5"/>
  <c r="J121" i="5"/>
  <c r="L518" i="5"/>
  <c r="M880" i="5"/>
  <c r="N880" i="5" s="1"/>
  <c r="K818" i="5"/>
  <c r="L213" i="5"/>
  <c r="K897" i="5"/>
  <c r="J797" i="5"/>
  <c r="L922" i="5"/>
  <c r="J713" i="5"/>
  <c r="K255" i="5"/>
  <c r="K637" i="5"/>
  <c r="K916" i="5"/>
  <c r="L835" i="5"/>
  <c r="K766" i="5"/>
  <c r="K121" i="5"/>
  <c r="L818" i="5"/>
  <c r="L412" i="5"/>
  <c r="L340" i="5"/>
  <c r="L277" i="5"/>
  <c r="K721" i="5"/>
  <c r="L881" i="5"/>
  <c r="J922" i="5"/>
  <c r="L300" i="5"/>
  <c r="L766" i="5"/>
  <c r="J963" i="5"/>
  <c r="K768" i="5"/>
  <c r="J300" i="5"/>
  <c r="K628" i="5"/>
  <c r="K657" i="5"/>
  <c r="J213" i="5"/>
  <c r="K742" i="5"/>
  <c r="J885" i="5"/>
  <c r="J923" i="5"/>
  <c r="L335" i="5"/>
  <c r="L655" i="5"/>
  <c r="J742" i="5"/>
  <c r="J179" i="5"/>
  <c r="J913" i="5"/>
  <c r="P913" i="5" s="1"/>
  <c r="K213" i="5"/>
  <c r="L923" i="5"/>
  <c r="M762" i="5"/>
  <c r="N762" i="5" s="1"/>
  <c r="L556" i="5"/>
  <c r="K715" i="5"/>
  <c r="L516" i="5"/>
  <c r="M882" i="5"/>
  <c r="N882" i="5" s="1"/>
  <c r="L715" i="5"/>
  <c r="M165" i="5"/>
  <c r="N165" i="5" s="1"/>
  <c r="K154" i="5"/>
  <c r="L394" i="5"/>
  <c r="K350" i="5"/>
  <c r="J480" i="5"/>
  <c r="M154" i="5"/>
  <c r="N154" i="5" s="1"/>
  <c r="M958" i="5"/>
  <c r="N958" i="5" s="1"/>
  <c r="K942" i="5"/>
  <c r="J1001" i="5"/>
  <c r="J429" i="5"/>
  <c r="L1001" i="5"/>
  <c r="M791" i="5"/>
  <c r="N791" i="5" s="1"/>
  <c r="K1001" i="5"/>
  <c r="K795" i="5"/>
  <c r="L795" i="5"/>
  <c r="M299" i="5"/>
  <c r="N299" i="5" s="1"/>
  <c r="J103" i="5"/>
  <c r="K868" i="5"/>
  <c r="L849" i="5"/>
  <c r="J849" i="5"/>
  <c r="L716" i="5"/>
  <c r="M907" i="5"/>
  <c r="N907" i="5" s="1"/>
  <c r="K362" i="5"/>
  <c r="K417" i="5"/>
  <c r="J657" i="5"/>
  <c r="M476" i="5"/>
  <c r="N476" i="5" s="1"/>
  <c r="K998" i="5"/>
  <c r="M362" i="5"/>
  <c r="N362" i="5" s="1"/>
  <c r="L670" i="5"/>
  <c r="M412" i="5"/>
  <c r="N412" i="5" s="1"/>
  <c r="M760" i="5"/>
  <c r="N760" i="5" s="1"/>
  <c r="M998" i="5"/>
  <c r="N998" i="5" s="1"/>
  <c r="K543" i="5"/>
  <c r="M543" i="5"/>
  <c r="N543" i="5" s="1"/>
  <c r="J362" i="5"/>
  <c r="M849" i="5"/>
  <c r="N849" i="5" s="1"/>
  <c r="J931" i="5"/>
  <c r="K931" i="5"/>
  <c r="K884" i="5"/>
  <c r="M194" i="5"/>
  <c r="N194" i="5" s="1"/>
  <c r="J847" i="5"/>
  <c r="L931" i="5"/>
  <c r="L884" i="5"/>
  <c r="J556" i="5"/>
  <c r="M795" i="5"/>
  <c r="N795" i="5" s="1"/>
  <c r="K847" i="5"/>
  <c r="K429" i="5"/>
  <c r="M30" i="5"/>
  <c r="N30" i="5" s="1"/>
  <c r="L847" i="5"/>
  <c r="J631" i="5"/>
  <c r="M556" i="5"/>
  <c r="N556" i="5" s="1"/>
  <c r="K631" i="5"/>
  <c r="M417" i="5"/>
  <c r="N417" i="5" s="1"/>
  <c r="M670" i="5"/>
  <c r="N670" i="5" s="1"/>
  <c r="J20" i="5"/>
  <c r="M868" i="5"/>
  <c r="N868" i="5" s="1"/>
  <c r="J507" i="5"/>
  <c r="K20" i="5"/>
  <c r="M884" i="5"/>
  <c r="N884" i="5" s="1"/>
  <c r="L20" i="5"/>
  <c r="M369" i="5"/>
  <c r="N369" i="5" s="1"/>
  <c r="J322" i="5"/>
  <c r="K103" i="5"/>
  <c r="L194" i="5"/>
  <c r="M657" i="5"/>
  <c r="N657" i="5" s="1"/>
  <c r="J628" i="5"/>
  <c r="K716" i="5"/>
  <c r="L476" i="5"/>
  <c r="M913" i="5"/>
  <c r="N913" i="5" s="1"/>
  <c r="J941" i="5"/>
  <c r="K878" i="5"/>
  <c r="L838" i="5"/>
  <c r="M96" i="5"/>
  <c r="N96" i="5" s="1"/>
  <c r="J154" i="5"/>
  <c r="P154" i="5" s="1"/>
  <c r="K306" i="5"/>
  <c r="L885" i="5"/>
  <c r="M688" i="5"/>
  <c r="N688" i="5" s="1"/>
  <c r="L673" i="5"/>
  <c r="J460" i="5"/>
  <c r="J758" i="5"/>
  <c r="L360" i="5"/>
  <c r="K360" i="5"/>
  <c r="J360" i="5"/>
  <c r="K460" i="5"/>
  <c r="L103" i="5"/>
  <c r="M507" i="5"/>
  <c r="N507" i="5" s="1"/>
  <c r="J670" i="5"/>
  <c r="P670" i="5" s="1"/>
  <c r="M103" i="5"/>
  <c r="N103" i="5" s="1"/>
  <c r="J907" i="5"/>
  <c r="M716" i="5"/>
  <c r="N716" i="5" s="1"/>
  <c r="J998" i="5"/>
  <c r="M878" i="5"/>
  <c r="N878" i="5" s="1"/>
  <c r="J669" i="5"/>
  <c r="M306" i="5"/>
  <c r="N306" i="5" s="1"/>
  <c r="K447" i="5"/>
  <c r="M464" i="5"/>
  <c r="N464" i="5" s="1"/>
  <c r="M836" i="5"/>
  <c r="N836" i="5" s="1"/>
  <c r="L132" i="5"/>
  <c r="K132" i="5"/>
  <c r="J132" i="5"/>
  <c r="M322" i="5"/>
  <c r="N322" i="5" s="1"/>
  <c r="M628" i="5"/>
  <c r="N628" i="5" s="1"/>
  <c r="M706" i="5"/>
  <c r="N706" i="5" s="1"/>
  <c r="M301" i="5"/>
  <c r="N301" i="5" s="1"/>
  <c r="J30" i="5"/>
  <c r="J66" i="5"/>
  <c r="L907" i="5"/>
  <c r="J89" i="5"/>
  <c r="J436" i="5"/>
  <c r="L669" i="5"/>
  <c r="J224" i="5"/>
  <c r="M923" i="5"/>
  <c r="N923" i="5" s="1"/>
  <c r="M447" i="5"/>
  <c r="N447" i="5" s="1"/>
  <c r="M20" i="5"/>
  <c r="N20" i="5" s="1"/>
  <c r="M931" i="5"/>
  <c r="N931" i="5" s="1"/>
  <c r="K30" i="5"/>
  <c r="K66" i="5"/>
  <c r="K89" i="5"/>
  <c r="K436" i="5"/>
  <c r="M669" i="5"/>
  <c r="N669" i="5" s="1"/>
  <c r="K224" i="5"/>
  <c r="J573" i="5"/>
  <c r="P573" i="5" s="1"/>
  <c r="M655" i="5"/>
  <c r="N655" i="5" s="1"/>
  <c r="K403" i="5"/>
  <c r="J403" i="5"/>
  <c r="K924" i="5"/>
  <c r="J924" i="5"/>
  <c r="P924" i="5" s="1"/>
  <c r="M340" i="5"/>
  <c r="N340" i="5" s="1"/>
  <c r="J791" i="5"/>
  <c r="L30" i="5"/>
  <c r="M429" i="5"/>
  <c r="N429" i="5" s="1"/>
  <c r="J299" i="5"/>
  <c r="L66" i="5"/>
  <c r="M847" i="5"/>
  <c r="N847" i="5" s="1"/>
  <c r="J760" i="5"/>
  <c r="K605" i="5"/>
  <c r="L89" i="5"/>
  <c r="M350" i="5"/>
  <c r="N350" i="5" s="1"/>
  <c r="J516" i="5"/>
  <c r="P516" i="5" s="1"/>
  <c r="L436" i="5"/>
  <c r="M742" i="5"/>
  <c r="N742" i="5" s="1"/>
  <c r="L224" i="5"/>
  <c r="M335" i="5"/>
  <c r="N335" i="5" s="1"/>
  <c r="L403" i="5"/>
  <c r="M233" i="5"/>
  <c r="N233" i="5" s="1"/>
  <c r="L924" i="5"/>
  <c r="M532" i="5"/>
  <c r="N532" i="5" s="1"/>
  <c r="K299" i="5"/>
  <c r="M66" i="5"/>
  <c r="N66" i="5" s="1"/>
  <c r="K760" i="5"/>
  <c r="M89" i="5"/>
  <c r="N89" i="5" s="1"/>
  <c r="M436" i="5"/>
  <c r="N436" i="5" s="1"/>
  <c r="M224" i="5"/>
  <c r="N224" i="5" s="1"/>
  <c r="J165" i="5"/>
  <c r="L377" i="5"/>
  <c r="M403" i="5"/>
  <c r="N403" i="5" s="1"/>
  <c r="M924" i="5"/>
  <c r="N924" i="5" s="1"/>
  <c r="K791" i="5"/>
  <c r="M1001" i="5"/>
  <c r="N1001" i="5" s="1"/>
  <c r="M715" i="5"/>
  <c r="N715" i="5" s="1"/>
  <c r="M605" i="5"/>
  <c r="N605" i="5" s="1"/>
  <c r="M480" i="5"/>
  <c r="N480" i="5" s="1"/>
  <c r="M573" i="5"/>
  <c r="N573" i="5" s="1"/>
  <c r="M377" i="5"/>
  <c r="N377" i="5" s="1"/>
  <c r="M516" i="5"/>
  <c r="N516" i="5" s="1"/>
  <c r="M394" i="5"/>
  <c r="N394" i="5" s="1"/>
  <c r="K691" i="5"/>
  <c r="J691" i="5"/>
  <c r="M460" i="5"/>
  <c r="N460" i="5" s="1"/>
  <c r="L691" i="5"/>
  <c r="L485" i="5"/>
  <c r="J485" i="5"/>
  <c r="L161" i="5"/>
  <c r="K161" i="5"/>
  <c r="J161" i="5"/>
  <c r="K194" i="5"/>
  <c r="M179" i="5"/>
  <c r="N179" i="5" s="1"/>
  <c r="K476" i="5"/>
  <c r="M631" i="5"/>
  <c r="N631" i="5" s="1"/>
  <c r="K838" i="5"/>
  <c r="M871" i="5"/>
  <c r="N871" i="5" s="1"/>
  <c r="K885" i="5"/>
  <c r="M921" i="5"/>
  <c r="N921" i="5" s="1"/>
  <c r="L758" i="5"/>
  <c r="K758" i="5"/>
  <c r="M81" i="5"/>
  <c r="N81" i="5" s="1"/>
  <c r="L102" i="5"/>
  <c r="K899" i="5"/>
  <c r="M691" i="5"/>
  <c r="N691" i="5" s="1"/>
  <c r="J98" i="5"/>
  <c r="K953" i="5"/>
  <c r="M75" i="5"/>
  <c r="N75" i="5" s="1"/>
  <c r="J832" i="5"/>
  <c r="K564" i="5"/>
  <c r="M46" i="5"/>
  <c r="N46" i="5" s="1"/>
  <c r="J426" i="5"/>
  <c r="K281" i="5"/>
  <c r="M751" i="5"/>
  <c r="N751" i="5" s="1"/>
  <c r="J327" i="5"/>
  <c r="K218" i="5"/>
  <c r="M342" i="5"/>
  <c r="N342" i="5" s="1"/>
  <c r="J418" i="5"/>
  <c r="M102" i="5"/>
  <c r="N102" i="5" s="1"/>
  <c r="L679" i="5"/>
  <c r="L171" i="5"/>
  <c r="M347" i="5"/>
  <c r="N347" i="5" s="1"/>
  <c r="K832" i="5"/>
  <c r="L564" i="5"/>
  <c r="M351" i="5"/>
  <c r="N351" i="5" s="1"/>
  <c r="L281" i="5"/>
  <c r="M726" i="5"/>
  <c r="N726" i="5" s="1"/>
  <c r="K327" i="5"/>
  <c r="M276" i="5"/>
  <c r="N276" i="5" s="1"/>
  <c r="K418" i="5"/>
  <c r="M415" i="5"/>
  <c r="N415" i="5" s="1"/>
  <c r="M171" i="5"/>
  <c r="N171" i="5" s="1"/>
  <c r="L181" i="5"/>
  <c r="K181" i="5"/>
  <c r="M743" i="5"/>
  <c r="N743" i="5" s="1"/>
  <c r="M426" i="5"/>
  <c r="N426" i="5" s="1"/>
  <c r="J68" i="5"/>
  <c r="J378" i="5"/>
  <c r="M363" i="5"/>
  <c r="N363" i="5" s="1"/>
  <c r="K68" i="5"/>
  <c r="K378" i="5"/>
  <c r="J182" i="5"/>
  <c r="M870" i="5"/>
  <c r="N870" i="5" s="1"/>
  <c r="M222" i="5"/>
  <c r="N222" i="5" s="1"/>
  <c r="K81" i="5"/>
  <c r="J989" i="5"/>
  <c r="K301" i="5"/>
  <c r="J995" i="5"/>
  <c r="K340" i="5"/>
  <c r="J925" i="5"/>
  <c r="K196" i="5"/>
  <c r="L68" i="5"/>
  <c r="J612" i="5"/>
  <c r="K277" i="5"/>
  <c r="L378" i="5"/>
  <c r="M901" i="5"/>
  <c r="N901" i="5" s="1"/>
  <c r="L865" i="5"/>
  <c r="K182" i="5"/>
  <c r="M709" i="5"/>
  <c r="N709" i="5" s="1"/>
  <c r="M967" i="5"/>
  <c r="N967" i="5" s="1"/>
  <c r="J706" i="5"/>
  <c r="M485" i="5"/>
  <c r="N485" i="5" s="1"/>
  <c r="J582" i="5"/>
  <c r="K989" i="5"/>
  <c r="M161" i="5"/>
  <c r="N161" i="5" s="1"/>
  <c r="J806" i="5"/>
  <c r="K995" i="5"/>
  <c r="M360" i="5"/>
  <c r="N360" i="5" s="1"/>
  <c r="J949" i="5"/>
  <c r="K925" i="5"/>
  <c r="M68" i="5"/>
  <c r="N68" i="5" s="1"/>
  <c r="K612" i="5"/>
  <c r="M378" i="5"/>
  <c r="N378" i="5" s="1"/>
  <c r="M865" i="5"/>
  <c r="N865" i="5" s="1"/>
  <c r="L989" i="5"/>
  <c r="L995" i="5"/>
  <c r="L925" i="5"/>
  <c r="M196" i="5"/>
  <c r="N196" i="5" s="1"/>
  <c r="M277" i="5"/>
  <c r="N277" i="5" s="1"/>
  <c r="K579" i="5"/>
  <c r="J801" i="5"/>
  <c r="M182" i="5"/>
  <c r="N182" i="5" s="1"/>
  <c r="J359" i="5"/>
  <c r="M25" i="5"/>
  <c r="N25" i="5" s="1"/>
  <c r="M6" i="5"/>
  <c r="N6" i="5" s="1"/>
  <c r="M995" i="5"/>
  <c r="N995" i="5" s="1"/>
  <c r="M679" i="5"/>
  <c r="N679" i="5" s="1"/>
  <c r="M725" i="5"/>
  <c r="N725" i="5" s="1"/>
  <c r="K65" i="5"/>
  <c r="J75" i="5"/>
  <c r="P75" i="5" s="1"/>
  <c r="M582" i="5"/>
  <c r="N582" i="5" s="1"/>
  <c r="J46" i="5"/>
  <c r="M806" i="5"/>
  <c r="N806" i="5" s="1"/>
  <c r="J751" i="5"/>
  <c r="M949" i="5"/>
  <c r="N949" i="5" s="1"/>
  <c r="J342" i="5"/>
  <c r="M535" i="5"/>
  <c r="N535" i="5" s="1"/>
  <c r="J102" i="5"/>
  <c r="M579" i="5"/>
  <c r="N579" i="5" s="1"/>
  <c r="K725" i="5"/>
  <c r="J725" i="5"/>
  <c r="M897" i="5"/>
  <c r="N897" i="5" s="1"/>
  <c r="K75" i="5"/>
  <c r="K751" i="5"/>
  <c r="K342" i="5"/>
  <c r="L725" i="5"/>
  <c r="L610" i="5"/>
  <c r="K610" i="5"/>
  <c r="J610" i="5"/>
  <c r="M376" i="5"/>
  <c r="N376" i="5" s="1"/>
  <c r="M797" i="5"/>
  <c r="N797" i="5" s="1"/>
  <c r="J291" i="5"/>
  <c r="J254" i="5"/>
  <c r="K355" i="5"/>
  <c r="J866" i="5"/>
  <c r="K185" i="5"/>
  <c r="M225" i="5"/>
  <c r="N225" i="5" s="1"/>
  <c r="J146" i="5"/>
  <c r="P146" i="5" s="1"/>
  <c r="M906" i="5"/>
  <c r="N906" i="5" s="1"/>
  <c r="K291" i="5"/>
  <c r="K254" i="5"/>
  <c r="K866" i="5"/>
  <c r="K146" i="5"/>
  <c r="K309" i="5"/>
  <c r="J309" i="5"/>
  <c r="M602" i="5"/>
  <c r="N602" i="5" s="1"/>
  <c r="L291" i="5"/>
  <c r="M756" i="5"/>
  <c r="N756" i="5" s="1"/>
  <c r="M65" i="5"/>
  <c r="N65" i="5" s="1"/>
  <c r="M610" i="5"/>
  <c r="N610" i="5" s="1"/>
  <c r="J800" i="5"/>
  <c r="M291" i="5"/>
  <c r="N291" i="5" s="1"/>
  <c r="J853" i="5"/>
  <c r="M254" i="5"/>
  <c r="N254" i="5" s="1"/>
  <c r="J904" i="5"/>
  <c r="M866" i="5"/>
  <c r="N866" i="5" s="1"/>
  <c r="J890" i="5"/>
  <c r="M146" i="5"/>
  <c r="N146" i="5" s="1"/>
  <c r="M523" i="5"/>
  <c r="N523" i="5" s="1"/>
  <c r="M309" i="5"/>
  <c r="N309" i="5" s="1"/>
  <c r="L314" i="5"/>
  <c r="K314" i="5"/>
  <c r="J314" i="5"/>
  <c r="K800" i="5"/>
  <c r="M140" i="5"/>
  <c r="N140" i="5" s="1"/>
  <c r="K853" i="5"/>
  <c r="M548" i="5"/>
  <c r="N548" i="5" s="1"/>
  <c r="K904" i="5"/>
  <c r="M63" i="5"/>
  <c r="N63" i="5" s="1"/>
  <c r="K890" i="5"/>
  <c r="M82" i="5"/>
  <c r="N82" i="5" s="1"/>
  <c r="M314" i="5"/>
  <c r="N314" i="5" s="1"/>
  <c r="L677" i="5"/>
  <c r="K677" i="5"/>
  <c r="J343" i="5"/>
  <c r="J93" i="5"/>
  <c r="J70" i="5"/>
  <c r="J684" i="5"/>
  <c r="J506" i="5"/>
  <c r="J124" i="5"/>
  <c r="M31" i="5"/>
  <c r="N31" i="5" s="1"/>
  <c r="K305" i="5"/>
  <c r="J677" i="5"/>
  <c r="J653" i="5"/>
  <c r="K343" i="5"/>
  <c r="M654" i="5"/>
  <c r="N654" i="5" s="1"/>
  <c r="J137" i="5"/>
  <c r="W137" i="5" s="1"/>
  <c r="K93" i="5"/>
  <c r="M800" i="5"/>
  <c r="N800" i="5" s="1"/>
  <c r="J919" i="5"/>
  <c r="K70" i="5"/>
  <c r="M853" i="5"/>
  <c r="N853" i="5" s="1"/>
  <c r="J437" i="5"/>
  <c r="K684" i="5"/>
  <c r="M904" i="5"/>
  <c r="N904" i="5" s="1"/>
  <c r="J212" i="5"/>
  <c r="K506" i="5"/>
  <c r="M890" i="5"/>
  <c r="N890" i="5" s="1"/>
  <c r="J456" i="5"/>
  <c r="K124" i="5"/>
  <c r="M123" i="5"/>
  <c r="N123" i="5" s="1"/>
  <c r="L7" i="5"/>
  <c r="K7" i="5"/>
  <c r="L305" i="5"/>
  <c r="J709" i="5"/>
  <c r="J738" i="5"/>
  <c r="K653" i="5"/>
  <c r="L343" i="5"/>
  <c r="M531" i="5"/>
  <c r="N531" i="5" s="1"/>
  <c r="J498" i="5"/>
  <c r="K137" i="5"/>
  <c r="L93" i="5"/>
  <c r="M221" i="5"/>
  <c r="N221" i="5" s="1"/>
  <c r="J620" i="5"/>
  <c r="K919" i="5"/>
  <c r="L70" i="5"/>
  <c r="M576" i="5"/>
  <c r="N576" i="5" s="1"/>
  <c r="J661" i="5"/>
  <c r="K437" i="5"/>
  <c r="L684" i="5"/>
  <c r="M272" i="5"/>
  <c r="N272" i="5" s="1"/>
  <c r="J727" i="5"/>
  <c r="L506" i="5"/>
  <c r="M150" i="5"/>
  <c r="N150" i="5" s="1"/>
  <c r="J271" i="5"/>
  <c r="K456" i="5"/>
  <c r="L124" i="5"/>
  <c r="J31" i="5"/>
  <c r="M956" i="5"/>
  <c r="N956" i="5" s="1"/>
  <c r="J7" i="5"/>
  <c r="M703" i="5"/>
  <c r="N703" i="5" s="1"/>
  <c r="L703" i="5"/>
  <c r="K703" i="5"/>
  <c r="J703" i="5"/>
  <c r="M106" i="5"/>
  <c r="N106" i="5" s="1"/>
  <c r="L106" i="5"/>
  <c r="K106" i="5"/>
  <c r="J106" i="5"/>
  <c r="W106" i="5" s="1"/>
  <c r="K738" i="5"/>
  <c r="M343" i="5"/>
  <c r="N343" i="5" s="1"/>
  <c r="M93" i="5"/>
  <c r="N93" i="5" s="1"/>
  <c r="M70" i="5"/>
  <c r="N70" i="5" s="1"/>
  <c r="M684" i="5"/>
  <c r="N684" i="5" s="1"/>
  <c r="M506" i="5"/>
  <c r="N506" i="5" s="1"/>
  <c r="M124" i="5"/>
  <c r="N124" i="5" s="1"/>
  <c r="M7" i="5"/>
  <c r="N7" i="5" s="1"/>
  <c r="M101" i="5"/>
  <c r="N101" i="5" s="1"/>
  <c r="L101" i="5"/>
  <c r="K101" i="5"/>
  <c r="J101" i="5"/>
  <c r="M653" i="5"/>
  <c r="N653" i="5" s="1"/>
  <c r="M137" i="5"/>
  <c r="N137" i="5" s="1"/>
  <c r="M919" i="5"/>
  <c r="N919" i="5" s="1"/>
  <c r="M437" i="5"/>
  <c r="N437" i="5" s="1"/>
  <c r="M212" i="5"/>
  <c r="N212" i="5" s="1"/>
  <c r="J902" i="5"/>
  <c r="M456" i="5"/>
  <c r="N456" i="5" s="1"/>
  <c r="L961" i="5"/>
  <c r="K961" i="5"/>
  <c r="J961" i="5"/>
  <c r="M738" i="5"/>
  <c r="N738" i="5" s="1"/>
  <c r="M498" i="5"/>
  <c r="N498" i="5" s="1"/>
  <c r="M620" i="5"/>
  <c r="N620" i="5" s="1"/>
  <c r="M661" i="5"/>
  <c r="N661" i="5" s="1"/>
  <c r="M727" i="5"/>
  <c r="N727" i="5" s="1"/>
  <c r="K902" i="5"/>
  <c r="M271" i="5"/>
  <c r="N271" i="5" s="1"/>
  <c r="M926" i="5"/>
  <c r="N926" i="5" s="1"/>
  <c r="M166" i="5"/>
  <c r="N166" i="5" s="1"/>
  <c r="M307" i="5"/>
  <c r="N307" i="5" s="1"/>
  <c r="L186" i="5"/>
  <c r="K186" i="5"/>
  <c r="J186" i="5"/>
  <c r="L331" i="5"/>
  <c r="K235" i="5"/>
  <c r="L711" i="5"/>
  <c r="K155" i="5"/>
  <c r="K333" i="5"/>
  <c r="K406" i="5"/>
  <c r="J570" i="5"/>
  <c r="K474" i="5"/>
  <c r="M477" i="5"/>
  <c r="N477" i="5" s="1"/>
  <c r="K463" i="5"/>
  <c r="J199" i="5"/>
  <c r="L472" i="5"/>
  <c r="K472" i="5"/>
  <c r="M331" i="5"/>
  <c r="N331" i="5" s="1"/>
  <c r="M711" i="5"/>
  <c r="N711" i="5" s="1"/>
  <c r="J602" i="5"/>
  <c r="J756" i="5"/>
  <c r="J721" i="5"/>
  <c r="P721" i="5" s="1"/>
  <c r="K570" i="5"/>
  <c r="K199" i="5"/>
  <c r="M38" i="5"/>
  <c r="N38" i="5" s="1"/>
  <c r="J71" i="5"/>
  <c r="M677" i="5"/>
  <c r="N677" i="5" s="1"/>
  <c r="J632" i="5"/>
  <c r="M235" i="5"/>
  <c r="N235" i="5" s="1"/>
  <c r="J595" i="5"/>
  <c r="M155" i="5"/>
  <c r="N155" i="5" s="1"/>
  <c r="J719" i="5"/>
  <c r="M333" i="5"/>
  <c r="N333" i="5" s="1"/>
  <c r="J72" i="5"/>
  <c r="M406" i="5"/>
  <c r="N406" i="5" s="1"/>
  <c r="J268" i="5"/>
  <c r="L570" i="5"/>
  <c r="M474" i="5"/>
  <c r="N474" i="5" s="1"/>
  <c r="J477" i="5"/>
  <c r="M463" i="5"/>
  <c r="N463" i="5" s="1"/>
  <c r="J937" i="5"/>
  <c r="L975" i="5"/>
  <c r="K984" i="5"/>
  <c r="L639" i="5"/>
  <c r="J639" i="5"/>
  <c r="W639" i="5" s="1"/>
  <c r="J144" i="5"/>
  <c r="M961" i="5"/>
  <c r="N961" i="5" s="1"/>
  <c r="M570" i="5"/>
  <c r="N570" i="5" s="1"/>
  <c r="M199" i="5"/>
  <c r="N199" i="5" s="1"/>
  <c r="M975" i="5"/>
  <c r="N975" i="5" s="1"/>
  <c r="L984" i="5"/>
  <c r="K144" i="5"/>
  <c r="J114" i="5"/>
  <c r="P114" i="5" s="1"/>
  <c r="J122" i="5"/>
  <c r="J313" i="5"/>
  <c r="W313" i="5" s="1"/>
  <c r="J993" i="5"/>
  <c r="J385" i="5"/>
  <c r="M721" i="5"/>
  <c r="N721" i="5" s="1"/>
  <c r="K681" i="5"/>
  <c r="M674" i="5"/>
  <c r="N674" i="5" s="1"/>
  <c r="M984" i="5"/>
  <c r="N984" i="5" s="1"/>
  <c r="M639" i="5"/>
  <c r="N639" i="5" s="1"/>
  <c r="M144" i="5"/>
  <c r="N144" i="5" s="1"/>
  <c r="L936" i="5"/>
  <c r="K936" i="5"/>
  <c r="J936" i="5"/>
  <c r="L876" i="5"/>
  <c r="K876" i="5"/>
  <c r="J876" i="5"/>
  <c r="K114" i="5"/>
  <c r="K122" i="5"/>
  <c r="K313" i="5"/>
  <c r="K993" i="5"/>
  <c r="M72" i="5"/>
  <c r="N72" i="5" s="1"/>
  <c r="K385" i="5"/>
  <c r="M268" i="5"/>
  <c r="N268" i="5" s="1"/>
  <c r="M937" i="5"/>
  <c r="N937" i="5" s="1"/>
  <c r="L681" i="5"/>
  <c r="M876" i="5"/>
  <c r="N876" i="5" s="1"/>
  <c r="M705" i="5"/>
  <c r="N705" i="5" s="1"/>
  <c r="M305" i="5"/>
  <c r="N305" i="5" s="1"/>
  <c r="J231" i="5"/>
  <c r="K177" i="5"/>
  <c r="M114" i="5"/>
  <c r="N114" i="5" s="1"/>
  <c r="J2" i="5"/>
  <c r="W2" i="5" s="1"/>
  <c r="K671" i="5"/>
  <c r="J979" i="5"/>
  <c r="K812" i="5"/>
  <c r="M313" i="5"/>
  <c r="N313" i="5" s="1"/>
  <c r="J204" i="5"/>
  <c r="K636" i="5"/>
  <c r="J275" i="5"/>
  <c r="K574" i="5"/>
  <c r="M776" i="5"/>
  <c r="N776" i="5" s="1"/>
  <c r="M749" i="5"/>
  <c r="N749" i="5" s="1"/>
  <c r="K231" i="5"/>
  <c r="M125" i="5"/>
  <c r="N125" i="5" s="1"/>
  <c r="K2" i="5"/>
  <c r="M346" i="5"/>
  <c r="N346" i="5" s="1"/>
  <c r="M209" i="5"/>
  <c r="N209" i="5" s="1"/>
  <c r="K204" i="5"/>
  <c r="M952" i="5"/>
  <c r="N952" i="5" s="1"/>
  <c r="K275" i="5"/>
  <c r="M748" i="5"/>
  <c r="N748" i="5" s="1"/>
  <c r="J307" i="5"/>
  <c r="J383" i="5"/>
  <c r="M739" i="5"/>
  <c r="N739" i="5" s="1"/>
  <c r="J948" i="5"/>
  <c r="J705" i="5"/>
  <c r="K980" i="5"/>
  <c r="M965" i="5"/>
  <c r="N965" i="5" s="1"/>
  <c r="L705" i="5"/>
  <c r="M613" i="5"/>
  <c r="N613" i="5" s="1"/>
  <c r="J805" i="5"/>
  <c r="L805" i="5"/>
  <c r="M589" i="5"/>
  <c r="N589" i="5" s="1"/>
  <c r="J578" i="5"/>
  <c r="K167" i="5"/>
  <c r="J458" i="5"/>
  <c r="K88" i="5"/>
  <c r="J285" i="5"/>
  <c r="K238" i="5"/>
  <c r="J500" i="5"/>
  <c r="K969" i="5"/>
  <c r="J778" i="5"/>
  <c r="P778" i="5" s="1"/>
  <c r="K519" i="5"/>
  <c r="J449" i="5"/>
  <c r="K881" i="5"/>
  <c r="M805" i="5"/>
  <c r="N805" i="5" s="1"/>
  <c r="J749" i="5"/>
  <c r="J259" i="5"/>
  <c r="K578" i="5"/>
  <c r="L167" i="5"/>
  <c r="K458" i="5"/>
  <c r="L88" i="5"/>
  <c r="K285" i="5"/>
  <c r="J400" i="5"/>
  <c r="K500" i="5"/>
  <c r="J591" i="5"/>
  <c r="K778" i="5"/>
  <c r="J886" i="5"/>
  <c r="K449" i="5"/>
  <c r="M839" i="5"/>
  <c r="N839" i="5" s="1"/>
  <c r="M980" i="5"/>
  <c r="N980" i="5" s="1"/>
  <c r="J315" i="5"/>
  <c r="M472" i="5"/>
  <c r="N472" i="5" s="1"/>
  <c r="J50" i="5"/>
  <c r="M167" i="5"/>
  <c r="N167" i="5" s="1"/>
  <c r="J997" i="5"/>
  <c r="M88" i="5"/>
  <c r="N88" i="5" s="1"/>
  <c r="J567" i="5"/>
  <c r="M238" i="5"/>
  <c r="N238" i="5" s="1"/>
  <c r="J413" i="5"/>
  <c r="M969" i="5"/>
  <c r="N969" i="5" s="1"/>
  <c r="J553" i="5"/>
  <c r="M519" i="5"/>
  <c r="N519" i="5" s="1"/>
  <c r="J60" i="5"/>
  <c r="M881" i="5"/>
  <c r="N881" i="5" s="1"/>
  <c r="M850" i="5"/>
  <c r="N850" i="5" s="1"/>
  <c r="M259" i="5"/>
  <c r="N259" i="5" s="1"/>
  <c r="J135" i="5"/>
  <c r="M386" i="5"/>
  <c r="N386" i="5" s="1"/>
  <c r="J584" i="5"/>
  <c r="K895" i="5"/>
  <c r="M373" i="5"/>
  <c r="N373" i="5" s="1"/>
  <c r="J28" i="5"/>
  <c r="K534" i="5"/>
  <c r="M400" i="5"/>
  <c r="N400" i="5" s="1"/>
  <c r="J542" i="5"/>
  <c r="M591" i="5"/>
  <c r="N591" i="5" s="1"/>
  <c r="J3" i="5"/>
  <c r="M886" i="5"/>
  <c r="N886" i="5" s="1"/>
  <c r="J16" i="5"/>
  <c r="M315" i="5"/>
  <c r="N315" i="5" s="1"/>
  <c r="M50" i="5"/>
  <c r="N50" i="5" s="1"/>
  <c r="K135" i="5"/>
  <c r="M997" i="5"/>
  <c r="N997" i="5" s="1"/>
  <c r="K584" i="5"/>
  <c r="M567" i="5"/>
  <c r="N567" i="5" s="1"/>
  <c r="K28" i="5"/>
  <c r="M413" i="5"/>
  <c r="N413" i="5" s="1"/>
  <c r="K542" i="5"/>
  <c r="M553" i="5"/>
  <c r="N553" i="5" s="1"/>
  <c r="K3" i="5"/>
  <c r="M60" i="5"/>
  <c r="N60" i="5" s="1"/>
  <c r="M9" i="5"/>
  <c r="N9" i="5" s="1"/>
  <c r="K788" i="5"/>
  <c r="J788" i="5"/>
  <c r="L788" i="5"/>
  <c r="M334" i="5"/>
  <c r="N334" i="5" s="1"/>
  <c r="M420" i="5"/>
  <c r="N420" i="5" s="1"/>
  <c r="L135" i="5"/>
  <c r="M475" i="5"/>
  <c r="N475" i="5" s="1"/>
  <c r="L584" i="5"/>
  <c r="M895" i="5"/>
  <c r="N895" i="5" s="1"/>
  <c r="L28" i="5"/>
  <c r="M534" i="5"/>
  <c r="N534" i="5" s="1"/>
  <c r="L542" i="5"/>
  <c r="M957" i="5"/>
  <c r="N957" i="5" s="1"/>
  <c r="L3" i="5"/>
  <c r="M424" i="5"/>
  <c r="N424" i="5" s="1"/>
  <c r="J405" i="5"/>
  <c r="K216" i="5"/>
  <c r="M936" i="5"/>
  <c r="N936" i="5" s="1"/>
  <c r="J547" i="5"/>
  <c r="K97" i="5"/>
  <c r="M186" i="5"/>
  <c r="N186" i="5" s="1"/>
  <c r="J323" i="5"/>
  <c r="M135" i="5"/>
  <c r="N135" i="5" s="1"/>
  <c r="J428" i="5"/>
  <c r="P428" i="5" s="1"/>
  <c r="M584" i="5"/>
  <c r="N584" i="5" s="1"/>
  <c r="M28" i="5"/>
  <c r="N28" i="5" s="1"/>
  <c r="M542" i="5"/>
  <c r="N542" i="5" s="1"/>
  <c r="M3" i="5"/>
  <c r="N3" i="5" s="1"/>
  <c r="K405" i="5"/>
  <c r="K547" i="5"/>
  <c r="J728" i="5"/>
  <c r="K323" i="5"/>
  <c r="M236" i="5"/>
  <c r="N236" i="5" s="1"/>
  <c r="M36" i="5"/>
  <c r="N36" i="5" s="1"/>
  <c r="M504" i="5"/>
  <c r="N504" i="5" s="1"/>
  <c r="M790" i="5"/>
  <c r="N790" i="5" s="1"/>
  <c r="M51" i="5"/>
  <c r="N51" i="5" s="1"/>
  <c r="M216" i="5"/>
  <c r="N216" i="5" s="1"/>
  <c r="M97" i="5"/>
  <c r="N97" i="5" s="1"/>
  <c r="K589" i="5"/>
  <c r="M502" i="5"/>
  <c r="N502" i="5" s="1"/>
  <c r="K85" i="5"/>
  <c r="L87" i="5"/>
  <c r="M223" i="5"/>
  <c r="N223" i="5" s="1"/>
  <c r="K820" i="5"/>
  <c r="L8" i="5"/>
  <c r="Y8" i="5" s="1"/>
  <c r="M861" i="5"/>
  <c r="N861" i="5" s="1"/>
  <c r="J304" i="5"/>
  <c r="P304" i="5" s="1"/>
  <c r="K497" i="5"/>
  <c r="L180" i="5"/>
  <c r="M442" i="5"/>
  <c r="N442" i="5" s="1"/>
  <c r="J40" i="5"/>
  <c r="K12" i="5"/>
  <c r="L4" i="5"/>
  <c r="M388" i="5"/>
  <c r="N388" i="5" s="1"/>
  <c r="J672" i="5"/>
  <c r="K201" i="5"/>
  <c r="L22" i="5"/>
  <c r="M966" i="5"/>
  <c r="N966" i="5" s="1"/>
  <c r="J366" i="5"/>
  <c r="K446" i="5"/>
  <c r="L943" i="5"/>
  <c r="M960" i="5"/>
  <c r="N960" i="5" s="1"/>
  <c r="J282" i="5"/>
  <c r="K828" i="5"/>
  <c r="L243" i="5"/>
  <c r="K808" i="5"/>
  <c r="J808" i="5"/>
  <c r="M678" i="5"/>
  <c r="N678" i="5" s="1"/>
  <c r="J175" i="5"/>
  <c r="M190" i="5"/>
  <c r="N190" i="5" s="1"/>
  <c r="L589" i="5"/>
  <c r="M788" i="5"/>
  <c r="N788" i="5" s="1"/>
  <c r="L85" i="5"/>
  <c r="M87" i="5"/>
  <c r="N87" i="5" s="1"/>
  <c r="M8" i="5"/>
  <c r="N8" i="5" s="1"/>
  <c r="L497" i="5"/>
  <c r="M180" i="5"/>
  <c r="N180" i="5" s="1"/>
  <c r="L12" i="5"/>
  <c r="M4" i="5"/>
  <c r="N4" i="5" s="1"/>
  <c r="K672" i="5"/>
  <c r="M22" i="5"/>
  <c r="N22" i="5" s="1"/>
  <c r="K366" i="5"/>
  <c r="M943" i="5"/>
  <c r="N943" i="5" s="1"/>
  <c r="J546" i="5"/>
  <c r="P546" i="5" s="1"/>
  <c r="K282" i="5"/>
  <c r="M243" i="5"/>
  <c r="N243" i="5" s="1"/>
  <c r="L808" i="5"/>
  <c r="L699" i="5"/>
  <c r="J699" i="5"/>
  <c r="L175" i="5"/>
  <c r="M85" i="5"/>
  <c r="N85" i="5" s="1"/>
  <c r="M820" i="5"/>
  <c r="N820" i="5" s="1"/>
  <c r="M497" i="5"/>
  <c r="N497" i="5" s="1"/>
  <c r="M12" i="5"/>
  <c r="N12" i="5" s="1"/>
  <c r="M201" i="5"/>
  <c r="N201" i="5" s="1"/>
  <c r="M446" i="5"/>
  <c r="N446" i="5" s="1"/>
  <c r="M828" i="5"/>
  <c r="N828" i="5" s="1"/>
  <c r="M808" i="5"/>
  <c r="N808" i="5" s="1"/>
  <c r="K699" i="5"/>
  <c r="M175" i="5"/>
  <c r="N175" i="5" s="1"/>
  <c r="J32" i="5"/>
  <c r="M52" i="5"/>
  <c r="N52" i="5" s="1"/>
  <c r="J384" i="5"/>
  <c r="M855" i="5"/>
  <c r="N855" i="5" s="1"/>
  <c r="M629" i="5"/>
  <c r="N629" i="5" s="1"/>
  <c r="M304" i="5"/>
  <c r="N304" i="5" s="1"/>
  <c r="M40" i="5"/>
  <c r="N40" i="5" s="1"/>
  <c r="M672" i="5"/>
  <c r="N672" i="5" s="1"/>
  <c r="M366" i="5"/>
  <c r="N366" i="5" s="1"/>
  <c r="M282" i="5"/>
  <c r="N282" i="5" s="1"/>
  <c r="M425" i="5"/>
  <c r="N425" i="5" s="1"/>
  <c r="L425" i="5"/>
  <c r="K425" i="5"/>
  <c r="J425" i="5"/>
  <c r="K384" i="5"/>
  <c r="M248" i="5"/>
  <c r="N248" i="5" s="1"/>
  <c r="M546" i="5"/>
  <c r="N546" i="5" s="1"/>
  <c r="M528" i="5"/>
  <c r="N528" i="5" s="1"/>
  <c r="J422" i="5"/>
  <c r="K922" i="5"/>
  <c r="J284" i="5"/>
  <c r="K757" i="5"/>
  <c r="L384" i="5"/>
  <c r="J325" i="5"/>
  <c r="K37" i="5"/>
  <c r="J609" i="5"/>
  <c r="K374" i="5"/>
  <c r="M203" i="5"/>
  <c r="N203" i="5" s="1"/>
  <c r="J435" i="5"/>
  <c r="K713" i="5"/>
  <c r="M47" i="5"/>
  <c r="N47" i="5" s="1"/>
  <c r="J368" i="5"/>
  <c r="K183" i="5"/>
  <c r="J764" i="5"/>
  <c r="P764" i="5" s="1"/>
  <c r="K676" i="5"/>
  <c r="J242" i="5"/>
  <c r="K300" i="5"/>
  <c r="K422" i="5"/>
  <c r="M32" i="5"/>
  <c r="N32" i="5" s="1"/>
  <c r="M384" i="5"/>
  <c r="N384" i="5" s="1"/>
  <c r="M606" i="5"/>
  <c r="N606" i="5" s="1"/>
  <c r="M74" i="5"/>
  <c r="N74" i="5" s="1"/>
  <c r="M316" i="5"/>
  <c r="N316" i="5" s="1"/>
  <c r="M601" i="5"/>
  <c r="N601" i="5" s="1"/>
  <c r="M58" i="5"/>
  <c r="N58" i="5" s="1"/>
  <c r="M455" i="5"/>
  <c r="N455" i="5" s="1"/>
  <c r="L237" i="5"/>
  <c r="K237" i="5"/>
  <c r="J237" i="5"/>
  <c r="M39" i="5"/>
  <c r="N39" i="5" s="1"/>
  <c r="M920" i="5"/>
  <c r="N920" i="5" s="1"/>
  <c r="J939" i="5"/>
  <c r="J905" i="5"/>
  <c r="M325" i="5"/>
  <c r="N325" i="5" s="1"/>
  <c r="J822" i="5"/>
  <c r="M609" i="5"/>
  <c r="N609" i="5" s="1"/>
  <c r="J62" i="5"/>
  <c r="M435" i="5"/>
  <c r="N435" i="5" s="1"/>
  <c r="J499" i="5"/>
  <c r="J53" i="5"/>
  <c r="M764" i="5"/>
  <c r="N764" i="5" s="1"/>
  <c r="J482" i="5"/>
  <c r="M242" i="5"/>
  <c r="N242" i="5" s="1"/>
  <c r="L39" i="5"/>
  <c r="J39" i="5"/>
  <c r="M27" i="5"/>
  <c r="N27" i="5" s="1"/>
  <c r="M454" i="5"/>
  <c r="N454" i="5" s="1"/>
  <c r="L939" i="5"/>
  <c r="J87" i="5"/>
  <c r="L905" i="5"/>
  <c r="J8" i="5"/>
  <c r="L822" i="5"/>
  <c r="J180" i="5"/>
  <c r="L62" i="5"/>
  <c r="J4" i="5"/>
  <c r="W4" i="5" s="1"/>
  <c r="L499" i="5"/>
  <c r="J22" i="5"/>
  <c r="L53" i="5"/>
  <c r="J943" i="5"/>
  <c r="W943" i="5" s="1"/>
  <c r="L482" i="5"/>
  <c r="J243" i="5"/>
  <c r="J147" i="5"/>
  <c r="M255" i="5"/>
  <c r="N255" i="5" s="1"/>
  <c r="M16" i="5"/>
  <c r="N16" i="5" s="1"/>
  <c r="L147" i="5"/>
  <c r="L1000" i="5"/>
  <c r="K1000" i="5"/>
  <c r="J1000" i="5"/>
  <c r="W1000" i="5" s="1"/>
  <c r="L545" i="5"/>
  <c r="J371" i="5"/>
  <c r="M545" i="5"/>
  <c r="N545" i="5" s="1"/>
  <c r="J652" i="5"/>
  <c r="J318" i="5"/>
  <c r="J48" i="5"/>
  <c r="W48" i="5" s="1"/>
  <c r="M761" i="5"/>
  <c r="N761" i="5" s="1"/>
  <c r="M371" i="5"/>
  <c r="N371" i="5" s="1"/>
  <c r="M652" i="5"/>
  <c r="N652" i="5" s="1"/>
  <c r="L318" i="5"/>
  <c r="M48" i="5"/>
  <c r="N48" i="5" s="1"/>
  <c r="L970" i="5"/>
  <c r="K262" i="5"/>
  <c r="J701" i="5"/>
  <c r="K648" i="5"/>
  <c r="J723" i="5"/>
  <c r="K893" i="5"/>
  <c r="M318" i="5"/>
  <c r="N318" i="5" s="1"/>
  <c r="M794" i="5"/>
  <c r="N794" i="5" s="1"/>
  <c r="M439" i="5"/>
  <c r="N439" i="5" s="1"/>
  <c r="M834" i="5"/>
  <c r="N834" i="5" s="1"/>
  <c r="K701" i="5"/>
  <c r="M844" i="5"/>
  <c r="N844" i="5" s="1"/>
  <c r="K723" i="5"/>
  <c r="M643" i="5"/>
  <c r="N643" i="5" s="1"/>
  <c r="M147" i="5"/>
  <c r="N147" i="5" s="1"/>
  <c r="J198" i="5"/>
  <c r="M262" i="5"/>
  <c r="N262" i="5" s="1"/>
  <c r="J24" i="5"/>
  <c r="M648" i="5"/>
  <c r="N648" i="5" s="1"/>
  <c r="J490" i="5"/>
  <c r="M893" i="5"/>
  <c r="N893" i="5" s="1"/>
  <c r="J117" i="5"/>
  <c r="W117" i="5" s="1"/>
  <c r="M108" i="5"/>
  <c r="N108" i="5" s="1"/>
  <c r="L108" i="5"/>
  <c r="K108" i="5"/>
  <c r="J108" i="5"/>
  <c r="K198" i="5"/>
  <c r="M1000" i="5"/>
  <c r="N1000" i="5" s="1"/>
  <c r="K24" i="5"/>
  <c r="M701" i="5"/>
  <c r="N701" i="5" s="1"/>
  <c r="K490" i="5"/>
  <c r="M723" i="5"/>
  <c r="N723" i="5" s="1"/>
  <c r="J663" i="5"/>
  <c r="L117" i="5"/>
  <c r="M292" i="5"/>
  <c r="N292" i="5" s="1"/>
  <c r="M656" i="5"/>
  <c r="N656" i="5" s="1"/>
  <c r="L76" i="5"/>
  <c r="J76" i="5"/>
  <c r="M840" i="5"/>
  <c r="N840" i="5" s="1"/>
  <c r="L894" i="5"/>
  <c r="K894" i="5"/>
  <c r="J894" i="5"/>
  <c r="J527" i="5"/>
  <c r="K992" i="5"/>
  <c r="J465" i="5"/>
  <c r="K341" i="5"/>
  <c r="M208" i="5"/>
  <c r="N208" i="5" s="1"/>
  <c r="J914" i="5"/>
  <c r="K49" i="5"/>
  <c r="M637" i="5"/>
  <c r="N637" i="5" s="1"/>
  <c r="K663" i="5"/>
  <c r="M117" i="5"/>
  <c r="N117" i="5" s="1"/>
  <c r="M517" i="5"/>
  <c r="N517" i="5" s="1"/>
  <c r="K599" i="5"/>
  <c r="K76" i="5"/>
  <c r="M699" i="5"/>
  <c r="N699" i="5" s="1"/>
  <c r="M198" i="5"/>
  <c r="N198" i="5" s="1"/>
  <c r="M24" i="5"/>
  <c r="N24" i="5" s="1"/>
  <c r="M490" i="5"/>
  <c r="N490" i="5" s="1"/>
  <c r="M76" i="5"/>
  <c r="N76" i="5" s="1"/>
  <c r="L935" i="5"/>
  <c r="K935" i="5"/>
  <c r="J935" i="5"/>
  <c r="M992" i="5"/>
  <c r="N992" i="5" s="1"/>
  <c r="M341" i="5"/>
  <c r="N341" i="5" s="1"/>
  <c r="M49" i="5"/>
  <c r="N49" i="5" s="1"/>
  <c r="M61" i="5"/>
  <c r="N61" i="5" s="1"/>
  <c r="M479" i="5"/>
  <c r="N479" i="5" s="1"/>
  <c r="M831" i="5"/>
  <c r="N831" i="5" s="1"/>
  <c r="K398" i="5"/>
  <c r="L396" i="5"/>
  <c r="M740" i="5"/>
  <c r="N740" i="5" s="1"/>
  <c r="K600" i="5"/>
  <c r="L875" i="5"/>
  <c r="M86" i="5"/>
  <c r="N86" i="5" s="1"/>
  <c r="L45" i="5"/>
  <c r="K45" i="5"/>
  <c r="J45" i="5"/>
  <c r="M663" i="5"/>
  <c r="N663" i="5" s="1"/>
  <c r="M718" i="5"/>
  <c r="N718" i="5" s="1"/>
  <c r="M396" i="5"/>
  <c r="N396" i="5" s="1"/>
  <c r="K479" i="5"/>
  <c r="M398" i="5"/>
  <c r="N398" i="5" s="1"/>
  <c r="M600" i="5"/>
  <c r="N600" i="5" s="1"/>
  <c r="M894" i="5"/>
  <c r="N894" i="5" s="1"/>
  <c r="M935" i="5"/>
  <c r="N935" i="5" s="1"/>
  <c r="J157" i="5"/>
  <c r="L461" i="5"/>
  <c r="K461" i="5"/>
  <c r="J461" i="5"/>
  <c r="J638" i="5"/>
  <c r="P638" i="5" s="1"/>
  <c r="K877" i="5"/>
  <c r="L459" i="5"/>
  <c r="M524" i="5"/>
  <c r="N524" i="5" s="1"/>
  <c r="K258" i="5"/>
  <c r="K159" i="5"/>
  <c r="L29" i="5"/>
  <c r="K29" i="5"/>
  <c r="J29" i="5"/>
  <c r="M157" i="5"/>
  <c r="N157" i="5" s="1"/>
  <c r="L18" i="5"/>
  <c r="K18" i="5"/>
  <c r="J18" i="5"/>
  <c r="M126" i="5"/>
  <c r="N126" i="5" s="1"/>
  <c r="K638" i="5"/>
  <c r="M459" i="5"/>
  <c r="N459" i="5" s="1"/>
  <c r="L159" i="5"/>
  <c r="M29" i="5"/>
  <c r="N29" i="5" s="1"/>
  <c r="M630" i="5"/>
  <c r="N630" i="5" s="1"/>
  <c r="J249" i="5"/>
  <c r="M877" i="5"/>
  <c r="N877" i="5" s="1"/>
  <c r="J971" i="5"/>
  <c r="M258" i="5"/>
  <c r="N258" i="5" s="1"/>
  <c r="M159" i="5"/>
  <c r="N159" i="5" s="1"/>
  <c r="M970" i="5"/>
  <c r="N970" i="5" s="1"/>
  <c r="K249" i="5"/>
  <c r="M638" i="5"/>
  <c r="N638" i="5" s="1"/>
  <c r="K971" i="5"/>
  <c r="L954" i="5"/>
  <c r="K954" i="5"/>
  <c r="M539" i="5"/>
  <c r="N539" i="5" s="1"/>
  <c r="J954" i="5"/>
  <c r="M879" i="5"/>
  <c r="N879" i="5" s="1"/>
  <c r="J603" i="5"/>
  <c r="W603" i="5" s="1"/>
  <c r="L321" i="5"/>
  <c r="J645" i="5"/>
  <c r="L614" i="5"/>
  <c r="K614" i="5"/>
  <c r="J614" i="5"/>
  <c r="M819" i="5"/>
  <c r="N819" i="5" s="1"/>
  <c r="M44" i="5"/>
  <c r="N44" i="5" s="1"/>
  <c r="M54" i="5"/>
  <c r="N54" i="5" s="1"/>
  <c r="M813" i="5"/>
  <c r="N813" i="5" s="1"/>
  <c r="M645" i="5"/>
  <c r="N645" i="5" s="1"/>
  <c r="L391" i="5"/>
  <c r="K391" i="5"/>
  <c r="J630" i="5"/>
  <c r="J831" i="5"/>
  <c r="M603" i="5"/>
  <c r="N603" i="5" s="1"/>
  <c r="M461" i="5"/>
  <c r="N461" i="5" s="1"/>
  <c r="M841" i="5"/>
  <c r="N841" i="5" s="1"/>
  <c r="J381" i="5"/>
  <c r="K630" i="5"/>
  <c r="M156" i="5"/>
  <c r="N156" i="5" s="1"/>
  <c r="J858" i="5"/>
  <c r="K831" i="5"/>
  <c r="M896" i="5"/>
  <c r="N896" i="5" s="1"/>
  <c r="J44" i="5"/>
  <c r="M45" i="5"/>
  <c r="N45" i="5" s="1"/>
  <c r="M18" i="5"/>
  <c r="N18" i="5" s="1"/>
  <c r="J825" i="5"/>
  <c r="K988" i="5"/>
  <c r="J174" i="5"/>
  <c r="K319" i="5"/>
  <c r="K287" i="5"/>
  <c r="K624" i="5"/>
  <c r="K947" i="5"/>
  <c r="K825" i="5"/>
  <c r="M381" i="5"/>
  <c r="N381" i="5" s="1"/>
  <c r="K174" i="5"/>
  <c r="M858" i="5"/>
  <c r="N858" i="5" s="1"/>
  <c r="L287" i="5"/>
  <c r="M809" i="5"/>
  <c r="N809" i="5" s="1"/>
  <c r="L624" i="5"/>
  <c r="L947" i="5"/>
  <c r="M954" i="5"/>
  <c r="N954" i="5" s="1"/>
  <c r="M988" i="5"/>
  <c r="N988" i="5" s="1"/>
  <c r="M319" i="5"/>
  <c r="N319" i="5" s="1"/>
  <c r="M287" i="5"/>
  <c r="N287" i="5" s="1"/>
  <c r="M947" i="5"/>
  <c r="N947" i="5" s="1"/>
  <c r="M695" i="5"/>
  <c r="N695" i="5" s="1"/>
  <c r="M825" i="5"/>
  <c r="N825" i="5" s="1"/>
  <c r="M174" i="5"/>
  <c r="N174" i="5" s="1"/>
  <c r="M929" i="5"/>
  <c r="N929" i="5" s="1"/>
  <c r="L929" i="5"/>
  <c r="K929" i="5"/>
  <c r="J929" i="5"/>
  <c r="P929" i="5" s="1"/>
  <c r="M13" i="5"/>
  <c r="N13" i="5" s="1"/>
  <c r="M443" i="5"/>
  <c r="N443" i="5" s="1"/>
  <c r="J321" i="5"/>
  <c r="K809" i="5"/>
  <c r="M707" i="5"/>
  <c r="N707" i="5" s="1"/>
  <c r="L387" i="5"/>
  <c r="K387" i="5"/>
  <c r="J387" i="5"/>
  <c r="M852" i="5"/>
  <c r="N852" i="5" s="1"/>
  <c r="J142" i="5"/>
  <c r="K468" i="5"/>
  <c r="M294" i="5"/>
  <c r="N294" i="5" s="1"/>
  <c r="L408" i="5"/>
  <c r="K408" i="5"/>
  <c r="J408" i="5"/>
  <c r="L623" i="5"/>
  <c r="L338" i="5"/>
  <c r="K338" i="5"/>
  <c r="J338" i="5"/>
  <c r="M767" i="5"/>
  <c r="N767" i="5" s="1"/>
  <c r="J467" i="5"/>
  <c r="K467" i="5"/>
  <c r="J549" i="5"/>
  <c r="J659" i="5"/>
  <c r="L467" i="5"/>
  <c r="M467" i="5"/>
  <c r="N467" i="5" s="1"/>
  <c r="M668" i="5"/>
  <c r="N668" i="5" s="1"/>
  <c r="M565" i="5"/>
  <c r="N565" i="5" s="1"/>
  <c r="L561" i="5"/>
  <c r="J540" i="5"/>
  <c r="L549" i="5"/>
  <c r="J73" i="5"/>
  <c r="L659" i="5"/>
  <c r="L668" i="5"/>
  <c r="J668" i="5"/>
  <c r="M113" i="5"/>
  <c r="N113" i="5" s="1"/>
  <c r="K540" i="5"/>
  <c r="K73" i="5"/>
  <c r="J153" i="5"/>
  <c r="K668" i="5"/>
  <c r="L741" i="5"/>
  <c r="M344" i="5"/>
  <c r="N344" i="5" s="1"/>
  <c r="M173" i="5"/>
  <c r="N173" i="5" s="1"/>
  <c r="M404" i="5"/>
  <c r="N404" i="5" s="1"/>
  <c r="M644" i="5"/>
  <c r="N644" i="5" s="1"/>
  <c r="J852" i="5"/>
  <c r="K799" i="5"/>
  <c r="M540" i="5"/>
  <c r="N540" i="5" s="1"/>
  <c r="J294" i="5"/>
  <c r="K680" i="5"/>
  <c r="X680" i="5" s="1"/>
  <c r="M73" i="5"/>
  <c r="N73" i="5" s="1"/>
  <c r="L113" i="5"/>
  <c r="K741" i="5"/>
  <c r="K852" i="5"/>
  <c r="M750" i="5"/>
  <c r="N750" i="5" s="1"/>
  <c r="K294" i="5"/>
  <c r="M586" i="5"/>
  <c r="N586" i="5" s="1"/>
  <c r="M153" i="5"/>
  <c r="N153" i="5" s="1"/>
  <c r="M110" i="5"/>
  <c r="N110" i="5" s="1"/>
  <c r="M741" i="5"/>
  <c r="N741" i="5" s="1"/>
  <c r="L765" i="5"/>
  <c r="K765" i="5"/>
  <c r="J765" i="5"/>
  <c r="M391" i="5"/>
  <c r="N391" i="5" s="1"/>
  <c r="M799" i="5"/>
  <c r="N799" i="5" s="1"/>
  <c r="M680" i="5"/>
  <c r="N680" i="5" s="1"/>
  <c r="M784" i="5"/>
  <c r="N784" i="5" s="1"/>
  <c r="M987" i="5"/>
  <c r="N987" i="5" s="1"/>
  <c r="J616" i="5"/>
  <c r="P616" i="5" s="1"/>
  <c r="L616" i="5"/>
  <c r="K616" i="5"/>
  <c r="M267" i="5"/>
  <c r="N267" i="5" s="1"/>
  <c r="L404" i="5"/>
  <c r="K404" i="5"/>
  <c r="J565" i="5"/>
  <c r="P565" i="5" s="1"/>
  <c r="L11" i="5"/>
  <c r="M245" i="5"/>
  <c r="N245" i="5" s="1"/>
  <c r="J361" i="5"/>
  <c r="M172" i="5"/>
  <c r="N172" i="5" s="1"/>
  <c r="L267" i="5"/>
  <c r="K267" i="5"/>
  <c r="J267" i="5"/>
  <c r="J404" i="5"/>
  <c r="J987" i="5"/>
  <c r="W987" i="5" s="1"/>
  <c r="J332" i="5"/>
  <c r="W332" i="5" s="1"/>
  <c r="K565" i="5"/>
  <c r="K361" i="5"/>
  <c r="K987" i="5"/>
  <c r="K332" i="5"/>
  <c r="M55" i="5"/>
  <c r="N55" i="5" s="1"/>
  <c r="M696" i="5"/>
  <c r="N696" i="5" s="1"/>
  <c r="J260" i="5"/>
  <c r="M338" i="5"/>
  <c r="N338" i="5" s="1"/>
  <c r="J793" i="5"/>
  <c r="L361" i="5"/>
  <c r="J172" i="5"/>
  <c r="M765" i="5"/>
  <c r="N765" i="5" s="1"/>
  <c r="L332" i="5"/>
  <c r="J191" i="5"/>
  <c r="W191" i="5" s="1"/>
  <c r="K260" i="5"/>
  <c r="K793" i="5"/>
  <c r="M361" i="5"/>
  <c r="N361" i="5" s="1"/>
  <c r="K172" i="5"/>
  <c r="L279" i="5"/>
  <c r="K279" i="5"/>
  <c r="J279" i="5"/>
  <c r="J481" i="5"/>
  <c r="P481" i="5" s="1"/>
  <c r="K110" i="5"/>
  <c r="J296" i="5"/>
  <c r="K191" i="5"/>
  <c r="L260" i="5"/>
  <c r="M188" i="5"/>
  <c r="N188" i="5" s="1"/>
  <c r="J766" i="5"/>
  <c r="K597" i="5"/>
  <c r="L793" i="5"/>
  <c r="J732" i="5"/>
  <c r="M104" i="5"/>
  <c r="N104" i="5" s="1"/>
  <c r="M408" i="5"/>
  <c r="N408" i="5" s="1"/>
  <c r="M260" i="5"/>
  <c r="N260" i="5" s="1"/>
  <c r="M793" i="5"/>
  <c r="N793" i="5" s="1"/>
  <c r="J777" i="5"/>
  <c r="M597" i="5"/>
  <c r="N597" i="5" s="1"/>
  <c r="M617" i="5"/>
  <c r="N617" i="5" s="1"/>
  <c r="M112" i="5"/>
  <c r="N112" i="5" s="1"/>
  <c r="L690" i="5"/>
  <c r="K690" i="5"/>
  <c r="J690" i="5"/>
  <c r="K903" i="5"/>
  <c r="M511" i="5"/>
  <c r="N511" i="5" s="1"/>
  <c r="K320" i="5"/>
  <c r="M115" i="5"/>
  <c r="N115" i="5" s="1"/>
  <c r="K34" i="5"/>
  <c r="K687" i="5"/>
  <c r="K873" i="5"/>
  <c r="L646" i="5"/>
  <c r="M332" i="5"/>
  <c r="N332" i="5" s="1"/>
  <c r="J112" i="5"/>
  <c r="M297" i="5"/>
  <c r="N297" i="5" s="1"/>
  <c r="J55" i="5"/>
  <c r="M217" i="5"/>
  <c r="N217" i="5" s="1"/>
  <c r="M646" i="5"/>
  <c r="N646" i="5" s="1"/>
  <c r="K112" i="5"/>
  <c r="M687" i="5"/>
  <c r="N687" i="5" s="1"/>
  <c r="J982" i="5"/>
  <c r="K55" i="5"/>
  <c r="M873" i="5"/>
  <c r="N873" i="5" s="1"/>
  <c r="M694" i="5"/>
  <c r="N694" i="5" s="1"/>
  <c r="M616" i="5"/>
  <c r="N616" i="5" s="1"/>
  <c r="J326" i="5"/>
  <c r="J580" i="5"/>
  <c r="K784" i="5"/>
  <c r="J985" i="5"/>
  <c r="K286" i="5"/>
  <c r="M279" i="5"/>
  <c r="N279" i="5" s="1"/>
  <c r="J496" i="5"/>
  <c r="K982" i="5"/>
  <c r="M690" i="5"/>
  <c r="N690" i="5" s="1"/>
  <c r="L660" i="5"/>
  <c r="K326" i="5"/>
  <c r="L594" i="5"/>
  <c r="K594" i="5"/>
  <c r="J594" i="5"/>
  <c r="M660" i="5"/>
  <c r="N660" i="5" s="1"/>
  <c r="M326" i="5"/>
  <c r="N326" i="5" s="1"/>
  <c r="M514" i="5"/>
  <c r="N514" i="5" s="1"/>
  <c r="M286" i="5"/>
  <c r="N286" i="5" s="1"/>
  <c r="M982" i="5"/>
  <c r="N982" i="5" s="1"/>
  <c r="L846" i="5"/>
  <c r="J846" i="5"/>
  <c r="M700" i="5"/>
  <c r="N700" i="5" s="1"/>
  <c r="M702" i="5"/>
  <c r="N702" i="5" s="1"/>
  <c r="L529" i="5"/>
  <c r="K529" i="5"/>
  <c r="J529" i="5"/>
  <c r="K250" i="5"/>
  <c r="M128" i="5"/>
  <c r="N128" i="5" s="1"/>
  <c r="J959" i="5"/>
  <c r="K207" i="5"/>
  <c r="M145" i="5"/>
  <c r="N145" i="5" s="1"/>
  <c r="J197" i="5"/>
  <c r="W197" i="5" s="1"/>
  <c r="K353" i="5"/>
  <c r="M558" i="5"/>
  <c r="N558" i="5" s="1"/>
  <c r="K783" i="5"/>
  <c r="M744" i="5"/>
  <c r="N744" i="5" s="1"/>
  <c r="J414" i="5"/>
  <c r="M736" i="5"/>
  <c r="N736" i="5" s="1"/>
  <c r="M253" i="5"/>
  <c r="N253" i="5" s="1"/>
  <c r="L414" i="5"/>
  <c r="M414" i="5"/>
  <c r="N414" i="5" s="1"/>
  <c r="M91" i="5"/>
  <c r="N91" i="5" s="1"/>
  <c r="L91" i="5"/>
  <c r="K91" i="5"/>
  <c r="J91" i="5"/>
  <c r="L810" i="5"/>
  <c r="K810" i="5"/>
  <c r="J810" i="5"/>
  <c r="P810" i="5" s="1"/>
  <c r="K67" i="5"/>
  <c r="K785" i="5"/>
  <c r="M445" i="5"/>
  <c r="N445" i="5" s="1"/>
  <c r="M983" i="5"/>
  <c r="N983" i="5" s="1"/>
  <c r="J759" i="5"/>
  <c r="M354" i="5"/>
  <c r="N354" i="5" s="1"/>
  <c r="M770" i="5"/>
  <c r="N770" i="5" s="1"/>
  <c r="J514" i="5"/>
  <c r="J253" i="5"/>
  <c r="M410" i="5"/>
  <c r="N410" i="5" s="1"/>
  <c r="M67" i="5"/>
  <c r="N67" i="5" s="1"/>
  <c r="M785" i="5"/>
  <c r="N785" i="5" s="1"/>
  <c r="K514" i="5"/>
  <c r="L312" i="5"/>
  <c r="K312" i="5"/>
  <c r="M450" i="5"/>
  <c r="N450" i="5" s="1"/>
  <c r="M529" i="5"/>
  <c r="N529" i="5" s="1"/>
  <c r="M356" i="5"/>
  <c r="N356" i="5" s="1"/>
  <c r="J568" i="5"/>
  <c r="J311" i="5"/>
  <c r="K311" i="5"/>
  <c r="M666" i="5"/>
  <c r="N666" i="5" s="1"/>
  <c r="L587" i="5"/>
  <c r="K587" i="5"/>
  <c r="J587" i="5"/>
  <c r="L863" i="5"/>
  <c r="K863" i="5"/>
  <c r="J863" i="5"/>
  <c r="J336" i="5"/>
  <c r="M423" i="5"/>
  <c r="N423" i="5" s="1"/>
  <c r="K397" i="5"/>
  <c r="J786" i="5"/>
  <c r="K462" i="5"/>
  <c r="J462" i="5"/>
  <c r="M816" i="5"/>
  <c r="N816" i="5" s="1"/>
  <c r="J696" i="5"/>
  <c r="M846" i="5"/>
  <c r="N846" i="5" s="1"/>
  <c r="J445" i="5"/>
  <c r="K336" i="5"/>
  <c r="M239" i="5"/>
  <c r="N239" i="5" s="1"/>
  <c r="K786" i="5"/>
  <c r="L462" i="5"/>
  <c r="M397" i="5"/>
  <c r="N397" i="5" s="1"/>
  <c r="M462" i="5"/>
  <c r="N462" i="5" s="1"/>
  <c r="J149" i="5"/>
  <c r="L666" i="5"/>
  <c r="M587" i="5"/>
  <c r="N587" i="5" s="1"/>
  <c r="J625" i="5"/>
  <c r="W625" i="5" s="1"/>
  <c r="L164" i="5"/>
  <c r="M143" i="5"/>
  <c r="N143" i="5" s="1"/>
  <c r="J226" i="5"/>
  <c r="K968" i="5"/>
  <c r="L84" i="5"/>
  <c r="M557" i="5"/>
  <c r="N557" i="5" s="1"/>
  <c r="L193" i="5"/>
  <c r="J193" i="5"/>
  <c r="M164" i="5"/>
  <c r="N164" i="5" s="1"/>
  <c r="M84" i="5"/>
  <c r="N84" i="5" s="1"/>
  <c r="K193" i="5"/>
  <c r="K232" i="5"/>
  <c r="M934" i="5"/>
  <c r="N934" i="5" s="1"/>
  <c r="M968" i="5"/>
  <c r="N968" i="5" s="1"/>
  <c r="L837" i="5"/>
  <c r="K837" i="5"/>
  <c r="J837" i="5"/>
  <c r="W837" i="5" s="1"/>
  <c r="M837" i="5"/>
  <c r="N837" i="5" s="1"/>
  <c r="M121" i="5"/>
  <c r="N121" i="5" s="1"/>
  <c r="K211" i="5"/>
  <c r="M996" i="5"/>
  <c r="N996" i="5" s="1"/>
  <c r="K753" i="5"/>
  <c r="M912" i="5"/>
  <c r="N912" i="5" s="1"/>
  <c r="J169" i="5"/>
  <c r="K169" i="5"/>
  <c r="L169" i="5"/>
  <c r="M530" i="5"/>
  <c r="N530" i="5" s="1"/>
  <c r="M261" i="5"/>
  <c r="N261" i="5" s="1"/>
  <c r="M550" i="5"/>
  <c r="N550" i="5" s="1"/>
  <c r="L753" i="5"/>
  <c r="M862" i="5"/>
  <c r="N862" i="5" s="1"/>
  <c r="M317" i="5"/>
  <c r="N317" i="5" s="1"/>
  <c r="L330" i="5"/>
  <c r="K330" i="5"/>
  <c r="J330" i="5"/>
  <c r="L986" i="5"/>
  <c r="K986" i="5"/>
  <c r="J293" i="5"/>
  <c r="W293" i="5" s="1"/>
  <c r="M863" i="5"/>
  <c r="N863" i="5" s="1"/>
  <c r="M594" i="5"/>
  <c r="N594" i="5" s="1"/>
  <c r="M330" i="5"/>
  <c r="N330" i="5" s="1"/>
  <c r="J986" i="5"/>
  <c r="L747" i="5"/>
  <c r="K747" i="5"/>
  <c r="J747" i="5"/>
  <c r="L430" i="5"/>
  <c r="K430" i="5"/>
  <c r="J430" i="5"/>
  <c r="J143" i="5"/>
  <c r="J557" i="5"/>
  <c r="M747" i="5"/>
  <c r="N747" i="5" s="1"/>
  <c r="M148" i="5"/>
  <c r="N148" i="5" s="1"/>
  <c r="M772" i="5"/>
  <c r="N772" i="5" s="1"/>
  <c r="L444" i="5"/>
  <c r="K444" i="5"/>
  <c r="J444" i="5"/>
  <c r="K489" i="5"/>
  <c r="L489" i="5"/>
  <c r="J489" i="5"/>
  <c r="K143" i="5"/>
  <c r="K557" i="5"/>
  <c r="M193" i="5"/>
  <c r="N193" i="5" s="1"/>
  <c r="M607" i="5"/>
  <c r="N607" i="5" s="1"/>
  <c r="J577" i="5"/>
  <c r="K577" i="5"/>
  <c r="L577" i="5"/>
  <c r="M510" i="5"/>
  <c r="N510" i="5" s="1"/>
  <c r="M451" i="5"/>
  <c r="N451" i="5" s="1"/>
  <c r="K451" i="5"/>
  <c r="M577" i="5"/>
  <c r="N577" i="5" s="1"/>
  <c r="K512" i="5"/>
  <c r="K252" i="5"/>
  <c r="M402" i="5"/>
  <c r="N402" i="5" s="1"/>
  <c r="K64" i="5"/>
  <c r="J64" i="5"/>
  <c r="L451" i="5"/>
  <c r="M683" i="5"/>
  <c r="N683" i="5" s="1"/>
  <c r="L683" i="5"/>
  <c r="K683" i="5"/>
  <c r="J683" i="5"/>
  <c r="L252" i="5"/>
  <c r="M169" i="5"/>
  <c r="N169" i="5" s="1"/>
  <c r="M489" i="5"/>
  <c r="N489" i="5" s="1"/>
  <c r="M915" i="5"/>
  <c r="N915" i="5" s="1"/>
  <c r="K148" i="5"/>
  <c r="M232" i="5"/>
  <c r="N232" i="5" s="1"/>
  <c r="J909" i="5"/>
  <c r="K772" i="5"/>
  <c r="M512" i="5"/>
  <c r="N512" i="5" s="1"/>
  <c r="J21" i="5"/>
  <c r="K607" i="5"/>
  <c r="M252" i="5"/>
  <c r="N252" i="5" s="1"/>
  <c r="J402" i="5"/>
  <c r="M187" i="5"/>
  <c r="N187" i="5" s="1"/>
  <c r="K909" i="5"/>
  <c r="M444" i="5"/>
  <c r="N444" i="5" s="1"/>
  <c r="K21" i="5"/>
  <c r="M430" i="5"/>
  <c r="N430" i="5" s="1"/>
  <c r="K402" i="5"/>
  <c r="J915" i="5"/>
  <c r="L909" i="5"/>
  <c r="L21" i="5"/>
  <c r="K915" i="5"/>
  <c r="M717" i="5"/>
  <c r="N717" i="5" s="1"/>
  <c r="M830" i="5"/>
  <c r="N830" i="5" s="1"/>
  <c r="K536" i="5"/>
  <c r="L536" i="5"/>
  <c r="M581" i="5"/>
  <c r="N581" i="5" s="1"/>
  <c r="M585" i="5"/>
  <c r="N585" i="5" s="1"/>
  <c r="M999" i="5"/>
  <c r="N999" i="5" s="1"/>
  <c r="M693" i="5"/>
  <c r="N693" i="5" s="1"/>
  <c r="K552" i="5"/>
  <c r="M375" i="5"/>
  <c r="N375" i="5" s="1"/>
  <c r="J510" i="5"/>
  <c r="K662" i="5"/>
  <c r="J536" i="5"/>
  <c r="L581" i="5"/>
  <c r="J581" i="5"/>
  <c r="K510" i="5"/>
  <c r="L662" i="5"/>
  <c r="M536" i="5"/>
  <c r="N536" i="5" s="1"/>
  <c r="M974" i="5"/>
  <c r="N974" i="5" s="1"/>
  <c r="K492" i="5"/>
  <c r="L492" i="5"/>
  <c r="M986" i="5"/>
  <c r="N986" i="5" s="1"/>
  <c r="M552" i="5"/>
  <c r="N552" i="5" s="1"/>
  <c r="J109" i="5"/>
  <c r="K109" i="5"/>
  <c r="M178" i="5"/>
  <c r="N178" i="5" s="1"/>
  <c r="L178" i="5"/>
  <c r="K178" i="5"/>
  <c r="J178" i="5"/>
  <c r="J492" i="5"/>
  <c r="M393" i="5"/>
  <c r="N393" i="5" s="1"/>
  <c r="K559" i="5"/>
  <c r="M33" i="5"/>
  <c r="N33" i="5" s="1"/>
  <c r="M92" i="5"/>
  <c r="N92" i="5" s="1"/>
  <c r="M946" i="5"/>
  <c r="N946" i="5" s="1"/>
  <c r="K946" i="5"/>
  <c r="M559" i="5"/>
  <c r="N559" i="5" s="1"/>
  <c r="M487" i="5"/>
  <c r="N487" i="5" s="1"/>
  <c r="M120" i="5"/>
  <c r="N120" i="5" s="1"/>
  <c r="J974" i="5"/>
  <c r="J187" i="5"/>
  <c r="M105" i="5"/>
  <c r="N105" i="5" s="1"/>
  <c r="K107" i="5"/>
  <c r="J107" i="5"/>
  <c r="K974" i="5"/>
  <c r="K290" i="5"/>
  <c r="J290" i="5"/>
  <c r="M964" i="5"/>
  <c r="N964" i="5" s="1"/>
  <c r="K717" i="5"/>
  <c r="J278" i="5"/>
  <c r="J329" i="5"/>
  <c r="M940" i="5"/>
  <c r="N940" i="5" s="1"/>
  <c r="K119" i="5"/>
  <c r="K240" i="5"/>
  <c r="M107" i="5"/>
  <c r="N107" i="5" s="1"/>
  <c r="L290" i="5"/>
  <c r="K329" i="5"/>
  <c r="L240" i="5"/>
  <c r="L19" i="5"/>
  <c r="J19" i="5"/>
  <c r="M290" i="5"/>
  <c r="N290" i="5" s="1"/>
  <c r="M152" i="5"/>
  <c r="N152" i="5" s="1"/>
  <c r="L152" i="5"/>
  <c r="K152" i="5"/>
  <c r="J152" i="5"/>
  <c r="M130" i="5"/>
  <c r="N130" i="5" s="1"/>
  <c r="M119" i="5"/>
  <c r="N119" i="5" s="1"/>
  <c r="M240" i="5"/>
  <c r="N240" i="5" s="1"/>
  <c r="M588" i="5"/>
  <c r="N588" i="5" s="1"/>
  <c r="M433" i="5"/>
  <c r="N433" i="5" s="1"/>
  <c r="M367" i="5"/>
  <c r="N367" i="5" s="1"/>
  <c r="J746" i="5"/>
  <c r="M19" i="5"/>
  <c r="N19" i="5" s="1"/>
  <c r="L433" i="5"/>
  <c r="J433" i="5"/>
  <c r="M554" i="5"/>
  <c r="N554" i="5" s="1"/>
  <c r="J33" i="5"/>
  <c r="M928" i="5"/>
  <c r="N928" i="5" s="1"/>
  <c r="J220" i="5"/>
  <c r="M274" i="5"/>
  <c r="N274" i="5" s="1"/>
  <c r="M244" i="5"/>
  <c r="N244" i="5" s="1"/>
  <c r="M746" i="5"/>
  <c r="N746" i="5" s="1"/>
  <c r="K33" i="5"/>
  <c r="L220" i="5"/>
  <c r="M981" i="5"/>
  <c r="N981" i="5" s="1"/>
  <c r="L817" i="5"/>
  <c r="M658" i="5"/>
  <c r="N658" i="5" s="1"/>
  <c r="M583" i="5"/>
  <c r="N583" i="5" s="1"/>
  <c r="J469" i="5"/>
  <c r="J640" i="5"/>
  <c r="W640" i="5" s="1"/>
  <c r="M817" i="5"/>
  <c r="N817" i="5" s="1"/>
  <c r="M298" i="5"/>
  <c r="N298" i="5" s="1"/>
  <c r="J689" i="5"/>
  <c r="K640" i="5"/>
  <c r="M911" i="5"/>
  <c r="N911" i="5" s="1"/>
  <c r="J401" i="5"/>
  <c r="K434" i="5"/>
  <c r="M571" i="5"/>
  <c r="N571" i="5" s="1"/>
  <c r="M859" i="5"/>
  <c r="N859" i="5" s="1"/>
  <c r="L874" i="5"/>
  <c r="K874" i="5"/>
  <c r="M874" i="5"/>
  <c r="N874" i="5" s="1"/>
  <c r="M689" i="5"/>
  <c r="N689" i="5" s="1"/>
  <c r="M401" i="5"/>
  <c r="N401" i="5" s="1"/>
  <c r="M856" i="5"/>
  <c r="N856" i="5" s="1"/>
  <c r="L856" i="5"/>
  <c r="K856" i="5"/>
  <c r="J856" i="5"/>
  <c r="J649" i="5"/>
  <c r="J265" i="5"/>
  <c r="K593" i="5"/>
  <c r="J593" i="5"/>
  <c r="P593" i="5" s="1"/>
  <c r="J42" i="5"/>
  <c r="J704" i="5"/>
  <c r="K649" i="5"/>
  <c r="M247" i="5"/>
  <c r="N247" i="5" s="1"/>
  <c r="K42" i="5"/>
  <c r="M593" i="5"/>
  <c r="N593" i="5" s="1"/>
  <c r="L42" i="5"/>
  <c r="K588" i="5"/>
  <c r="M220" i="5"/>
  <c r="N220" i="5" s="1"/>
  <c r="J129" i="5"/>
  <c r="K981" i="5"/>
  <c r="M649" i="5"/>
  <c r="N649" i="5" s="1"/>
  <c r="J817" i="5"/>
  <c r="K658" i="5"/>
  <c r="K583" i="5"/>
  <c r="M265" i="5"/>
  <c r="N265" i="5" s="1"/>
  <c r="J247" i="5"/>
  <c r="M730" i="5"/>
  <c r="N730" i="5" s="1"/>
  <c r="L730" i="5"/>
  <c r="K730" i="5"/>
  <c r="J730" i="5"/>
  <c r="M704" i="5"/>
  <c r="N704" i="5" s="1"/>
  <c r="M79" i="5"/>
  <c r="N79" i="5" s="1"/>
  <c r="K247" i="5"/>
  <c r="J416" i="5"/>
  <c r="K229" i="5"/>
  <c r="L328" i="5"/>
  <c r="M392" i="5"/>
  <c r="N392" i="5" s="1"/>
  <c r="K710" i="5"/>
  <c r="L769" i="5"/>
  <c r="M883" i="5"/>
  <c r="N883" i="5" s="1"/>
  <c r="K991" i="5"/>
  <c r="M270" i="5"/>
  <c r="N270" i="5" s="1"/>
  <c r="J551" i="5"/>
  <c r="K416" i="5"/>
  <c r="L229" i="5"/>
  <c r="M328" i="5"/>
  <c r="N328" i="5" s="1"/>
  <c r="M769" i="5"/>
  <c r="N769" i="5" s="1"/>
  <c r="M357" i="5"/>
  <c r="N357" i="5" s="1"/>
  <c r="K551" i="5"/>
  <c r="M229" i="5"/>
  <c r="N229" i="5" s="1"/>
  <c r="M710" i="5"/>
  <c r="N710" i="5" s="1"/>
  <c r="M991" i="5"/>
  <c r="N991" i="5" s="1"/>
  <c r="L551" i="5"/>
  <c r="M416" i="5"/>
  <c r="N416" i="5" s="1"/>
  <c r="M551" i="5"/>
  <c r="N551" i="5" s="1"/>
  <c r="K608" i="5"/>
  <c r="K533" i="5"/>
  <c r="J219" i="5"/>
  <c r="P219" i="5" s="1"/>
  <c r="J667" i="5"/>
  <c r="K219" i="5"/>
  <c r="J162" i="5"/>
  <c r="K667" i="5"/>
  <c r="J41" i="5"/>
  <c r="K162" i="5"/>
  <c r="J90" i="5"/>
  <c r="J95" i="5"/>
  <c r="J136" i="5"/>
  <c r="K41" i="5"/>
  <c r="M667" i="5"/>
  <c r="N667" i="5" s="1"/>
  <c r="K95" i="5"/>
  <c r="M685" i="5"/>
  <c r="N685" i="5" s="1"/>
  <c r="J392" i="5"/>
  <c r="K136" i="5"/>
  <c r="M162" i="5"/>
  <c r="N162" i="5" s="1"/>
  <c r="J883" i="5"/>
  <c r="K622" i="5"/>
  <c r="M798" i="5"/>
  <c r="N798" i="5" s="1"/>
  <c r="J328" i="5"/>
  <c r="K392" i="5"/>
  <c r="M41" i="5"/>
  <c r="N41" i="5" s="1"/>
  <c r="M90" i="5"/>
  <c r="N90" i="5" s="1"/>
  <c r="M95" i="5"/>
  <c r="N95" i="5" s="1"/>
  <c r="M136" i="5"/>
  <c r="N136" i="5" s="1"/>
  <c r="T495" i="5" l="1"/>
  <c r="U495" i="5" s="1"/>
  <c r="AA898" i="5"/>
  <c r="AB898" i="5" s="1"/>
  <c r="AA365" i="5"/>
  <c r="AB365" i="5" s="1"/>
  <c r="AA697" i="5"/>
  <c r="AB697" i="5" s="1"/>
  <c r="T409" i="5"/>
  <c r="U409" i="5" s="1"/>
  <c r="AA419" i="5"/>
  <c r="AB419" i="5" s="1"/>
  <c r="AA228" i="5"/>
  <c r="AB228" i="5" s="1"/>
  <c r="AA787" i="5"/>
  <c r="AB787" i="5" s="1"/>
  <c r="AA233" i="5"/>
  <c r="AB233" i="5" s="1"/>
  <c r="AA688" i="5"/>
  <c r="AB688" i="5" s="1"/>
  <c r="X642" i="5"/>
  <c r="AA372" i="5"/>
  <c r="AB372" i="5" s="1"/>
  <c r="P686" i="5"/>
  <c r="W686" i="5"/>
  <c r="AA735" i="5"/>
  <c r="AB735" i="5" s="1"/>
  <c r="S80" i="5"/>
  <c r="AA891" i="5"/>
  <c r="AB891" i="5" s="1"/>
  <c r="P872" i="5"/>
  <c r="AA160" i="5"/>
  <c r="AB160" i="5" s="1"/>
  <c r="AA138" i="5"/>
  <c r="AB138" i="5" s="1"/>
  <c r="AA17" i="5"/>
  <c r="AB17" i="5" s="1"/>
  <c r="AA618" i="5"/>
  <c r="AB618" i="5" s="1"/>
  <c r="AA202" i="5"/>
  <c r="AB202" i="5" s="1"/>
  <c r="AA23" i="5"/>
  <c r="AB23" i="5" s="1"/>
  <c r="AA443" i="5"/>
  <c r="AB443" i="5" s="1"/>
  <c r="Q686" i="5"/>
  <c r="R345" i="5"/>
  <c r="S464" i="5"/>
  <c r="AA752" i="5"/>
  <c r="AB752" i="5" s="1"/>
  <c r="AA821" i="5"/>
  <c r="AB821" i="5" s="1"/>
  <c r="AA845" i="5"/>
  <c r="AB845" i="5" s="1"/>
  <c r="AA495" i="5"/>
  <c r="AB495" i="5" s="1"/>
  <c r="AA776" i="5"/>
  <c r="AB776" i="5" s="1"/>
  <c r="AA215" i="5"/>
  <c r="AB215" i="5" s="1"/>
  <c r="W515" i="5"/>
  <c r="P656" i="5"/>
  <c r="AA743" i="5"/>
  <c r="AB743" i="5" s="1"/>
  <c r="AA955" i="5"/>
  <c r="AB955" i="5" s="1"/>
  <c r="W656" i="5"/>
  <c r="S337" i="5"/>
  <c r="Q717" i="5"/>
  <c r="AA566" i="5"/>
  <c r="AB566" i="5" s="1"/>
  <c r="P356" i="5"/>
  <c r="AA973" i="5"/>
  <c r="AB973" i="5" s="1"/>
  <c r="AA651" i="5"/>
  <c r="AB651" i="5" s="1"/>
  <c r="AA257" i="5"/>
  <c r="AB257" i="5" s="1"/>
  <c r="AA454" i="5"/>
  <c r="AB454" i="5" s="1"/>
  <c r="AA128" i="5"/>
  <c r="AB128" i="5" s="1"/>
  <c r="AA775" i="5"/>
  <c r="AB775" i="5" s="1"/>
  <c r="AA934" i="5"/>
  <c r="AB934" i="5" s="1"/>
  <c r="AA900" i="5"/>
  <c r="AB900" i="5" s="1"/>
  <c r="Y533" i="5"/>
  <c r="R533" i="5"/>
  <c r="Y247" i="5"/>
  <c r="R247" i="5"/>
  <c r="X392" i="5"/>
  <c r="Q392" i="5"/>
  <c r="W392" i="5"/>
  <c r="P392" i="5"/>
  <c r="X445" i="5"/>
  <c r="Q445" i="5"/>
  <c r="Z312" i="5"/>
  <c r="S312" i="5"/>
  <c r="Y207" i="5"/>
  <c r="R207" i="5"/>
  <c r="Y320" i="5"/>
  <c r="R320" i="5"/>
  <c r="X320" i="5"/>
  <c r="Y392" i="5"/>
  <c r="R392" i="5"/>
  <c r="X41" i="5"/>
  <c r="Q41" i="5"/>
  <c r="P41" i="5"/>
  <c r="W41" i="5"/>
  <c r="Z769" i="5"/>
  <c r="S769" i="5"/>
  <c r="Y658" i="5"/>
  <c r="R658" i="5"/>
  <c r="Q658" i="5"/>
  <c r="X658" i="5"/>
  <c r="X265" i="5"/>
  <c r="Q265" i="5"/>
  <c r="W265" i="5"/>
  <c r="P265" i="5"/>
  <c r="Y640" i="5"/>
  <c r="R640" i="5"/>
  <c r="Z817" i="5"/>
  <c r="S817" i="5"/>
  <c r="Y240" i="5"/>
  <c r="R240" i="5"/>
  <c r="Y290" i="5"/>
  <c r="R290" i="5"/>
  <c r="X492" i="5"/>
  <c r="Q492" i="5"/>
  <c r="Z581" i="5"/>
  <c r="S581" i="5"/>
  <c r="Z909" i="5"/>
  <c r="S909" i="5"/>
  <c r="X402" i="5"/>
  <c r="Q402" i="5"/>
  <c r="P402" i="5"/>
  <c r="Y148" i="5"/>
  <c r="R148" i="5"/>
  <c r="Y451" i="5"/>
  <c r="R451" i="5"/>
  <c r="X451" i="5"/>
  <c r="Y557" i="5"/>
  <c r="R557" i="5"/>
  <c r="X747" i="5"/>
  <c r="Q747" i="5"/>
  <c r="Y986" i="5"/>
  <c r="R986" i="5"/>
  <c r="Z84" i="5"/>
  <c r="S84" i="5"/>
  <c r="X149" i="5"/>
  <c r="Q149" i="5"/>
  <c r="X336" i="5"/>
  <c r="Q336" i="5"/>
  <c r="W336" i="5"/>
  <c r="P336" i="5"/>
  <c r="Y311" i="5"/>
  <c r="R311" i="5"/>
  <c r="Y514" i="5"/>
  <c r="R514" i="5"/>
  <c r="X759" i="5"/>
  <c r="Q759" i="5"/>
  <c r="X91" i="5"/>
  <c r="Q91" i="5"/>
  <c r="W91" i="5"/>
  <c r="P91" i="5"/>
  <c r="X414" i="5"/>
  <c r="Q414" i="5"/>
  <c r="W414" i="5"/>
  <c r="X959" i="5"/>
  <c r="Q959" i="5"/>
  <c r="P959" i="5"/>
  <c r="W959" i="5"/>
  <c r="X846" i="5"/>
  <c r="Q846" i="5"/>
  <c r="P846" i="5"/>
  <c r="Y594" i="5"/>
  <c r="R594" i="5"/>
  <c r="Y286" i="5"/>
  <c r="R286" i="5"/>
  <c r="Y55" i="5"/>
  <c r="R55" i="5"/>
  <c r="X112" i="5"/>
  <c r="Q112" i="5"/>
  <c r="W112" i="5"/>
  <c r="P112" i="5"/>
  <c r="X777" i="5"/>
  <c r="Q777" i="5"/>
  <c r="W777" i="5"/>
  <c r="P777" i="5"/>
  <c r="X766" i="5"/>
  <c r="Q766" i="5"/>
  <c r="W766" i="5"/>
  <c r="P766" i="5"/>
  <c r="Y279" i="5"/>
  <c r="R279" i="5"/>
  <c r="Y332" i="5"/>
  <c r="R332" i="5"/>
  <c r="Y267" i="5"/>
  <c r="R267" i="5"/>
  <c r="Z404" i="5"/>
  <c r="S404" i="5"/>
  <c r="X294" i="5"/>
  <c r="Q294" i="5"/>
  <c r="W294" i="5"/>
  <c r="P294" i="5"/>
  <c r="Z741" i="5"/>
  <c r="S741" i="5"/>
  <c r="Z659" i="5"/>
  <c r="S659" i="5"/>
  <c r="Z467" i="5"/>
  <c r="S467" i="5"/>
  <c r="Z338" i="5"/>
  <c r="S338" i="5"/>
  <c r="Z287" i="5"/>
  <c r="S287" i="5"/>
  <c r="Y319" i="5"/>
  <c r="R319" i="5"/>
  <c r="Y831" i="5"/>
  <c r="R831" i="5"/>
  <c r="X831" i="5"/>
  <c r="Q831" i="5"/>
  <c r="W831" i="5"/>
  <c r="P831" i="5"/>
  <c r="X954" i="5"/>
  <c r="Q954" i="5"/>
  <c r="W954" i="5"/>
  <c r="Y29" i="5"/>
  <c r="R29" i="5"/>
  <c r="X461" i="5"/>
  <c r="Q461" i="5"/>
  <c r="W461" i="5"/>
  <c r="P461" i="5"/>
  <c r="Y479" i="5"/>
  <c r="R479" i="5"/>
  <c r="Z875" i="5"/>
  <c r="S875" i="5"/>
  <c r="X894" i="5"/>
  <c r="Q894" i="5"/>
  <c r="W894" i="5"/>
  <c r="P894" i="5"/>
  <c r="Z117" i="5"/>
  <c r="S117" i="5"/>
  <c r="X108" i="5"/>
  <c r="Q108" i="5"/>
  <c r="W108" i="5"/>
  <c r="P108" i="5"/>
  <c r="X24" i="5"/>
  <c r="Q24" i="5"/>
  <c r="Y262" i="5"/>
  <c r="R262" i="5"/>
  <c r="X318" i="5"/>
  <c r="Q318" i="5"/>
  <c r="W318" i="5"/>
  <c r="P318" i="5"/>
  <c r="Z147" i="5"/>
  <c r="S147" i="5"/>
  <c r="X22" i="5"/>
  <c r="Q22" i="5"/>
  <c r="X87" i="5"/>
  <c r="Q87" i="5"/>
  <c r="W87" i="5"/>
  <c r="P87" i="5"/>
  <c r="X905" i="5"/>
  <c r="Q905" i="5"/>
  <c r="Y300" i="5"/>
  <c r="R300" i="5"/>
  <c r="X435" i="5"/>
  <c r="Q435" i="5"/>
  <c r="W435" i="5"/>
  <c r="X284" i="5"/>
  <c r="Q284" i="5"/>
  <c r="W284" i="5"/>
  <c r="P284" i="5"/>
  <c r="Y425" i="5"/>
  <c r="R425" i="5"/>
  <c r="X699" i="5"/>
  <c r="Q699" i="5"/>
  <c r="W699" i="5"/>
  <c r="P699" i="5"/>
  <c r="Z85" i="5"/>
  <c r="S85" i="5"/>
  <c r="Z243" i="5"/>
  <c r="S243" i="5"/>
  <c r="Z22" i="5"/>
  <c r="S22" i="5"/>
  <c r="Z180" i="5"/>
  <c r="S180" i="5"/>
  <c r="Y85" i="5"/>
  <c r="R85" i="5"/>
  <c r="Z28" i="5"/>
  <c r="S28" i="5"/>
  <c r="X788" i="5"/>
  <c r="Q788" i="5"/>
  <c r="P788" i="5"/>
  <c r="Y28" i="5"/>
  <c r="R28" i="5"/>
  <c r="Y895" i="5"/>
  <c r="R895" i="5"/>
  <c r="Y778" i="5"/>
  <c r="R778" i="5"/>
  <c r="Y578" i="5"/>
  <c r="R578" i="5"/>
  <c r="Y969" i="5"/>
  <c r="R969" i="5"/>
  <c r="X948" i="5"/>
  <c r="Q948" i="5"/>
  <c r="X275" i="5"/>
  <c r="Q275" i="5"/>
  <c r="W275" i="5"/>
  <c r="P275" i="5"/>
  <c r="Y876" i="5"/>
  <c r="R876" i="5"/>
  <c r="Y144" i="5"/>
  <c r="R144" i="5"/>
  <c r="Z639" i="5"/>
  <c r="S639" i="5"/>
  <c r="R639" i="5"/>
  <c r="Y639" i="5"/>
  <c r="X268" i="5"/>
  <c r="Q268" i="5"/>
  <c r="W268" i="5"/>
  <c r="X632" i="5"/>
  <c r="Q632" i="5"/>
  <c r="X602" i="5"/>
  <c r="Q602" i="5"/>
  <c r="W602" i="5"/>
  <c r="P602" i="5"/>
  <c r="Y474" i="5"/>
  <c r="R474" i="5"/>
  <c r="X186" i="5"/>
  <c r="Q186" i="5"/>
  <c r="Y101" i="5"/>
  <c r="R101" i="5"/>
  <c r="Y703" i="5"/>
  <c r="R703" i="5"/>
  <c r="X271" i="5"/>
  <c r="Q271" i="5"/>
  <c r="P271" i="5"/>
  <c r="W271" i="5"/>
  <c r="X437" i="5"/>
  <c r="Q437" i="5"/>
  <c r="Y343" i="5"/>
  <c r="R343" i="5"/>
  <c r="X70" i="5"/>
  <c r="Q70" i="5"/>
  <c r="W70" i="5"/>
  <c r="P70" i="5"/>
  <c r="Z314" i="5"/>
  <c r="S314" i="5"/>
  <c r="X853" i="5"/>
  <c r="Q853" i="5"/>
  <c r="X309" i="5"/>
  <c r="Q309" i="5"/>
  <c r="X610" i="5"/>
  <c r="Q610" i="5"/>
  <c r="X725" i="5"/>
  <c r="Q725" i="5"/>
  <c r="Z925" i="5"/>
  <c r="S925" i="5"/>
  <c r="X949" i="5"/>
  <c r="Q949" i="5"/>
  <c r="W949" i="5"/>
  <c r="P949" i="5"/>
  <c r="X706" i="5"/>
  <c r="Q706" i="5"/>
  <c r="P706" i="5"/>
  <c r="X612" i="5"/>
  <c r="Q612" i="5"/>
  <c r="W612" i="5"/>
  <c r="P612" i="5"/>
  <c r="Y81" i="5"/>
  <c r="R81" i="5"/>
  <c r="X68" i="5"/>
  <c r="Q68" i="5"/>
  <c r="Z171" i="5"/>
  <c r="S171" i="5"/>
  <c r="Y281" i="5"/>
  <c r="R281" i="5"/>
  <c r="X281" i="5"/>
  <c r="Q281" i="5"/>
  <c r="Z161" i="5"/>
  <c r="S161" i="5"/>
  <c r="Z66" i="5"/>
  <c r="S66" i="5"/>
  <c r="X403" i="5"/>
  <c r="Q403" i="5"/>
  <c r="P403" i="5"/>
  <c r="W403" i="5"/>
  <c r="Y66" i="5"/>
  <c r="R66" i="5"/>
  <c r="X436" i="5"/>
  <c r="Q436" i="5"/>
  <c r="W436" i="5"/>
  <c r="P436" i="5"/>
  <c r="X669" i="5"/>
  <c r="Q669" i="5"/>
  <c r="W669" i="5"/>
  <c r="P669" i="5"/>
  <c r="Z103" i="5"/>
  <c r="S103" i="5"/>
  <c r="X931" i="5"/>
  <c r="Q931" i="5"/>
  <c r="Z670" i="5"/>
  <c r="S670" i="5"/>
  <c r="Z716" i="5"/>
  <c r="S716" i="5"/>
  <c r="Y1001" i="5"/>
  <c r="R1001" i="5"/>
  <c r="X480" i="5"/>
  <c r="Q480" i="5"/>
  <c r="W480" i="5"/>
  <c r="Y715" i="5"/>
  <c r="R715" i="5"/>
  <c r="Z655" i="5"/>
  <c r="S655" i="5"/>
  <c r="X300" i="5"/>
  <c r="Q300" i="5"/>
  <c r="W300" i="5"/>
  <c r="P300" i="5"/>
  <c r="Z277" i="5"/>
  <c r="S277" i="5"/>
  <c r="Y637" i="5"/>
  <c r="R637" i="5"/>
  <c r="Z713" i="5"/>
  <c r="S713" i="5"/>
  <c r="Z634" i="5"/>
  <c r="S634" i="5"/>
  <c r="X518" i="5"/>
  <c r="Q518" i="5"/>
  <c r="P518" i="5"/>
  <c r="X880" i="5"/>
  <c r="Q880" i="5"/>
  <c r="X654" i="5"/>
  <c r="Q654" i="5"/>
  <c r="Y724" i="5"/>
  <c r="R724" i="5"/>
  <c r="Z90" i="5"/>
  <c r="S90" i="5"/>
  <c r="Z501" i="5"/>
  <c r="S501" i="5"/>
  <c r="Y912" i="5"/>
  <c r="R912" i="5"/>
  <c r="Y517" i="5"/>
  <c r="R517" i="5"/>
  <c r="Z81" i="5"/>
  <c r="S81" i="5"/>
  <c r="X81" i="5"/>
  <c r="Q81" i="5"/>
  <c r="P81" i="5"/>
  <c r="Z800" i="5"/>
  <c r="S800" i="5"/>
  <c r="Z721" i="5"/>
  <c r="S721" i="5"/>
  <c r="X881" i="5"/>
  <c r="Q881" i="5"/>
  <c r="X287" i="5"/>
  <c r="Q287" i="5"/>
  <c r="Z996" i="5"/>
  <c r="S996" i="5"/>
  <c r="Z151" i="5"/>
  <c r="S151" i="5"/>
  <c r="X710" i="5"/>
  <c r="Q710" i="5"/>
  <c r="W710" i="5"/>
  <c r="P710" i="5"/>
  <c r="X798" i="5"/>
  <c r="Q798" i="5"/>
  <c r="W798" i="5"/>
  <c r="P798" i="5"/>
  <c r="X572" i="5"/>
  <c r="Q572" i="5"/>
  <c r="Y293" i="5"/>
  <c r="R293" i="5"/>
  <c r="Z962" i="5"/>
  <c r="S962" i="5"/>
  <c r="Y611" i="5"/>
  <c r="R611" i="5"/>
  <c r="Y641" i="5"/>
  <c r="R641" i="5"/>
  <c r="X225" i="5"/>
  <c r="Q225" i="5"/>
  <c r="P225" i="5"/>
  <c r="W225" i="5"/>
  <c r="Y190" i="5"/>
  <c r="R190" i="5"/>
  <c r="X116" i="5"/>
  <c r="Q116" i="5"/>
  <c r="Y613" i="5"/>
  <c r="R613" i="5"/>
  <c r="X51" i="5"/>
  <c r="Q51" i="5"/>
  <c r="W51" i="5"/>
  <c r="P51" i="5"/>
  <c r="X748" i="5"/>
  <c r="Q748" i="5"/>
  <c r="Z599" i="5"/>
  <c r="S599" i="5"/>
  <c r="Y375" i="5"/>
  <c r="R375" i="5"/>
  <c r="X442" i="5"/>
  <c r="Q442" i="5"/>
  <c r="W442" i="5"/>
  <c r="P442" i="5"/>
  <c r="X394" i="5"/>
  <c r="Q394" i="5"/>
  <c r="P394" i="5"/>
  <c r="W394" i="5"/>
  <c r="Z78" i="5"/>
  <c r="S78" i="5"/>
  <c r="Z111" i="5"/>
  <c r="S111" i="5"/>
  <c r="Z620" i="5"/>
  <c r="S620" i="5"/>
  <c r="Z43" i="5"/>
  <c r="S43" i="5"/>
  <c r="X740" i="5"/>
  <c r="Q740" i="5"/>
  <c r="P740" i="5"/>
  <c r="W740" i="5"/>
  <c r="X861" i="5"/>
  <c r="Q861" i="5"/>
  <c r="W861" i="5"/>
  <c r="P861" i="5"/>
  <c r="X928" i="5"/>
  <c r="Q928" i="5"/>
  <c r="P928" i="5"/>
  <c r="W928" i="5"/>
  <c r="X431" i="5"/>
  <c r="Q431" i="5"/>
  <c r="W431" i="5"/>
  <c r="X952" i="5"/>
  <c r="Q952" i="5"/>
  <c r="W952" i="5"/>
  <c r="P952" i="5"/>
  <c r="X617" i="5"/>
  <c r="Q617" i="5"/>
  <c r="W617" i="5"/>
  <c r="X991" i="5"/>
  <c r="Q991" i="5"/>
  <c r="W991" i="5"/>
  <c r="P991" i="5"/>
  <c r="Y509" i="5"/>
  <c r="R509" i="5"/>
  <c r="Y141" i="5"/>
  <c r="R141" i="5"/>
  <c r="Y420" i="5"/>
  <c r="R420" i="5"/>
  <c r="X295" i="5"/>
  <c r="Q295" i="5"/>
  <c r="Z762" i="5"/>
  <c r="S762" i="5"/>
  <c r="Y261" i="5"/>
  <c r="R261" i="5"/>
  <c r="X302" i="5"/>
  <c r="Q302" i="5"/>
  <c r="P302" i="5"/>
  <c r="X393" i="5"/>
  <c r="Q393" i="5"/>
  <c r="Y596" i="5"/>
  <c r="R596" i="5"/>
  <c r="Z393" i="5"/>
  <c r="S393" i="5"/>
  <c r="X596" i="5"/>
  <c r="Q596" i="5"/>
  <c r="Z704" i="5"/>
  <c r="S704" i="5"/>
  <c r="Z652" i="5"/>
  <c r="S652" i="5"/>
  <c r="X607" i="5"/>
  <c r="Q607" i="5"/>
  <c r="X133" i="5"/>
  <c r="Q133" i="5"/>
  <c r="Z505" i="5"/>
  <c r="S505" i="5"/>
  <c r="Z270" i="5"/>
  <c r="S270" i="5"/>
  <c r="X386" i="5"/>
  <c r="Q386" i="5"/>
  <c r="X100" i="5"/>
  <c r="Q100" i="5"/>
  <c r="W100" i="5"/>
  <c r="P100" i="5"/>
  <c r="X836" i="5"/>
  <c r="Q836" i="5"/>
  <c r="Z49" i="5"/>
  <c r="S49" i="5"/>
  <c r="Y339" i="5"/>
  <c r="R339" i="5"/>
  <c r="X357" i="5"/>
  <c r="Q357" i="5"/>
  <c r="W357" i="5"/>
  <c r="Y139" i="5"/>
  <c r="R139" i="5"/>
  <c r="Z449" i="5"/>
  <c r="S449" i="5"/>
  <c r="Z268" i="5"/>
  <c r="S268" i="5"/>
  <c r="Z284" i="5"/>
  <c r="S284" i="5"/>
  <c r="X511" i="5"/>
  <c r="Q511" i="5"/>
  <c r="P511" i="5"/>
  <c r="W511" i="5"/>
  <c r="Y150" i="5"/>
  <c r="R150" i="5"/>
  <c r="Y368" i="5"/>
  <c r="R368" i="5"/>
  <c r="Y773" i="5"/>
  <c r="R773" i="5"/>
  <c r="X773" i="5"/>
  <c r="Q773" i="5"/>
  <c r="W773" i="5"/>
  <c r="Y655" i="5"/>
  <c r="R655" i="5"/>
  <c r="Z347" i="5"/>
  <c r="S347" i="5"/>
  <c r="Z803" i="5"/>
  <c r="S803" i="5"/>
  <c r="Y477" i="5"/>
  <c r="R477" i="5"/>
  <c r="Y225" i="5"/>
  <c r="R225" i="5"/>
  <c r="Y790" i="5"/>
  <c r="R790" i="5"/>
  <c r="X530" i="5"/>
  <c r="Q530" i="5"/>
  <c r="X509" i="5"/>
  <c r="Q509" i="5"/>
  <c r="Z960" i="5"/>
  <c r="S960" i="5"/>
  <c r="Y850" i="5"/>
  <c r="R850" i="5"/>
  <c r="Z15" i="5"/>
  <c r="S15" i="5"/>
  <c r="Y265" i="5"/>
  <c r="R265" i="5"/>
  <c r="Z46" i="5"/>
  <c r="S46" i="5"/>
  <c r="Y223" i="5"/>
  <c r="R223" i="5"/>
  <c r="Z707" i="5"/>
  <c r="S707" i="5"/>
  <c r="Z55" i="5"/>
  <c r="S55" i="5"/>
  <c r="Y661" i="5"/>
  <c r="R661" i="5"/>
  <c r="X895" i="5"/>
  <c r="Q895" i="5"/>
  <c r="Z107" i="5"/>
  <c r="S107" i="5"/>
  <c r="Y769" i="5"/>
  <c r="R769" i="5"/>
  <c r="Z706" i="5"/>
  <c r="S706" i="5"/>
  <c r="Z477" i="5"/>
  <c r="S477" i="5"/>
  <c r="Z51" i="5"/>
  <c r="S51" i="5"/>
  <c r="Z630" i="5"/>
  <c r="S630" i="5"/>
  <c r="X753" i="5"/>
  <c r="Q753" i="5"/>
  <c r="W753" i="5"/>
  <c r="P753" i="5"/>
  <c r="X240" i="5"/>
  <c r="Q240" i="5"/>
  <c r="W240" i="5"/>
  <c r="P240" i="5"/>
  <c r="Z685" i="5"/>
  <c r="S685" i="5"/>
  <c r="Z460" i="5"/>
  <c r="S460" i="5"/>
  <c r="Z221" i="5"/>
  <c r="S221" i="5"/>
  <c r="Y502" i="5"/>
  <c r="R502" i="5"/>
  <c r="Z24" i="5"/>
  <c r="S24" i="5"/>
  <c r="X947" i="5"/>
  <c r="Q947" i="5"/>
  <c r="W947" i="5"/>
  <c r="P947" i="5"/>
  <c r="Z650" i="5"/>
  <c r="S650" i="5"/>
  <c r="Z830" i="5"/>
  <c r="S830" i="5"/>
  <c r="Z166" i="5"/>
  <c r="S166" i="5"/>
  <c r="Z519" i="5"/>
  <c r="S519" i="5"/>
  <c r="X517" i="5"/>
  <c r="Q517" i="5"/>
  <c r="W517" i="5"/>
  <c r="P517" i="5"/>
  <c r="Z617" i="5"/>
  <c r="S617" i="5"/>
  <c r="Y364" i="5"/>
  <c r="R364" i="5"/>
  <c r="Y351" i="5"/>
  <c r="R351" i="5"/>
  <c r="X390" i="5"/>
  <c r="Q390" i="5"/>
  <c r="W390" i="5"/>
  <c r="P390" i="5"/>
  <c r="Z749" i="5"/>
  <c r="S749" i="5"/>
  <c r="X992" i="5"/>
  <c r="Q992" i="5"/>
  <c r="P992" i="5"/>
  <c r="W992" i="5"/>
  <c r="Z831" i="5"/>
  <c r="S831" i="5"/>
  <c r="Z297" i="5"/>
  <c r="S297" i="5"/>
  <c r="Y120" i="5"/>
  <c r="R120" i="5"/>
  <c r="P931" i="5"/>
  <c r="Z953" i="5"/>
  <c r="S953" i="5"/>
  <c r="W68" i="5"/>
  <c r="W114" i="5"/>
  <c r="AA826" i="5"/>
  <c r="AB826" i="5" s="1"/>
  <c r="AA131" i="5"/>
  <c r="AB131" i="5" s="1"/>
  <c r="AA700" i="5"/>
  <c r="AB700" i="5" s="1"/>
  <c r="AA520" i="5"/>
  <c r="AB520" i="5" s="1"/>
  <c r="AA232" i="5"/>
  <c r="AB232" i="5" s="1"/>
  <c r="AA92" i="5"/>
  <c r="AB92" i="5" s="1"/>
  <c r="X417" i="5"/>
  <c r="Q417" i="5"/>
  <c r="W417" i="5"/>
  <c r="P417" i="5"/>
  <c r="W302" i="5"/>
  <c r="AA262" i="5"/>
  <c r="AB262" i="5" s="1"/>
  <c r="W518" i="5"/>
  <c r="Y580" i="5"/>
  <c r="R580" i="5"/>
  <c r="W81" i="5"/>
  <c r="Z430" i="5"/>
  <c r="S430" i="5"/>
  <c r="Y753" i="5"/>
  <c r="R753" i="5"/>
  <c r="X594" i="5"/>
  <c r="Q594" i="5"/>
  <c r="Y95" i="5"/>
  <c r="R95" i="5"/>
  <c r="X817" i="5"/>
  <c r="Q817" i="5"/>
  <c r="P817" i="5"/>
  <c r="Z492" i="5"/>
  <c r="S492" i="5"/>
  <c r="X536" i="5"/>
  <c r="Q536" i="5"/>
  <c r="P536" i="5"/>
  <c r="X915" i="5"/>
  <c r="Q915" i="5"/>
  <c r="W915" i="5"/>
  <c r="P915" i="5"/>
  <c r="Y143" i="5"/>
  <c r="R143" i="5"/>
  <c r="Y232" i="5"/>
  <c r="R232" i="5"/>
  <c r="Y968" i="5"/>
  <c r="R968" i="5"/>
  <c r="X696" i="5"/>
  <c r="Q696" i="5"/>
  <c r="P696" i="5"/>
  <c r="W696" i="5"/>
  <c r="X311" i="5"/>
  <c r="Q311" i="5"/>
  <c r="Y91" i="5"/>
  <c r="R91" i="5"/>
  <c r="Z594" i="5"/>
  <c r="S594" i="5"/>
  <c r="X985" i="5"/>
  <c r="Q985" i="5"/>
  <c r="X982" i="5"/>
  <c r="Q982" i="5"/>
  <c r="W982" i="5"/>
  <c r="P982" i="5"/>
  <c r="Y903" i="5"/>
  <c r="R903" i="5"/>
  <c r="X903" i="5"/>
  <c r="X172" i="5"/>
  <c r="Q172" i="5"/>
  <c r="Z267" i="5"/>
  <c r="S267" i="5"/>
  <c r="Y294" i="5"/>
  <c r="R294" i="5"/>
  <c r="Y668" i="5"/>
  <c r="R668" i="5"/>
  <c r="Z623" i="5"/>
  <c r="S623" i="5"/>
  <c r="X174" i="5"/>
  <c r="Q174" i="5"/>
  <c r="W174" i="5"/>
  <c r="P174" i="5"/>
  <c r="X630" i="5"/>
  <c r="Q630" i="5"/>
  <c r="W630" i="5"/>
  <c r="P630" i="5"/>
  <c r="X614" i="5"/>
  <c r="Q614" i="5"/>
  <c r="W614" i="5"/>
  <c r="P614" i="5"/>
  <c r="Y638" i="5"/>
  <c r="R638" i="5"/>
  <c r="Z29" i="5"/>
  <c r="S29" i="5"/>
  <c r="Y461" i="5"/>
  <c r="R461" i="5"/>
  <c r="Y600" i="5"/>
  <c r="AA600" i="5" s="1"/>
  <c r="AB600" i="5" s="1"/>
  <c r="R600" i="5"/>
  <c r="Y49" i="5"/>
  <c r="R49" i="5"/>
  <c r="Y894" i="5"/>
  <c r="R894" i="5"/>
  <c r="X663" i="5"/>
  <c r="Q663" i="5"/>
  <c r="Y108" i="5"/>
  <c r="R108" i="5"/>
  <c r="Z970" i="5"/>
  <c r="S970" i="5"/>
  <c r="X652" i="5"/>
  <c r="Q652" i="5"/>
  <c r="W652" i="5"/>
  <c r="P652" i="5"/>
  <c r="Z499" i="5"/>
  <c r="S499" i="5"/>
  <c r="Z939" i="5"/>
  <c r="S939" i="5"/>
  <c r="X53" i="5"/>
  <c r="Q53" i="5"/>
  <c r="X939" i="5"/>
  <c r="Q939" i="5"/>
  <c r="W939" i="5"/>
  <c r="X242" i="5"/>
  <c r="Q242" i="5"/>
  <c r="Y922" i="5"/>
  <c r="R922" i="5"/>
  <c r="Z425" i="5"/>
  <c r="S425" i="5"/>
  <c r="Z699" i="5"/>
  <c r="S699" i="5"/>
  <c r="Y672" i="5"/>
  <c r="R672" i="5"/>
  <c r="Y828" i="5"/>
  <c r="R828" i="5"/>
  <c r="Y201" i="5"/>
  <c r="R201" i="5"/>
  <c r="Q201" i="5"/>
  <c r="X201" i="5"/>
  <c r="Y497" i="5"/>
  <c r="R497" i="5"/>
  <c r="X497" i="5"/>
  <c r="Q497" i="5"/>
  <c r="Y216" i="5"/>
  <c r="R216" i="5"/>
  <c r="Y788" i="5"/>
  <c r="R788" i="5"/>
  <c r="X3" i="5"/>
  <c r="Q3" i="5"/>
  <c r="W3" i="5"/>
  <c r="P3" i="5"/>
  <c r="X584" i="5"/>
  <c r="Q584" i="5"/>
  <c r="X553" i="5"/>
  <c r="AA553" i="5" s="1"/>
  <c r="AB553" i="5" s="1"/>
  <c r="Q553" i="5"/>
  <c r="X50" i="5"/>
  <c r="Q50" i="5"/>
  <c r="X591" i="5"/>
  <c r="Q591" i="5"/>
  <c r="X259" i="5"/>
  <c r="Q259" i="5"/>
  <c r="P259" i="5"/>
  <c r="X500" i="5"/>
  <c r="Q500" i="5"/>
  <c r="Z805" i="5"/>
  <c r="S805" i="5"/>
  <c r="Y636" i="5"/>
  <c r="R636" i="5"/>
  <c r="Y177" i="5"/>
  <c r="R177" i="5"/>
  <c r="Y385" i="5"/>
  <c r="R385" i="5"/>
  <c r="Z876" i="5"/>
  <c r="S876" i="5"/>
  <c r="Y681" i="5"/>
  <c r="R681" i="5"/>
  <c r="Z984" i="5"/>
  <c r="S984" i="5"/>
  <c r="Y984" i="5"/>
  <c r="R984" i="5"/>
  <c r="X570" i="5"/>
  <c r="Q570" i="5"/>
  <c r="W570" i="5"/>
  <c r="P570" i="5"/>
  <c r="Y186" i="5"/>
  <c r="R186" i="5"/>
  <c r="X902" i="5"/>
  <c r="Q902" i="5"/>
  <c r="W902" i="5"/>
  <c r="P902" i="5"/>
  <c r="Z101" i="5"/>
  <c r="S101" i="5"/>
  <c r="Z703" i="5"/>
  <c r="S703" i="5"/>
  <c r="Z70" i="5"/>
  <c r="S70" i="5"/>
  <c r="Z343" i="5"/>
  <c r="S343" i="5"/>
  <c r="Y124" i="5"/>
  <c r="R124" i="5"/>
  <c r="X653" i="5"/>
  <c r="Q653" i="5"/>
  <c r="W653" i="5"/>
  <c r="P653" i="5"/>
  <c r="X93" i="5"/>
  <c r="Q93" i="5"/>
  <c r="Y904" i="5"/>
  <c r="R904" i="5"/>
  <c r="Y309" i="5"/>
  <c r="R309" i="5"/>
  <c r="Y185" i="5"/>
  <c r="R185" i="5"/>
  <c r="X185" i="5"/>
  <c r="Q185" i="5"/>
  <c r="Y610" i="5"/>
  <c r="R610" i="5"/>
  <c r="Y725" i="5"/>
  <c r="R725" i="5"/>
  <c r="X46" i="5"/>
  <c r="Q46" i="5"/>
  <c r="P46" i="5"/>
  <c r="W46" i="5"/>
  <c r="Z995" i="5"/>
  <c r="S995" i="5"/>
  <c r="Z68" i="5"/>
  <c r="S68" i="5"/>
  <c r="Y327" i="5"/>
  <c r="R327" i="5"/>
  <c r="Z679" i="5"/>
  <c r="S679" i="5"/>
  <c r="X426" i="5"/>
  <c r="Q426" i="5"/>
  <c r="Y899" i="5"/>
  <c r="R899" i="5"/>
  <c r="Y838" i="5"/>
  <c r="R838" i="5"/>
  <c r="X485" i="5"/>
  <c r="Q485" i="5"/>
  <c r="Y299" i="5"/>
  <c r="R299" i="5"/>
  <c r="Z436" i="5"/>
  <c r="S436" i="5"/>
  <c r="X299" i="5"/>
  <c r="Q299" i="5"/>
  <c r="W299" i="5"/>
  <c r="Y403" i="5"/>
  <c r="R403" i="5"/>
  <c r="Y30" i="5"/>
  <c r="R30" i="5"/>
  <c r="X89" i="5"/>
  <c r="Q89" i="5"/>
  <c r="X132" i="5"/>
  <c r="Q132" i="5"/>
  <c r="W132" i="5"/>
  <c r="P132" i="5"/>
  <c r="Y460" i="5"/>
  <c r="R460" i="5"/>
  <c r="Z885" i="5"/>
  <c r="S885" i="5"/>
  <c r="Z476" i="5"/>
  <c r="S476" i="5"/>
  <c r="Z20" i="5"/>
  <c r="S20" i="5"/>
  <c r="Y631" i="5"/>
  <c r="R631" i="5"/>
  <c r="X556" i="5"/>
  <c r="Q556" i="5"/>
  <c r="X849" i="5"/>
  <c r="Q849" i="5"/>
  <c r="W849" i="5"/>
  <c r="P849" i="5"/>
  <c r="Y350" i="5"/>
  <c r="R350" i="5"/>
  <c r="Z556" i="5"/>
  <c r="S556" i="5"/>
  <c r="Z335" i="5"/>
  <c r="S335" i="5"/>
  <c r="Y335" i="5"/>
  <c r="R335" i="5"/>
  <c r="Y768" i="5"/>
  <c r="R768" i="5"/>
  <c r="Z340" i="5"/>
  <c r="S340" i="5"/>
  <c r="Y255" i="5"/>
  <c r="R255" i="5"/>
  <c r="Z518" i="5"/>
  <c r="S518" i="5"/>
  <c r="Y797" i="5"/>
  <c r="R797" i="5"/>
  <c r="Y835" i="5"/>
  <c r="R835" i="5"/>
  <c r="X860" i="5"/>
  <c r="Q860" i="5"/>
  <c r="W860" i="5"/>
  <c r="Z57" i="5"/>
  <c r="S57" i="5"/>
  <c r="Y573" i="5"/>
  <c r="R573" i="5"/>
  <c r="Y621" i="5"/>
  <c r="R621" i="5"/>
  <c r="X734" i="5"/>
  <c r="Q734" i="5"/>
  <c r="W734" i="5"/>
  <c r="P734" i="5"/>
  <c r="Y756" i="5"/>
  <c r="R756" i="5"/>
  <c r="X423" i="5"/>
  <c r="Q423" i="5"/>
  <c r="P423" i="5"/>
  <c r="W423" i="5"/>
  <c r="Z676" i="5"/>
  <c r="S676" i="5"/>
  <c r="X412" i="5"/>
  <c r="Q412" i="5"/>
  <c r="P412" i="5"/>
  <c r="W412" i="5"/>
  <c r="X301" i="5"/>
  <c r="Q301" i="5"/>
  <c r="W301" i="5"/>
  <c r="P301" i="5"/>
  <c r="Z853" i="5"/>
  <c r="S853" i="5"/>
  <c r="Z980" i="5"/>
  <c r="S980" i="5"/>
  <c r="Z528" i="5"/>
  <c r="S528" i="5"/>
  <c r="Z852" i="5"/>
  <c r="S852" i="5"/>
  <c r="X364" i="5"/>
  <c r="Q364" i="5"/>
  <c r="W364" i="5"/>
  <c r="P364" i="5"/>
  <c r="Y859" i="5"/>
  <c r="R859" i="5"/>
  <c r="Z162" i="5"/>
  <c r="S162" i="5"/>
  <c r="Z251" i="5"/>
  <c r="S251" i="5"/>
  <c r="X83" i="5"/>
  <c r="Q83" i="5"/>
  <c r="Z598" i="5"/>
  <c r="S598" i="5"/>
  <c r="X944" i="5"/>
  <c r="Q944" i="5"/>
  <c r="Y962" i="5"/>
  <c r="R962" i="5"/>
  <c r="Y236" i="5"/>
  <c r="R236" i="5"/>
  <c r="X236" i="5"/>
  <c r="Q236" i="5"/>
  <c r="X908" i="5"/>
  <c r="Q908" i="5"/>
  <c r="W908" i="5"/>
  <c r="P908" i="5"/>
  <c r="Z280" i="5"/>
  <c r="S280" i="5"/>
  <c r="Y36" i="5"/>
  <c r="R36" i="5"/>
  <c r="X298" i="5"/>
  <c r="Q298" i="5"/>
  <c r="W298" i="5"/>
  <c r="P298" i="5"/>
  <c r="X613" i="5"/>
  <c r="Q613" i="5"/>
  <c r="W613" i="5"/>
  <c r="P613" i="5"/>
  <c r="Y911" i="5"/>
  <c r="R911" i="5"/>
  <c r="Y442" i="5"/>
  <c r="R442" i="5"/>
  <c r="X308" i="5"/>
  <c r="Q308" i="5"/>
  <c r="W308" i="5"/>
  <c r="Z223" i="5"/>
  <c r="S223" i="5"/>
  <c r="X411" i="5"/>
  <c r="Q411" i="5"/>
  <c r="P411" i="5"/>
  <c r="W411" i="5"/>
  <c r="Y206" i="5"/>
  <c r="R206" i="5"/>
  <c r="Y395" i="5"/>
  <c r="R395" i="5"/>
  <c r="Y917" i="5"/>
  <c r="R917" i="5"/>
  <c r="Y693" i="5"/>
  <c r="R693" i="5"/>
  <c r="X794" i="5"/>
  <c r="Q794" i="5"/>
  <c r="W794" i="5"/>
  <c r="X502" i="5"/>
  <c r="Q502" i="5"/>
  <c r="W502" i="5"/>
  <c r="Y43" i="5"/>
  <c r="R43" i="5"/>
  <c r="Z141" i="5"/>
  <c r="S141" i="5"/>
  <c r="Y118" i="5"/>
  <c r="R118" i="5"/>
  <c r="Z475" i="5"/>
  <c r="S475" i="5"/>
  <c r="Y571" i="5"/>
  <c r="R571" i="5"/>
  <c r="Y482" i="5"/>
  <c r="R482" i="5"/>
  <c r="Z471" i="5"/>
  <c r="S471" i="5"/>
  <c r="Z168" i="5"/>
  <c r="S168" i="5"/>
  <c r="X334" i="5"/>
  <c r="Q334" i="5"/>
  <c r="Z622" i="5"/>
  <c r="S622" i="5"/>
  <c r="Y692" i="5"/>
  <c r="R692" i="5"/>
  <c r="X994" i="5"/>
  <c r="Q994" i="5"/>
  <c r="Z772" i="5"/>
  <c r="S772" i="5"/>
  <c r="X189" i="5"/>
  <c r="Q189" i="5"/>
  <c r="W189" i="5"/>
  <c r="P189" i="5"/>
  <c r="Z829" i="5"/>
  <c r="S829" i="5"/>
  <c r="Y555" i="5"/>
  <c r="R555" i="5"/>
  <c r="Y550" i="5"/>
  <c r="R550" i="5"/>
  <c r="Z341" i="5"/>
  <c r="S341" i="5"/>
  <c r="X550" i="5"/>
  <c r="Q550" i="5"/>
  <c r="W550" i="5"/>
  <c r="P550" i="5"/>
  <c r="Y321" i="5"/>
  <c r="R321" i="5"/>
  <c r="X452" i="5"/>
  <c r="Q452" i="5"/>
  <c r="P452" i="5"/>
  <c r="W452" i="5"/>
  <c r="Y373" i="5"/>
  <c r="R373" i="5"/>
  <c r="X940" i="5"/>
  <c r="Q940" i="5"/>
  <c r="Z453" i="5"/>
  <c r="S453" i="5"/>
  <c r="X270" i="5"/>
  <c r="Q270" i="5"/>
  <c r="W270" i="5"/>
  <c r="P270" i="5"/>
  <c r="Y386" i="5"/>
  <c r="R386" i="5"/>
  <c r="Z120" i="5"/>
  <c r="S120" i="5"/>
  <c r="Y762" i="5"/>
  <c r="R762" i="5"/>
  <c r="Z424" i="5"/>
  <c r="S424" i="5"/>
  <c r="X541" i="5"/>
  <c r="Q541" i="5"/>
  <c r="W541" i="5"/>
  <c r="P541" i="5"/>
  <c r="Z264" i="5"/>
  <c r="S264" i="5"/>
  <c r="Z778" i="5"/>
  <c r="S778" i="5"/>
  <c r="Y272" i="5"/>
  <c r="R272" i="5"/>
  <c r="Z285" i="5"/>
  <c r="S285" i="5"/>
  <c r="Z200" i="5"/>
  <c r="S200" i="5"/>
  <c r="Y531" i="5"/>
  <c r="R531" i="5"/>
  <c r="Z632" i="5"/>
  <c r="S632" i="5"/>
  <c r="X200" i="5"/>
  <c r="Q200" i="5"/>
  <c r="X951" i="5"/>
  <c r="Q951" i="5"/>
  <c r="Z695" i="5"/>
  <c r="S695" i="5"/>
  <c r="X354" i="5"/>
  <c r="Q354" i="5"/>
  <c r="Z979" i="5"/>
  <c r="S979" i="5"/>
  <c r="Z733" i="5"/>
  <c r="S733" i="5"/>
  <c r="Z266" i="5"/>
  <c r="S266" i="5"/>
  <c r="X867" i="5"/>
  <c r="Q867" i="5"/>
  <c r="Z977" i="5"/>
  <c r="S977" i="5"/>
  <c r="X802" i="5"/>
  <c r="Q802" i="5"/>
  <c r="W802" i="5"/>
  <c r="P802" i="5"/>
  <c r="Y977" i="5"/>
  <c r="R977" i="5"/>
  <c r="Y843" i="5"/>
  <c r="R843" i="5"/>
  <c r="Z981" i="5"/>
  <c r="S981" i="5"/>
  <c r="Z150" i="5"/>
  <c r="S150" i="5"/>
  <c r="Z199" i="5"/>
  <c r="S199" i="5"/>
  <c r="Z609" i="5"/>
  <c r="S609" i="5"/>
  <c r="Z490" i="5"/>
  <c r="S490" i="5"/>
  <c r="Z530" i="5"/>
  <c r="S530" i="5"/>
  <c r="Y271" i="5"/>
  <c r="R271" i="5"/>
  <c r="Z957" i="5"/>
  <c r="S957" i="5"/>
  <c r="Y104" i="5"/>
  <c r="R104" i="5"/>
  <c r="Y817" i="5"/>
  <c r="R817" i="5"/>
  <c r="Z798" i="5"/>
  <c r="S798" i="5"/>
  <c r="X347" i="5"/>
  <c r="Q347" i="5"/>
  <c r="W347" i="5"/>
  <c r="P347" i="5"/>
  <c r="Z225" i="5"/>
  <c r="S225" i="5"/>
  <c r="Y705" i="5"/>
  <c r="R705" i="5"/>
  <c r="X341" i="5"/>
  <c r="Q341" i="5"/>
  <c r="P341" i="5"/>
  <c r="X286" i="5"/>
  <c r="Q286" i="5"/>
  <c r="W286" i="5"/>
  <c r="P286" i="5"/>
  <c r="Y433" i="5"/>
  <c r="R433" i="5"/>
  <c r="Y328" i="5"/>
  <c r="R328" i="5"/>
  <c r="Y268" i="5"/>
  <c r="R268" i="5"/>
  <c r="Y325" i="5"/>
  <c r="R325" i="5"/>
  <c r="Y105" i="5"/>
  <c r="R105" i="5"/>
  <c r="Z163" i="5"/>
  <c r="S163" i="5"/>
  <c r="Y376" i="5"/>
  <c r="R376" i="5"/>
  <c r="Y424" i="5"/>
  <c r="R424" i="5"/>
  <c r="Y414" i="5"/>
  <c r="R414" i="5"/>
  <c r="Z559" i="5"/>
  <c r="S559" i="5"/>
  <c r="Y357" i="5"/>
  <c r="R357" i="5"/>
  <c r="Z949" i="5"/>
  <c r="S949" i="5"/>
  <c r="Z613" i="5"/>
  <c r="S613" i="5"/>
  <c r="Y87" i="5"/>
  <c r="R87" i="5"/>
  <c r="Z116" i="5"/>
  <c r="S116" i="5"/>
  <c r="Z100" i="5"/>
  <c r="S100" i="5"/>
  <c r="Z982" i="5"/>
  <c r="S982" i="5"/>
  <c r="X662" i="5"/>
  <c r="Q662" i="5"/>
  <c r="W662" i="5"/>
  <c r="P662" i="5"/>
  <c r="X367" i="5"/>
  <c r="Q367" i="5"/>
  <c r="W367" i="5"/>
  <c r="P367" i="5"/>
  <c r="P1000" i="5"/>
  <c r="P117" i="5"/>
  <c r="Z494" i="5"/>
  <c r="S494" i="5"/>
  <c r="P357" i="5"/>
  <c r="X783" i="5"/>
  <c r="Q783" i="5"/>
  <c r="W783" i="5"/>
  <c r="P783" i="5"/>
  <c r="Z927" i="5"/>
  <c r="S927" i="5"/>
  <c r="P480" i="5"/>
  <c r="P617" i="5"/>
  <c r="Y551" i="5"/>
  <c r="R551" i="5"/>
  <c r="Y588" i="5"/>
  <c r="R588" i="5"/>
  <c r="Y608" i="5"/>
  <c r="R608" i="5"/>
  <c r="Q608" i="5"/>
  <c r="Z683" i="5"/>
  <c r="S683" i="5"/>
  <c r="X293" i="5"/>
  <c r="Q293" i="5"/>
  <c r="P293" i="5"/>
  <c r="X328" i="5"/>
  <c r="Q328" i="5"/>
  <c r="W328" i="5"/>
  <c r="P328" i="5"/>
  <c r="Y667" i="5"/>
  <c r="R667" i="5"/>
  <c r="Y710" i="5"/>
  <c r="R710" i="5"/>
  <c r="X730" i="5"/>
  <c r="Q730" i="5"/>
  <c r="Y42" i="5"/>
  <c r="R42" i="5"/>
  <c r="X649" i="5"/>
  <c r="Q649" i="5"/>
  <c r="W649" i="5"/>
  <c r="P649" i="5"/>
  <c r="Y874" i="5"/>
  <c r="R874" i="5"/>
  <c r="X689" i="5"/>
  <c r="Q689" i="5"/>
  <c r="P689" i="5"/>
  <c r="X33" i="5"/>
  <c r="Q33" i="5"/>
  <c r="W33" i="5"/>
  <c r="P33" i="5"/>
  <c r="Y119" i="5"/>
  <c r="R119" i="5"/>
  <c r="Y974" i="5"/>
  <c r="R974" i="5"/>
  <c r="X178" i="5"/>
  <c r="Q178" i="5"/>
  <c r="W178" i="5"/>
  <c r="P178" i="5"/>
  <c r="Z451" i="5"/>
  <c r="S451" i="5"/>
  <c r="Y747" i="5"/>
  <c r="R747" i="5"/>
  <c r="Z986" i="5"/>
  <c r="S986" i="5"/>
  <c r="Y211" i="5"/>
  <c r="R211" i="5"/>
  <c r="X863" i="5"/>
  <c r="Q863" i="5"/>
  <c r="Z846" i="5"/>
  <c r="S846" i="5"/>
  <c r="Z279" i="5"/>
  <c r="S279" i="5"/>
  <c r="Y987" i="5"/>
  <c r="R987" i="5"/>
  <c r="X73" i="5"/>
  <c r="Q73" i="5"/>
  <c r="W73" i="5"/>
  <c r="P73" i="5"/>
  <c r="X659" i="5"/>
  <c r="Q659" i="5"/>
  <c r="X387" i="5"/>
  <c r="Q387" i="5"/>
  <c r="W387" i="5"/>
  <c r="P387" i="5"/>
  <c r="X929" i="5"/>
  <c r="Q929" i="5"/>
  <c r="W929" i="5"/>
  <c r="X858" i="5"/>
  <c r="Q858" i="5"/>
  <c r="W858" i="5"/>
  <c r="P858" i="5"/>
  <c r="X162" i="5"/>
  <c r="Q162" i="5"/>
  <c r="Z551" i="5"/>
  <c r="S551" i="5"/>
  <c r="Z229" i="5"/>
  <c r="S229" i="5"/>
  <c r="Y730" i="5"/>
  <c r="R730" i="5"/>
  <c r="X856" i="5"/>
  <c r="Q856" i="5"/>
  <c r="Z874" i="5"/>
  <c r="S874" i="5"/>
  <c r="Z220" i="5"/>
  <c r="S220" i="5"/>
  <c r="X19" i="5"/>
  <c r="Q19" i="5"/>
  <c r="X107" i="5"/>
  <c r="Q107" i="5"/>
  <c r="Y946" i="5"/>
  <c r="R946" i="5"/>
  <c r="X946" i="5"/>
  <c r="Q946" i="5"/>
  <c r="Y178" i="5"/>
  <c r="R178" i="5"/>
  <c r="Y492" i="5"/>
  <c r="R492" i="5"/>
  <c r="Y662" i="5"/>
  <c r="R662" i="5"/>
  <c r="Z536" i="5"/>
  <c r="S536" i="5"/>
  <c r="Y402" i="5"/>
  <c r="R402" i="5"/>
  <c r="Y607" i="5"/>
  <c r="R607" i="5"/>
  <c r="X64" i="5"/>
  <c r="Q64" i="5"/>
  <c r="W64" i="5"/>
  <c r="P64" i="5"/>
  <c r="X489" i="5"/>
  <c r="Q489" i="5"/>
  <c r="W489" i="5"/>
  <c r="P489" i="5"/>
  <c r="Z747" i="5"/>
  <c r="S747" i="5"/>
  <c r="X330" i="5"/>
  <c r="Q330" i="5"/>
  <c r="Y193" i="5"/>
  <c r="R193" i="5"/>
  <c r="X226" i="5"/>
  <c r="Q226" i="5"/>
  <c r="W226" i="5"/>
  <c r="P226" i="5"/>
  <c r="Y863" i="5"/>
  <c r="R863" i="5"/>
  <c r="X568" i="5"/>
  <c r="Q568" i="5"/>
  <c r="W568" i="5"/>
  <c r="P568" i="5"/>
  <c r="Z91" i="5"/>
  <c r="S91" i="5"/>
  <c r="Y783" i="5"/>
  <c r="R783" i="5"/>
  <c r="Y250" i="5"/>
  <c r="R250" i="5"/>
  <c r="X250" i="5"/>
  <c r="Q250" i="5"/>
  <c r="Y326" i="5"/>
  <c r="R326" i="5"/>
  <c r="Y784" i="5"/>
  <c r="R784" i="5"/>
  <c r="Z646" i="5"/>
  <c r="S646" i="5"/>
  <c r="X690" i="5"/>
  <c r="Q690" i="5"/>
  <c r="Z260" i="5"/>
  <c r="S260" i="5"/>
  <c r="Y172" i="5"/>
  <c r="R172" i="5"/>
  <c r="Z361" i="5"/>
  <c r="S361" i="5"/>
  <c r="Y361" i="5"/>
  <c r="R361" i="5"/>
  <c r="Y616" i="5"/>
  <c r="R616" i="5"/>
  <c r="X765" i="5"/>
  <c r="Q765" i="5"/>
  <c r="W765" i="5"/>
  <c r="P765" i="5"/>
  <c r="Y799" i="5"/>
  <c r="R799" i="5"/>
  <c r="T799" i="5" s="1"/>
  <c r="U799" i="5" s="1"/>
  <c r="X799" i="5"/>
  <c r="Q799" i="5"/>
  <c r="X153" i="5"/>
  <c r="Q153" i="5"/>
  <c r="Z549" i="5"/>
  <c r="S549" i="5"/>
  <c r="X549" i="5"/>
  <c r="Q549" i="5"/>
  <c r="P549" i="5"/>
  <c r="X408" i="5"/>
  <c r="Q408" i="5"/>
  <c r="Y387" i="5"/>
  <c r="R387" i="5"/>
  <c r="Y929" i="5"/>
  <c r="R929" i="5"/>
  <c r="Y174" i="5"/>
  <c r="R174" i="5"/>
  <c r="Y988" i="5"/>
  <c r="R988" i="5"/>
  <c r="X988" i="5"/>
  <c r="Q988" i="5"/>
  <c r="Y391" i="5"/>
  <c r="R391" i="5"/>
  <c r="X391" i="5"/>
  <c r="Q391" i="5"/>
  <c r="Y614" i="5"/>
  <c r="R614" i="5"/>
  <c r="Y954" i="5"/>
  <c r="R954" i="5"/>
  <c r="X971" i="5"/>
  <c r="Q971" i="5"/>
  <c r="W971" i="5"/>
  <c r="P971" i="5"/>
  <c r="Y159" i="5"/>
  <c r="R159" i="5"/>
  <c r="Z461" i="5"/>
  <c r="S461" i="5"/>
  <c r="X914" i="5"/>
  <c r="Q914" i="5"/>
  <c r="W914" i="5"/>
  <c r="AA914" i="5" s="1"/>
  <c r="AB914" i="5" s="1"/>
  <c r="P914" i="5"/>
  <c r="Z894" i="5"/>
  <c r="S894" i="5"/>
  <c r="Z108" i="5"/>
  <c r="S108" i="5"/>
  <c r="X198" i="5"/>
  <c r="Q198" i="5"/>
  <c r="X4" i="5"/>
  <c r="Q4" i="5"/>
  <c r="P4" i="5"/>
  <c r="X499" i="5"/>
  <c r="Q499" i="5"/>
  <c r="W499" i="5"/>
  <c r="P499" i="5"/>
  <c r="Y676" i="5"/>
  <c r="R676" i="5"/>
  <c r="Y374" i="5"/>
  <c r="R374" i="5"/>
  <c r="X422" i="5"/>
  <c r="Q422" i="5"/>
  <c r="W422" i="5"/>
  <c r="P422" i="5"/>
  <c r="X384" i="5"/>
  <c r="Q384" i="5"/>
  <c r="Z808" i="5"/>
  <c r="S808" i="5"/>
  <c r="Z589" i="5"/>
  <c r="S589" i="5"/>
  <c r="X282" i="5"/>
  <c r="Q282" i="5"/>
  <c r="W282" i="5"/>
  <c r="X672" i="5"/>
  <c r="AA672" i="5" s="1"/>
  <c r="AB672" i="5" s="1"/>
  <c r="Q672" i="5"/>
  <c r="X304" i="5"/>
  <c r="Q304" i="5"/>
  <c r="W304" i="5"/>
  <c r="Y589" i="5"/>
  <c r="R589" i="5"/>
  <c r="X589" i="5"/>
  <c r="Q589" i="5"/>
  <c r="Y323" i="5"/>
  <c r="R323" i="5"/>
  <c r="X428" i="5"/>
  <c r="Q428" i="5"/>
  <c r="W428" i="5"/>
  <c r="X405" i="5"/>
  <c r="Q405" i="5"/>
  <c r="W405" i="5"/>
  <c r="P405" i="5"/>
  <c r="Z584" i="5"/>
  <c r="S584" i="5"/>
  <c r="Y584" i="5"/>
  <c r="R584" i="5"/>
  <c r="Y500" i="5"/>
  <c r="R500" i="5"/>
  <c r="X749" i="5"/>
  <c r="Q749" i="5"/>
  <c r="W749" i="5"/>
  <c r="P749" i="5"/>
  <c r="Y238" i="5"/>
  <c r="R238" i="5"/>
  <c r="X805" i="5"/>
  <c r="Q805" i="5"/>
  <c r="X383" i="5"/>
  <c r="Q383" i="5"/>
  <c r="W383" i="5"/>
  <c r="P383" i="5"/>
  <c r="Y2" i="5"/>
  <c r="R2" i="5"/>
  <c r="X204" i="5"/>
  <c r="Q204" i="5"/>
  <c r="X231" i="5"/>
  <c r="Q231" i="5"/>
  <c r="X936" i="5"/>
  <c r="Q936" i="5"/>
  <c r="P936" i="5"/>
  <c r="W936" i="5"/>
  <c r="Z975" i="5"/>
  <c r="S975" i="5"/>
  <c r="X72" i="5"/>
  <c r="Q72" i="5"/>
  <c r="X71" i="5"/>
  <c r="Q71" i="5"/>
  <c r="Y406" i="5"/>
  <c r="R406" i="5"/>
  <c r="Z186" i="5"/>
  <c r="S186" i="5"/>
  <c r="Y738" i="5"/>
  <c r="R738" i="5"/>
  <c r="Z506" i="5"/>
  <c r="S506" i="5"/>
  <c r="Y919" i="5"/>
  <c r="R919" i="5"/>
  <c r="Y653" i="5"/>
  <c r="R653" i="5"/>
  <c r="X456" i="5"/>
  <c r="Q456" i="5"/>
  <c r="Y70" i="5"/>
  <c r="R70" i="5"/>
  <c r="X677" i="5"/>
  <c r="Q677" i="5"/>
  <c r="P677" i="5"/>
  <c r="X343" i="5"/>
  <c r="Q343" i="5"/>
  <c r="W343" i="5"/>
  <c r="P343" i="5"/>
  <c r="X800" i="5"/>
  <c r="Q800" i="5"/>
  <c r="Y146" i="5"/>
  <c r="R146" i="5"/>
  <c r="X866" i="5"/>
  <c r="Q866" i="5"/>
  <c r="W866" i="5"/>
  <c r="P866" i="5"/>
  <c r="Z610" i="5"/>
  <c r="S610" i="5"/>
  <c r="X359" i="5"/>
  <c r="Q359" i="5"/>
  <c r="Z989" i="5"/>
  <c r="S989" i="5"/>
  <c r="Y995" i="5"/>
  <c r="R995" i="5"/>
  <c r="Y196" i="5"/>
  <c r="R196" i="5"/>
  <c r="Z102" i="5"/>
  <c r="S102" i="5"/>
  <c r="Z485" i="5"/>
  <c r="S485" i="5"/>
  <c r="T485" i="5" s="1"/>
  <c r="U485" i="5" s="1"/>
  <c r="Z377" i="5"/>
  <c r="S377" i="5"/>
  <c r="X516" i="5"/>
  <c r="Q516" i="5"/>
  <c r="W516" i="5"/>
  <c r="Z907" i="5"/>
  <c r="S907" i="5"/>
  <c r="Y132" i="5"/>
  <c r="R132" i="5"/>
  <c r="X998" i="5"/>
  <c r="Q998" i="5"/>
  <c r="X360" i="5"/>
  <c r="Q360" i="5"/>
  <c r="W360" i="5"/>
  <c r="P360" i="5"/>
  <c r="Y306" i="5"/>
  <c r="AA306" i="5" s="1"/>
  <c r="AB306" i="5" s="1"/>
  <c r="R306" i="5"/>
  <c r="X306" i="5"/>
  <c r="Q306" i="5"/>
  <c r="Y716" i="5"/>
  <c r="R716" i="5"/>
  <c r="Z884" i="5"/>
  <c r="S884" i="5"/>
  <c r="X362" i="5"/>
  <c r="Q362" i="5"/>
  <c r="W362" i="5"/>
  <c r="P362" i="5"/>
  <c r="Y998" i="5"/>
  <c r="R998" i="5"/>
  <c r="Z849" i="5"/>
  <c r="S849" i="5"/>
  <c r="Z1001" i="5"/>
  <c r="S1001" i="5"/>
  <c r="Z394" i="5"/>
  <c r="S394" i="5"/>
  <c r="X923" i="5"/>
  <c r="Q923" i="5"/>
  <c r="X963" i="5"/>
  <c r="Q963" i="5"/>
  <c r="W963" i="5"/>
  <c r="P963" i="5"/>
  <c r="Z412" i="5"/>
  <c r="S412" i="5"/>
  <c r="X713" i="5"/>
  <c r="Q713" i="5"/>
  <c r="X121" i="5"/>
  <c r="Q121" i="5"/>
  <c r="W121" i="5"/>
  <c r="P121" i="5"/>
  <c r="X906" i="5"/>
  <c r="Q906" i="5"/>
  <c r="W906" i="5"/>
  <c r="P906" i="5"/>
  <c r="Z916" i="5"/>
  <c r="S916" i="5"/>
  <c r="Y634" i="5"/>
  <c r="R634" i="5"/>
  <c r="Y996" i="5"/>
  <c r="R996" i="5"/>
  <c r="Y57" i="5"/>
  <c r="R57" i="5"/>
  <c r="Z734" i="5"/>
  <c r="S734" i="5"/>
  <c r="Z877" i="5"/>
  <c r="S877" i="5"/>
  <c r="Z604" i="5"/>
  <c r="S604" i="5"/>
  <c r="X374" i="5"/>
  <c r="Q374" i="5"/>
  <c r="W374" i="5"/>
  <c r="P374" i="5"/>
  <c r="X340" i="5"/>
  <c r="Q340" i="5"/>
  <c r="W340" i="5"/>
  <c r="Z523" i="5"/>
  <c r="S523" i="5"/>
  <c r="X472" i="5"/>
  <c r="Q472" i="5"/>
  <c r="Z255" i="5"/>
  <c r="S255" i="5"/>
  <c r="Z294" i="5"/>
  <c r="S294" i="5"/>
  <c r="X768" i="5"/>
  <c r="Q768" i="5"/>
  <c r="W768" i="5"/>
  <c r="P768" i="5"/>
  <c r="X583" i="5"/>
  <c r="Q583" i="5"/>
  <c r="W583" i="5"/>
  <c r="P583" i="5"/>
  <c r="X910" i="5"/>
  <c r="Q910" i="5"/>
  <c r="Y251" i="5"/>
  <c r="R251" i="5"/>
  <c r="Y585" i="5"/>
  <c r="R585" i="5"/>
  <c r="X504" i="5"/>
  <c r="Q504" i="5"/>
  <c r="X11" i="5"/>
  <c r="Q11" i="5"/>
  <c r="W11" i="5"/>
  <c r="P11" i="5"/>
  <c r="Z675" i="5"/>
  <c r="S675" i="5"/>
  <c r="X733" i="5"/>
  <c r="Q733" i="5"/>
  <c r="W733" i="5"/>
  <c r="P733" i="5"/>
  <c r="Y792" i="5"/>
  <c r="R792" i="5"/>
  <c r="Z552" i="5"/>
  <c r="S552" i="5"/>
  <c r="Y280" i="5"/>
  <c r="R280" i="5"/>
  <c r="Z38" i="5"/>
  <c r="S38" i="5"/>
  <c r="X105" i="5"/>
  <c r="Q105" i="5"/>
  <c r="X223" i="5"/>
  <c r="Q223" i="5"/>
  <c r="P223" i="5"/>
  <c r="W223" i="5"/>
  <c r="Z336" i="5"/>
  <c r="S336" i="5"/>
  <c r="Z463" i="5"/>
  <c r="S463" i="5"/>
  <c r="X375" i="5"/>
  <c r="Q375" i="5"/>
  <c r="W375" i="5"/>
  <c r="X574" i="5"/>
  <c r="Q574" i="5"/>
  <c r="P574" i="5"/>
  <c r="W574" i="5"/>
  <c r="Y445" i="5"/>
  <c r="R445" i="5"/>
  <c r="Y966" i="5"/>
  <c r="R966" i="5"/>
  <c r="X842" i="5"/>
  <c r="Q842" i="5"/>
  <c r="X206" i="5"/>
  <c r="Q206" i="5"/>
  <c r="W206" i="5"/>
  <c r="P206" i="5"/>
  <c r="Z869" i="5"/>
  <c r="S869" i="5"/>
  <c r="Y957" i="5"/>
  <c r="R957" i="5"/>
  <c r="X693" i="5"/>
  <c r="Q693" i="5"/>
  <c r="W693" i="5"/>
  <c r="P693" i="5"/>
  <c r="Y869" i="5"/>
  <c r="R869" i="5"/>
  <c r="Z498" i="5"/>
  <c r="S498" i="5"/>
  <c r="Y431" i="5"/>
  <c r="R431" i="5"/>
  <c r="X671" i="5"/>
  <c r="Q671" i="5"/>
  <c r="X830" i="5"/>
  <c r="Q830" i="5"/>
  <c r="W830" i="5"/>
  <c r="P830" i="5"/>
  <c r="Y16" i="5"/>
  <c r="R16" i="5"/>
  <c r="X214" i="5"/>
  <c r="Q214" i="5"/>
  <c r="Y824" i="5"/>
  <c r="R824" i="5"/>
  <c r="X339" i="5"/>
  <c r="Q339" i="5"/>
  <c r="Y46" i="5"/>
  <c r="R46" i="5"/>
  <c r="X10" i="5"/>
  <c r="Q10" i="5"/>
  <c r="Y650" i="5"/>
  <c r="R650" i="5"/>
  <c r="Y189" i="5"/>
  <c r="R189" i="5"/>
  <c r="X261" i="5"/>
  <c r="Q261" i="5"/>
  <c r="X698" i="5"/>
  <c r="Q698" i="5"/>
  <c r="W698" i="5"/>
  <c r="P698" i="5"/>
  <c r="Z692" i="5"/>
  <c r="S692" i="5"/>
  <c r="Z484" i="5"/>
  <c r="S484" i="5"/>
  <c r="X312" i="5"/>
  <c r="Q312" i="5"/>
  <c r="X555" i="5"/>
  <c r="Q555" i="5"/>
  <c r="P555" i="5"/>
  <c r="W555" i="5"/>
  <c r="X829" i="5"/>
  <c r="Q829" i="5"/>
  <c r="W829" i="5"/>
  <c r="Z555" i="5"/>
  <c r="S555" i="5"/>
  <c r="Y469" i="5"/>
  <c r="R469" i="5"/>
  <c r="Z538" i="5"/>
  <c r="S538" i="5"/>
  <c r="Y862" i="5"/>
  <c r="R862" i="5"/>
  <c r="Y538" i="5"/>
  <c r="R538" i="5"/>
  <c r="X120" i="5"/>
  <c r="Q120" i="5"/>
  <c r="Y259" i="5"/>
  <c r="R259" i="5"/>
  <c r="Y244" i="5"/>
  <c r="R244" i="5"/>
  <c r="X453" i="5"/>
  <c r="Q453" i="5"/>
  <c r="P453" i="5"/>
  <c r="X983" i="5"/>
  <c r="Q983" i="5"/>
  <c r="W983" i="5"/>
  <c r="Y295" i="5"/>
  <c r="R295" i="5"/>
  <c r="Z302" i="5"/>
  <c r="S302" i="5"/>
  <c r="Z746" i="5"/>
  <c r="S746" i="5"/>
  <c r="Z578" i="5"/>
  <c r="S578" i="5"/>
  <c r="X707" i="5"/>
  <c r="Q707" i="5"/>
  <c r="Y222" i="5"/>
  <c r="R222" i="5"/>
  <c r="Y123" i="5"/>
  <c r="R123" i="5"/>
  <c r="Z992" i="5"/>
  <c r="S992" i="5"/>
  <c r="Z325" i="5"/>
  <c r="S325" i="5"/>
  <c r="X664" i="5"/>
  <c r="Q664" i="5"/>
  <c r="W664" i="5"/>
  <c r="P664" i="5"/>
  <c r="Z276" i="5"/>
  <c r="S276" i="5"/>
  <c r="Z351" i="5"/>
  <c r="S351" i="5"/>
  <c r="Z415" i="5"/>
  <c r="S415" i="5"/>
  <c r="X471" i="5"/>
  <c r="Q471" i="5"/>
  <c r="W471" i="5"/>
  <c r="P471" i="5"/>
  <c r="Z263" i="5"/>
  <c r="S263" i="5"/>
  <c r="Y388" i="5"/>
  <c r="R388" i="5"/>
  <c r="X850" i="5"/>
  <c r="Q850" i="5"/>
  <c r="W850" i="5"/>
  <c r="P850" i="5"/>
  <c r="Y764" i="5"/>
  <c r="R764" i="5"/>
  <c r="Z791" i="5"/>
  <c r="S791" i="5"/>
  <c r="Z342" i="5"/>
  <c r="S342" i="5"/>
  <c r="X984" i="5"/>
  <c r="Q984" i="5"/>
  <c r="W984" i="5"/>
  <c r="P984" i="5"/>
  <c r="Z442" i="5"/>
  <c r="S442" i="5"/>
  <c r="Y15" i="5"/>
  <c r="R15" i="5"/>
  <c r="Z696" i="5"/>
  <c r="S696" i="5"/>
  <c r="X130" i="5"/>
  <c r="Q130" i="5"/>
  <c r="P130" i="5"/>
  <c r="W130" i="5"/>
  <c r="X605" i="5"/>
  <c r="Q605" i="5"/>
  <c r="Z125" i="5"/>
  <c r="S125" i="5"/>
  <c r="Z16" i="5"/>
  <c r="S16" i="5"/>
  <c r="Y545" i="5"/>
  <c r="R545" i="5"/>
  <c r="Z963" i="5"/>
  <c r="S963" i="5"/>
  <c r="Z710" i="5"/>
  <c r="S710" i="5"/>
  <c r="X229" i="5"/>
  <c r="Q229" i="5"/>
  <c r="Z806" i="5"/>
  <c r="S806" i="5"/>
  <c r="Z309" i="5"/>
  <c r="S309" i="5"/>
  <c r="X38" i="5"/>
  <c r="Q38" i="5"/>
  <c r="Z641" i="5"/>
  <c r="S641" i="5"/>
  <c r="Z813" i="5"/>
  <c r="S813" i="5"/>
  <c r="Z217" i="5"/>
  <c r="S217" i="5"/>
  <c r="X682" i="5"/>
  <c r="Q682" i="5"/>
  <c r="W682" i="5"/>
  <c r="P682" i="5"/>
  <c r="Y369" i="5"/>
  <c r="R369" i="5"/>
  <c r="Z75" i="5"/>
  <c r="S75" i="5"/>
  <c r="Z272" i="5"/>
  <c r="S272" i="5"/>
  <c r="X463" i="5"/>
  <c r="Q463" i="5"/>
  <c r="W463" i="5"/>
  <c r="P463" i="5"/>
  <c r="Y861" i="5"/>
  <c r="R861" i="5"/>
  <c r="Z292" i="5"/>
  <c r="S292" i="5"/>
  <c r="Z445" i="5"/>
  <c r="S445" i="5"/>
  <c r="Z911" i="5"/>
  <c r="S911" i="5"/>
  <c r="Z295" i="5"/>
  <c r="S295" i="5"/>
  <c r="Z346" i="5"/>
  <c r="S346" i="5"/>
  <c r="Y939" i="5"/>
  <c r="R939" i="5"/>
  <c r="X258" i="5"/>
  <c r="Q258" i="5"/>
  <c r="W258" i="5"/>
  <c r="P258" i="5"/>
  <c r="Y129" i="5"/>
  <c r="R129" i="5"/>
  <c r="Y849" i="5"/>
  <c r="R849" i="5"/>
  <c r="X276" i="5"/>
  <c r="Q276" i="5"/>
  <c r="P276" i="5"/>
  <c r="W276" i="5"/>
  <c r="Z386" i="5"/>
  <c r="S386" i="5"/>
  <c r="Z698" i="5"/>
  <c r="S698" i="5"/>
  <c r="X49" i="5"/>
  <c r="Q49" i="5"/>
  <c r="T49" i="5" s="1"/>
  <c r="U49" i="5" s="1"/>
  <c r="Y695" i="5"/>
  <c r="R695" i="5"/>
  <c r="Z736" i="5"/>
  <c r="S736" i="5"/>
  <c r="Z915" i="5"/>
  <c r="S915" i="5"/>
  <c r="X151" i="5"/>
  <c r="Q151" i="5"/>
  <c r="W151" i="5"/>
  <c r="P151" i="5"/>
  <c r="AA779" i="5"/>
  <c r="AB779" i="5" s="1"/>
  <c r="P137" i="5"/>
  <c r="P456" i="5"/>
  <c r="P313" i="5"/>
  <c r="P639" i="5"/>
  <c r="P384" i="5"/>
  <c r="AA126" i="5"/>
  <c r="AB126" i="5" s="1"/>
  <c r="AA409" i="5"/>
  <c r="AB409" i="5" s="1"/>
  <c r="AA492" i="5"/>
  <c r="AB492" i="5" s="1"/>
  <c r="Y872" i="5"/>
  <c r="R872" i="5"/>
  <c r="W817" i="5"/>
  <c r="AA406" i="5"/>
  <c r="AB406" i="5" s="1"/>
  <c r="W402" i="5"/>
  <c r="W689" i="5"/>
  <c r="Q320" i="5"/>
  <c r="AA359" i="5"/>
  <c r="AB359" i="5" s="1"/>
  <c r="AA399" i="5"/>
  <c r="AB399" i="5" s="1"/>
  <c r="P860" i="5"/>
  <c r="X90" i="5"/>
  <c r="Q90" i="5"/>
  <c r="Z42" i="5"/>
  <c r="S42" i="5"/>
  <c r="Z730" i="5"/>
  <c r="S730" i="5"/>
  <c r="Y649" i="5"/>
  <c r="R649" i="5"/>
  <c r="Y33" i="5"/>
  <c r="R33" i="5"/>
  <c r="Z19" i="5"/>
  <c r="AA19" i="5" s="1"/>
  <c r="AB19" i="5" s="1"/>
  <c r="S19" i="5"/>
  <c r="Y107" i="5"/>
  <c r="R107" i="5"/>
  <c r="Z178" i="5"/>
  <c r="S178" i="5"/>
  <c r="X510" i="5"/>
  <c r="Q510" i="5"/>
  <c r="W510" i="5"/>
  <c r="P510" i="5"/>
  <c r="Y536" i="5"/>
  <c r="R536" i="5"/>
  <c r="X21" i="5"/>
  <c r="Q21" i="5"/>
  <c r="Y64" i="5"/>
  <c r="R64" i="5"/>
  <c r="Z577" i="5"/>
  <c r="S577" i="5"/>
  <c r="Z489" i="5"/>
  <c r="S489" i="5"/>
  <c r="X557" i="5"/>
  <c r="Q557" i="5"/>
  <c r="W557" i="5"/>
  <c r="P557" i="5"/>
  <c r="X986" i="5"/>
  <c r="AA986" i="5" s="1"/>
  <c r="AB986" i="5" s="1"/>
  <c r="Q986" i="5"/>
  <c r="W986" i="5"/>
  <c r="P986" i="5"/>
  <c r="Y330" i="5"/>
  <c r="R330" i="5"/>
  <c r="Z169" i="5"/>
  <c r="S169" i="5"/>
  <c r="Z462" i="5"/>
  <c r="S462" i="5"/>
  <c r="X462" i="5"/>
  <c r="Q462" i="5"/>
  <c r="Z863" i="5"/>
  <c r="S863" i="5"/>
  <c r="Y785" i="5"/>
  <c r="AA785" i="5" s="1"/>
  <c r="AB785" i="5" s="1"/>
  <c r="R785" i="5"/>
  <c r="X529" i="5"/>
  <c r="Q529" i="5"/>
  <c r="Z660" i="5"/>
  <c r="S660" i="5"/>
  <c r="X580" i="5"/>
  <c r="Q580" i="5"/>
  <c r="P580" i="5"/>
  <c r="W580" i="5"/>
  <c r="Y112" i="5"/>
  <c r="R112" i="5"/>
  <c r="Y873" i="5"/>
  <c r="R873" i="5"/>
  <c r="X873" i="5"/>
  <c r="Q873" i="5"/>
  <c r="Y690" i="5"/>
  <c r="R690" i="5"/>
  <c r="Y191" i="5"/>
  <c r="R191" i="5"/>
  <c r="X793" i="5"/>
  <c r="Q793" i="5"/>
  <c r="W793" i="5"/>
  <c r="P793" i="5"/>
  <c r="Y565" i="5"/>
  <c r="R565" i="5"/>
  <c r="X361" i="5"/>
  <c r="AA361" i="5" s="1"/>
  <c r="AB361" i="5" s="1"/>
  <c r="Q361" i="5"/>
  <c r="W361" i="5"/>
  <c r="P361" i="5"/>
  <c r="Z616" i="5"/>
  <c r="S616" i="5"/>
  <c r="Y765" i="5"/>
  <c r="R765" i="5"/>
  <c r="Y852" i="5"/>
  <c r="AA852" i="5" s="1"/>
  <c r="AB852" i="5" s="1"/>
  <c r="R852" i="5"/>
  <c r="X852" i="5"/>
  <c r="Q852" i="5"/>
  <c r="W852" i="5"/>
  <c r="P852" i="5"/>
  <c r="Y73" i="5"/>
  <c r="R73" i="5"/>
  <c r="X540" i="5"/>
  <c r="Q540" i="5"/>
  <c r="P540" i="5"/>
  <c r="W540" i="5"/>
  <c r="Y467" i="5"/>
  <c r="R467" i="5"/>
  <c r="Y408" i="5"/>
  <c r="R408" i="5"/>
  <c r="Z387" i="5"/>
  <c r="S387" i="5"/>
  <c r="Z929" i="5"/>
  <c r="S929" i="5"/>
  <c r="X825" i="5"/>
  <c r="Q825" i="5"/>
  <c r="P825" i="5"/>
  <c r="W825" i="5"/>
  <c r="Y630" i="5"/>
  <c r="R630" i="5"/>
  <c r="Z391" i="5"/>
  <c r="S391" i="5"/>
  <c r="Z614" i="5"/>
  <c r="S614" i="5"/>
  <c r="Z954" i="5"/>
  <c r="S954" i="5"/>
  <c r="X18" i="5"/>
  <c r="Q18" i="5"/>
  <c r="P18" i="5"/>
  <c r="W18" i="5"/>
  <c r="Y258" i="5"/>
  <c r="R258" i="5"/>
  <c r="X157" i="5"/>
  <c r="Q157" i="5"/>
  <c r="Z396" i="5"/>
  <c r="S396" i="5"/>
  <c r="X935" i="5"/>
  <c r="Q935" i="5"/>
  <c r="Y76" i="5"/>
  <c r="R76" i="5"/>
  <c r="Y490" i="5"/>
  <c r="R490" i="5"/>
  <c r="Z318" i="5"/>
  <c r="AA318" i="5" s="1"/>
  <c r="AB318" i="5" s="1"/>
  <c r="S318" i="5"/>
  <c r="X371" i="5"/>
  <c r="Q371" i="5"/>
  <c r="X147" i="5"/>
  <c r="Q147" i="5"/>
  <c r="Z62" i="5"/>
  <c r="S62" i="5"/>
  <c r="X764" i="5"/>
  <c r="Q764" i="5"/>
  <c r="W764" i="5"/>
  <c r="X609" i="5"/>
  <c r="Q609" i="5"/>
  <c r="W609" i="5"/>
  <c r="P609" i="5"/>
  <c r="Z12" i="5"/>
  <c r="S12" i="5"/>
  <c r="X728" i="5"/>
  <c r="Q728" i="5"/>
  <c r="W728" i="5"/>
  <c r="P728" i="5"/>
  <c r="X542" i="5"/>
  <c r="Q542" i="5"/>
  <c r="P542" i="5"/>
  <c r="W542" i="5"/>
  <c r="X135" i="5"/>
  <c r="Q135" i="5"/>
  <c r="W135" i="5"/>
  <c r="P135" i="5"/>
  <c r="X413" i="5"/>
  <c r="Q413" i="5"/>
  <c r="X315" i="5"/>
  <c r="Q315" i="5"/>
  <c r="W315" i="5"/>
  <c r="P315" i="5"/>
  <c r="X400" i="5"/>
  <c r="Q400" i="5"/>
  <c r="W400" i="5"/>
  <c r="P400" i="5"/>
  <c r="X285" i="5"/>
  <c r="Q285" i="5"/>
  <c r="W285" i="5"/>
  <c r="P285" i="5"/>
  <c r="X307" i="5"/>
  <c r="Q307" i="5"/>
  <c r="W307" i="5"/>
  <c r="P307" i="5"/>
  <c r="Y993" i="5"/>
  <c r="R993" i="5"/>
  <c r="Y936" i="5"/>
  <c r="R936" i="5"/>
  <c r="X385" i="5"/>
  <c r="Q385" i="5"/>
  <c r="X937" i="5"/>
  <c r="Q937" i="5"/>
  <c r="W937" i="5"/>
  <c r="P937" i="5"/>
  <c r="Y472" i="5"/>
  <c r="R472" i="5"/>
  <c r="Y333" i="5"/>
  <c r="R333" i="5"/>
  <c r="X333" i="5"/>
  <c r="X106" i="5"/>
  <c r="Q106" i="5"/>
  <c r="X7" i="5"/>
  <c r="Q7" i="5"/>
  <c r="W7" i="5"/>
  <c r="X727" i="5"/>
  <c r="Q727" i="5"/>
  <c r="X620" i="5"/>
  <c r="Q620" i="5"/>
  <c r="X738" i="5"/>
  <c r="Q738" i="5"/>
  <c r="W738" i="5"/>
  <c r="P738" i="5"/>
  <c r="X919" i="5"/>
  <c r="Q919" i="5"/>
  <c r="Y305" i="5"/>
  <c r="R305" i="5"/>
  <c r="Y677" i="5"/>
  <c r="R677" i="5"/>
  <c r="Y853" i="5"/>
  <c r="R853" i="5"/>
  <c r="Y866" i="5"/>
  <c r="R866" i="5"/>
  <c r="Y355" i="5"/>
  <c r="R355" i="5"/>
  <c r="X355" i="5"/>
  <c r="Z725" i="5"/>
  <c r="AA725" i="5" s="1"/>
  <c r="AB725" i="5" s="1"/>
  <c r="S725" i="5"/>
  <c r="X102" i="5"/>
  <c r="Q102" i="5"/>
  <c r="W102" i="5"/>
  <c r="X75" i="5"/>
  <c r="Q75" i="5"/>
  <c r="W75" i="5"/>
  <c r="X806" i="5"/>
  <c r="Q806" i="5"/>
  <c r="W806" i="5"/>
  <c r="P806" i="5"/>
  <c r="Y182" i="5"/>
  <c r="R182" i="5"/>
  <c r="X925" i="5"/>
  <c r="Q925" i="5"/>
  <c r="P925" i="5"/>
  <c r="W925" i="5"/>
  <c r="X182" i="5"/>
  <c r="Q182" i="5"/>
  <c r="Y181" i="5"/>
  <c r="R181" i="5"/>
  <c r="Z281" i="5"/>
  <c r="S281" i="5"/>
  <c r="X418" i="5"/>
  <c r="Q418" i="5"/>
  <c r="W418" i="5"/>
  <c r="P418" i="5"/>
  <c r="Y564" i="5"/>
  <c r="R564" i="5"/>
  <c r="X564" i="5"/>
  <c r="Q564" i="5"/>
  <c r="Y476" i="5"/>
  <c r="AA476" i="5" s="1"/>
  <c r="AB476" i="5" s="1"/>
  <c r="R476" i="5"/>
  <c r="Z691" i="5"/>
  <c r="S691" i="5"/>
  <c r="X165" i="5"/>
  <c r="Q165" i="5"/>
  <c r="W165" i="5"/>
  <c r="Z924" i="5"/>
  <c r="S924" i="5"/>
  <c r="Z30" i="5"/>
  <c r="S30" i="5"/>
  <c r="X573" i="5"/>
  <c r="Q573" i="5"/>
  <c r="W573" i="5"/>
  <c r="X66" i="5"/>
  <c r="Q66" i="5"/>
  <c r="W66" i="5"/>
  <c r="AA66" i="5" s="1"/>
  <c r="AB66" i="5" s="1"/>
  <c r="P66" i="5"/>
  <c r="Z132" i="5"/>
  <c r="S132" i="5"/>
  <c r="Y360" i="5"/>
  <c r="R360" i="5"/>
  <c r="X154" i="5"/>
  <c r="Q154" i="5"/>
  <c r="X628" i="5"/>
  <c r="Q628" i="5"/>
  <c r="Y20" i="5"/>
  <c r="R20" i="5"/>
  <c r="X631" i="5"/>
  <c r="Q631" i="5"/>
  <c r="W631" i="5"/>
  <c r="P631" i="5"/>
  <c r="Z931" i="5"/>
  <c r="S931" i="5"/>
  <c r="Y868" i="5"/>
  <c r="R868" i="5"/>
  <c r="X868" i="5"/>
  <c r="Q868" i="5"/>
  <c r="X429" i="5"/>
  <c r="Q429" i="5"/>
  <c r="W429" i="5"/>
  <c r="Y154" i="5"/>
  <c r="R154" i="5"/>
  <c r="Z923" i="5"/>
  <c r="S923" i="5"/>
  <c r="X885" i="5"/>
  <c r="Q885" i="5"/>
  <c r="W885" i="5"/>
  <c r="P885" i="5"/>
  <c r="Z766" i="5"/>
  <c r="S766" i="5"/>
  <c r="Z818" i="5"/>
  <c r="S818" i="5"/>
  <c r="Z922" i="5"/>
  <c r="S922" i="5"/>
  <c r="Z860" i="5"/>
  <c r="S860" i="5"/>
  <c r="X897" i="5"/>
  <c r="Q897" i="5"/>
  <c r="W897" i="5"/>
  <c r="X183" i="5"/>
  <c r="Q183" i="5"/>
  <c r="P183" i="5"/>
  <c r="X634" i="5"/>
  <c r="Q634" i="5"/>
  <c r="T634" i="5" s="1"/>
  <c r="U634" i="5" s="1"/>
  <c r="X996" i="5"/>
  <c r="Q996" i="5"/>
  <c r="P996" i="5"/>
  <c r="W996" i="5"/>
  <c r="Y208" i="5"/>
  <c r="R208" i="5"/>
  <c r="Z912" i="5"/>
  <c r="S912" i="5"/>
  <c r="X208" i="5"/>
  <c r="Q208" i="5"/>
  <c r="W208" i="5"/>
  <c r="Z196" i="5"/>
  <c r="S196" i="5"/>
  <c r="Z37" i="5"/>
  <c r="S37" i="5"/>
  <c r="X196" i="5"/>
  <c r="Q196" i="5"/>
  <c r="P196" i="5"/>
  <c r="W196" i="5"/>
  <c r="Z906" i="5"/>
  <c r="S906" i="5"/>
  <c r="X167" i="5"/>
  <c r="Q167" i="5"/>
  <c r="Z208" i="5"/>
  <c r="S208" i="5"/>
  <c r="X104" i="5"/>
  <c r="Q104" i="5"/>
  <c r="P104" i="5"/>
  <c r="W104" i="5"/>
  <c r="Y90" i="5"/>
  <c r="R90" i="5"/>
  <c r="Z434" i="5"/>
  <c r="S434" i="5"/>
  <c r="Y220" i="5"/>
  <c r="R220" i="5"/>
  <c r="X622" i="5"/>
  <c r="Q622" i="5"/>
  <c r="Z572" i="5"/>
  <c r="S572" i="5"/>
  <c r="Z41" i="5"/>
  <c r="S41" i="5"/>
  <c r="X266" i="5"/>
  <c r="Q266" i="5"/>
  <c r="X598" i="5"/>
  <c r="Q598" i="5"/>
  <c r="W598" i="5"/>
  <c r="P598" i="5"/>
  <c r="Y944" i="5"/>
  <c r="R944" i="5"/>
  <c r="Y367" i="5"/>
  <c r="R367" i="5"/>
  <c r="Z635" i="5"/>
  <c r="S635" i="5"/>
  <c r="X792" i="5"/>
  <c r="Q792" i="5"/>
  <c r="Y803" i="5"/>
  <c r="AA803" i="5" s="1"/>
  <c r="AB803" i="5" s="1"/>
  <c r="R803" i="5"/>
  <c r="Y354" i="5"/>
  <c r="R354" i="5"/>
  <c r="Y979" i="5"/>
  <c r="R979" i="5"/>
  <c r="Z411" i="5"/>
  <c r="S411" i="5"/>
  <c r="X812" i="5"/>
  <c r="Q812" i="5"/>
  <c r="W812" i="5"/>
  <c r="P812" i="5"/>
  <c r="Y173" i="5"/>
  <c r="R173" i="5"/>
  <c r="Z812" i="5"/>
  <c r="S812" i="5"/>
  <c r="Z206" i="5"/>
  <c r="S206" i="5"/>
  <c r="Y918" i="5"/>
  <c r="R918" i="5"/>
  <c r="Y696" i="5"/>
  <c r="R696" i="5"/>
  <c r="X957" i="5"/>
  <c r="Q957" i="5"/>
  <c r="P957" i="5"/>
  <c r="Y78" i="5"/>
  <c r="R78" i="5"/>
  <c r="Y623" i="5"/>
  <c r="R623" i="5"/>
  <c r="Y111" i="5"/>
  <c r="R111" i="5"/>
  <c r="Y952" i="5"/>
  <c r="R952" i="5"/>
  <c r="Y999" i="5"/>
  <c r="R999" i="5"/>
  <c r="X111" i="5"/>
  <c r="Q111" i="5"/>
  <c r="W111" i="5"/>
  <c r="P111" i="5"/>
  <c r="Z214" i="5"/>
  <c r="S214" i="5"/>
  <c r="Y938" i="5"/>
  <c r="R938" i="5"/>
  <c r="Y125" i="5"/>
  <c r="R125" i="5"/>
  <c r="Z563" i="5"/>
  <c r="S563" i="5"/>
  <c r="X475" i="5"/>
  <c r="Q475" i="5"/>
  <c r="W475" i="5"/>
  <c r="P475" i="5"/>
  <c r="Z383" i="5"/>
  <c r="S383" i="5"/>
  <c r="Y163" i="5"/>
  <c r="R163" i="5"/>
  <c r="Y746" i="5"/>
  <c r="R746" i="5"/>
  <c r="Z619" i="5"/>
  <c r="S619" i="5"/>
  <c r="Y698" i="5"/>
  <c r="R698" i="5"/>
  <c r="X692" i="5"/>
  <c r="Q692" i="5"/>
  <c r="Z390" i="5"/>
  <c r="S390" i="5"/>
  <c r="X619" i="5"/>
  <c r="Q619" i="5"/>
  <c r="P619" i="5"/>
  <c r="W619" i="5"/>
  <c r="Z407" i="5"/>
  <c r="S407" i="5"/>
  <c r="Y829" i="5"/>
  <c r="R829" i="5"/>
  <c r="Y484" i="5"/>
  <c r="R484" i="5"/>
  <c r="Y736" i="5"/>
  <c r="R736" i="5"/>
  <c r="X484" i="5"/>
  <c r="Q484" i="5"/>
  <c r="Z607" i="5"/>
  <c r="S607" i="5"/>
  <c r="Y505" i="5"/>
  <c r="R505" i="5"/>
  <c r="X211" i="5"/>
  <c r="Q211" i="5"/>
  <c r="W211" i="5"/>
  <c r="P211" i="5"/>
  <c r="Z930" i="5"/>
  <c r="S930" i="5"/>
  <c r="Y940" i="5"/>
  <c r="R940" i="5"/>
  <c r="Y453" i="5"/>
  <c r="R453" i="5"/>
  <c r="Y568" i="5"/>
  <c r="R568" i="5"/>
  <c r="X930" i="5"/>
  <c r="Q930" i="5"/>
  <c r="X824" i="5"/>
  <c r="Q824" i="5"/>
  <c r="P824" i="5"/>
  <c r="W824" i="5"/>
  <c r="Z420" i="5"/>
  <c r="S420" i="5"/>
  <c r="Y706" i="5"/>
  <c r="R706" i="5"/>
  <c r="Y264" i="5"/>
  <c r="R264" i="5"/>
  <c r="Z595" i="5"/>
  <c r="S595" i="5"/>
  <c r="Z500" i="5"/>
  <c r="S500" i="5"/>
  <c r="X272" i="5"/>
  <c r="Q272" i="5"/>
  <c r="T272" i="5" s="1"/>
  <c r="U272" i="5" s="1"/>
  <c r="W272" i="5"/>
  <c r="X737" i="5"/>
  <c r="Q737" i="5"/>
  <c r="W737" i="5"/>
  <c r="P737" i="5"/>
  <c r="Z612" i="5"/>
  <c r="S612" i="5"/>
  <c r="X150" i="5"/>
  <c r="AA150" i="5" s="1"/>
  <c r="AB150" i="5" s="1"/>
  <c r="Q150" i="5"/>
  <c r="X123" i="5"/>
  <c r="Q123" i="5"/>
  <c r="W123" i="5"/>
  <c r="P123" i="5"/>
  <c r="X221" i="5"/>
  <c r="Q221" i="5"/>
  <c r="W221" i="5"/>
  <c r="P221" i="5"/>
  <c r="Y674" i="5"/>
  <c r="R674" i="5"/>
  <c r="Z726" i="5"/>
  <c r="S726" i="5"/>
  <c r="Z190" i="5"/>
  <c r="S190" i="5"/>
  <c r="X351" i="5"/>
  <c r="AA351" i="5" s="1"/>
  <c r="AB351" i="5" s="1"/>
  <c r="Q351" i="5"/>
  <c r="W351" i="5"/>
  <c r="P351" i="5"/>
  <c r="Z532" i="5"/>
  <c r="S532" i="5"/>
  <c r="Y563" i="5"/>
  <c r="R563" i="5"/>
  <c r="Z157" i="5"/>
  <c r="S157" i="5"/>
  <c r="Y854" i="5"/>
  <c r="R854" i="5"/>
  <c r="X177" i="5"/>
  <c r="Q177" i="5"/>
  <c r="P177" i="5"/>
  <c r="W177" i="5"/>
  <c r="Y71" i="5"/>
  <c r="R71" i="5"/>
  <c r="X526" i="5"/>
  <c r="Q526" i="5"/>
  <c r="Y907" i="5"/>
  <c r="R907" i="5"/>
  <c r="Y679" i="5"/>
  <c r="R679" i="5"/>
  <c r="Z71" i="5"/>
  <c r="S71" i="5"/>
  <c r="X970" i="5"/>
  <c r="Q970" i="5"/>
  <c r="W970" i="5"/>
  <c r="P970" i="5"/>
  <c r="Y153" i="5"/>
  <c r="R153" i="5"/>
  <c r="Z514" i="5"/>
  <c r="S514" i="5"/>
  <c r="Z928" i="5"/>
  <c r="S928" i="5"/>
  <c r="X209" i="5"/>
  <c r="Q209" i="5"/>
  <c r="W209" i="5"/>
  <c r="P209" i="5"/>
  <c r="Z358" i="5"/>
  <c r="S358" i="5"/>
  <c r="Y604" i="5"/>
  <c r="R604" i="5"/>
  <c r="X871" i="5"/>
  <c r="Q871" i="5"/>
  <c r="Z429" i="5"/>
  <c r="S429" i="5"/>
  <c r="Y726" i="5"/>
  <c r="R726" i="5"/>
  <c r="Z259" i="5"/>
  <c r="S259" i="5"/>
  <c r="Z189" i="5"/>
  <c r="S189" i="5"/>
  <c r="Y652" i="5"/>
  <c r="AA652" i="5" s="1"/>
  <c r="AB652" i="5" s="1"/>
  <c r="R652" i="5"/>
  <c r="Z133" i="5"/>
  <c r="S133" i="5"/>
  <c r="X694" i="5"/>
  <c r="Q694" i="5"/>
  <c r="W694" i="5"/>
  <c r="P694" i="5"/>
  <c r="X552" i="5"/>
  <c r="Q552" i="5"/>
  <c r="P552" i="5"/>
  <c r="Y79" i="5"/>
  <c r="R79" i="5"/>
  <c r="Y670" i="5"/>
  <c r="R670" i="5"/>
  <c r="Z751" i="5"/>
  <c r="S751" i="5"/>
  <c r="Z144" i="5"/>
  <c r="S144" i="5"/>
  <c r="Z435" i="5"/>
  <c r="S435" i="5"/>
  <c r="Z794" i="5"/>
  <c r="S794" i="5"/>
  <c r="Z344" i="5"/>
  <c r="S344" i="5"/>
  <c r="Z261" i="5"/>
  <c r="S261" i="5"/>
  <c r="Z593" i="5"/>
  <c r="S593" i="5"/>
  <c r="Z579" i="5"/>
  <c r="S579" i="5"/>
  <c r="Z952" i="5"/>
  <c r="S952" i="5"/>
  <c r="Y822" i="5"/>
  <c r="R822" i="5"/>
  <c r="X729" i="5"/>
  <c r="Q729" i="5"/>
  <c r="W729" i="5"/>
  <c r="P729" i="5"/>
  <c r="Z983" i="5"/>
  <c r="S983" i="5"/>
  <c r="Z768" i="5"/>
  <c r="S768" i="5"/>
  <c r="Z742" i="5"/>
  <c r="S742" i="5"/>
  <c r="Y363" i="5"/>
  <c r="R363" i="5"/>
  <c r="Z36" i="5"/>
  <c r="S36" i="5"/>
  <c r="Y180" i="5"/>
  <c r="R180" i="5"/>
  <c r="Z663" i="5"/>
  <c r="S663" i="5"/>
  <c r="Z468" i="5"/>
  <c r="S468" i="5"/>
  <c r="Z354" i="5"/>
  <c r="S354" i="5"/>
  <c r="Y270" i="5"/>
  <c r="R270" i="5"/>
  <c r="W931" i="5"/>
  <c r="W154" i="5"/>
  <c r="AA377" i="5"/>
  <c r="AB377" i="5" s="1"/>
  <c r="AA182" i="5"/>
  <c r="AB182" i="5" s="1"/>
  <c r="AA978" i="5"/>
  <c r="AB978" i="5" s="1"/>
  <c r="AA789" i="5"/>
  <c r="AB789" i="5" s="1"/>
  <c r="AA256" i="5"/>
  <c r="AB256" i="5" s="1"/>
  <c r="AA508" i="5"/>
  <c r="AB508" i="5" s="1"/>
  <c r="AA352" i="5"/>
  <c r="AB352" i="5" s="1"/>
  <c r="AA774" i="5"/>
  <c r="AB774" i="5" s="1"/>
  <c r="AA601" i="5"/>
  <c r="AB601" i="5" s="1"/>
  <c r="P625" i="5"/>
  <c r="Z851" i="5"/>
  <c r="S851" i="5"/>
  <c r="Q451" i="5"/>
  <c r="P429" i="5"/>
  <c r="W706" i="5"/>
  <c r="W259" i="5"/>
  <c r="W846" i="5"/>
  <c r="W552" i="5"/>
  <c r="P102" i="5"/>
  <c r="P794" i="5"/>
  <c r="X434" i="5"/>
  <c r="Q434" i="5"/>
  <c r="P434" i="5"/>
  <c r="W434" i="5"/>
  <c r="Z783" i="5"/>
  <c r="S783" i="5"/>
  <c r="X851" i="5"/>
  <c r="Q851" i="5"/>
  <c r="W851" i="5"/>
  <c r="X448" i="5"/>
  <c r="Q448" i="5"/>
  <c r="Y162" i="5"/>
  <c r="R162" i="5"/>
  <c r="Z152" i="5"/>
  <c r="S152" i="5"/>
  <c r="Z21" i="5"/>
  <c r="S21" i="5"/>
  <c r="Y622" i="5"/>
  <c r="AA622" i="5" s="1"/>
  <c r="AB622" i="5" s="1"/>
  <c r="R622" i="5"/>
  <c r="Y41" i="5"/>
  <c r="R41" i="5"/>
  <c r="Y219" i="5"/>
  <c r="R219" i="5"/>
  <c r="Y416" i="5"/>
  <c r="R416" i="5"/>
  <c r="Z328" i="5"/>
  <c r="AA328" i="5" s="1"/>
  <c r="AB328" i="5" s="1"/>
  <c r="S328" i="5"/>
  <c r="Y981" i="5"/>
  <c r="R981" i="5"/>
  <c r="Y856" i="5"/>
  <c r="R856" i="5"/>
  <c r="X433" i="5"/>
  <c r="Q433" i="5"/>
  <c r="W433" i="5"/>
  <c r="P433" i="5"/>
  <c r="X329" i="5"/>
  <c r="Q329" i="5"/>
  <c r="X883" i="5"/>
  <c r="Q883" i="5"/>
  <c r="P883" i="5"/>
  <c r="X136" i="5"/>
  <c r="Q136" i="5"/>
  <c r="X667" i="5"/>
  <c r="Q667" i="5"/>
  <c r="P667" i="5"/>
  <c r="W667" i="5"/>
  <c r="X551" i="5"/>
  <c r="Q551" i="5"/>
  <c r="W551" i="5"/>
  <c r="P551" i="5"/>
  <c r="Y229" i="5"/>
  <c r="R229" i="5"/>
  <c r="X129" i="5"/>
  <c r="Q129" i="5"/>
  <c r="X704" i="5"/>
  <c r="Q704" i="5"/>
  <c r="W704" i="5"/>
  <c r="P704" i="5"/>
  <c r="Z856" i="5"/>
  <c r="S856" i="5"/>
  <c r="X640" i="5"/>
  <c r="AA640" i="5" s="1"/>
  <c r="AB640" i="5" s="1"/>
  <c r="Q640" i="5"/>
  <c r="Z433" i="5"/>
  <c r="S433" i="5"/>
  <c r="Z240" i="5"/>
  <c r="S240" i="5"/>
  <c r="X278" i="5"/>
  <c r="Q278" i="5"/>
  <c r="P278" i="5"/>
  <c r="Y21" i="5"/>
  <c r="R21" i="5"/>
  <c r="Z252" i="5"/>
  <c r="S252" i="5"/>
  <c r="Y577" i="5"/>
  <c r="R577" i="5"/>
  <c r="Y489" i="5"/>
  <c r="R489" i="5"/>
  <c r="X143" i="5"/>
  <c r="Q143" i="5"/>
  <c r="W143" i="5"/>
  <c r="P143" i="5"/>
  <c r="Z330" i="5"/>
  <c r="AA330" i="5" s="1"/>
  <c r="AB330" i="5" s="1"/>
  <c r="S330" i="5"/>
  <c r="Y169" i="5"/>
  <c r="R169" i="5"/>
  <c r="X837" i="5"/>
  <c r="Q837" i="5"/>
  <c r="P837" i="5"/>
  <c r="Z164" i="5"/>
  <c r="S164" i="5"/>
  <c r="T164" i="5" s="1"/>
  <c r="U164" i="5" s="1"/>
  <c r="Y786" i="5"/>
  <c r="R786" i="5"/>
  <c r="Y462" i="5"/>
  <c r="AA462" i="5" s="1"/>
  <c r="AB462" i="5" s="1"/>
  <c r="R462" i="5"/>
  <c r="X587" i="5"/>
  <c r="Q587" i="5"/>
  <c r="X253" i="5"/>
  <c r="Q253" i="5"/>
  <c r="T253" i="5" s="1"/>
  <c r="U253" i="5" s="1"/>
  <c r="Y67" i="5"/>
  <c r="R67" i="5"/>
  <c r="Y353" i="5"/>
  <c r="AA353" i="5" s="1"/>
  <c r="AB353" i="5" s="1"/>
  <c r="R353" i="5"/>
  <c r="Y529" i="5"/>
  <c r="R529" i="5"/>
  <c r="X326" i="5"/>
  <c r="Q326" i="5"/>
  <c r="Y687" i="5"/>
  <c r="R687" i="5"/>
  <c r="X687" i="5"/>
  <c r="Q687" i="5"/>
  <c r="Z690" i="5"/>
  <c r="S690" i="5"/>
  <c r="X296" i="5"/>
  <c r="Q296" i="5"/>
  <c r="W296" i="5"/>
  <c r="P296" i="5"/>
  <c r="Y793" i="5"/>
  <c r="R793" i="5"/>
  <c r="X332" i="5"/>
  <c r="Q332" i="5"/>
  <c r="P332" i="5"/>
  <c r="X616" i="5"/>
  <c r="Q616" i="5"/>
  <c r="W616" i="5"/>
  <c r="Z765" i="5"/>
  <c r="S765" i="5"/>
  <c r="Y741" i="5"/>
  <c r="R741" i="5"/>
  <c r="Y540" i="5"/>
  <c r="R540" i="5"/>
  <c r="Z561" i="5"/>
  <c r="S561" i="5"/>
  <c r="Y561" i="5"/>
  <c r="X467" i="5"/>
  <c r="AA467" i="5" s="1"/>
  <c r="AB467" i="5" s="1"/>
  <c r="Q467" i="5"/>
  <c r="Z408" i="5"/>
  <c r="S408" i="5"/>
  <c r="Y825" i="5"/>
  <c r="AA825" i="5" s="1"/>
  <c r="AB825" i="5" s="1"/>
  <c r="R825" i="5"/>
  <c r="X381" i="5"/>
  <c r="Q381" i="5"/>
  <c r="P381" i="5"/>
  <c r="X645" i="5"/>
  <c r="Q645" i="5"/>
  <c r="W645" i="5"/>
  <c r="P645" i="5"/>
  <c r="Y971" i="5"/>
  <c r="R971" i="5"/>
  <c r="X249" i="5"/>
  <c r="Q249" i="5"/>
  <c r="Y18" i="5"/>
  <c r="R18" i="5"/>
  <c r="X45" i="5"/>
  <c r="Q45" i="5"/>
  <c r="W45" i="5"/>
  <c r="Y398" i="5"/>
  <c r="R398" i="5"/>
  <c r="X398" i="5"/>
  <c r="Q398" i="5"/>
  <c r="Y935" i="5"/>
  <c r="R935" i="5"/>
  <c r="Y599" i="5"/>
  <c r="R599" i="5"/>
  <c r="Y341" i="5"/>
  <c r="R341" i="5"/>
  <c r="X76" i="5"/>
  <c r="Q76" i="5"/>
  <c r="W76" i="5"/>
  <c r="P76" i="5"/>
  <c r="X117" i="5"/>
  <c r="AA117" i="5" s="1"/>
  <c r="AB117" i="5" s="1"/>
  <c r="Q117" i="5"/>
  <c r="Y893" i="5"/>
  <c r="R893" i="5"/>
  <c r="X893" i="5"/>
  <c r="Q893" i="5"/>
  <c r="Z545" i="5"/>
  <c r="S545" i="5"/>
  <c r="X243" i="5"/>
  <c r="Q243" i="5"/>
  <c r="W243" i="5"/>
  <c r="P243" i="5"/>
  <c r="X180" i="5"/>
  <c r="Q180" i="5"/>
  <c r="X39" i="5"/>
  <c r="Q39" i="5"/>
  <c r="X62" i="5"/>
  <c r="Q62" i="5"/>
  <c r="P62" i="5"/>
  <c r="W62" i="5"/>
  <c r="X237" i="5"/>
  <c r="Q237" i="5"/>
  <c r="W237" i="5"/>
  <c r="P237" i="5"/>
  <c r="Y183" i="5"/>
  <c r="R183" i="5"/>
  <c r="Y37" i="5"/>
  <c r="R37" i="5"/>
  <c r="X32" i="5"/>
  <c r="Q32" i="5"/>
  <c r="P32" i="5"/>
  <c r="W32" i="5"/>
  <c r="Y282" i="5"/>
  <c r="R282" i="5"/>
  <c r="X175" i="5"/>
  <c r="Q175" i="5"/>
  <c r="Z943" i="5"/>
  <c r="S943" i="5"/>
  <c r="Z4" i="5"/>
  <c r="S4" i="5"/>
  <c r="Z8" i="5"/>
  <c r="S8" i="5"/>
  <c r="R8" i="5"/>
  <c r="Y547" i="5"/>
  <c r="R547" i="5"/>
  <c r="X323" i="5"/>
  <c r="Q323" i="5"/>
  <c r="P323" i="5"/>
  <c r="W323" i="5"/>
  <c r="Z3" i="5"/>
  <c r="S3" i="5"/>
  <c r="Z135" i="5"/>
  <c r="S135" i="5"/>
  <c r="Y3" i="5"/>
  <c r="R3" i="5"/>
  <c r="Y135" i="5"/>
  <c r="R135" i="5"/>
  <c r="Y285" i="5"/>
  <c r="R285" i="5"/>
  <c r="Y881" i="5"/>
  <c r="R881" i="5"/>
  <c r="Y88" i="5"/>
  <c r="R88" i="5"/>
  <c r="Z705" i="5"/>
  <c r="S705" i="5"/>
  <c r="Y231" i="5"/>
  <c r="R231" i="5"/>
  <c r="Y812" i="5"/>
  <c r="R812" i="5"/>
  <c r="Y313" i="5"/>
  <c r="R313" i="5"/>
  <c r="Z936" i="5"/>
  <c r="S936" i="5"/>
  <c r="X993" i="5"/>
  <c r="Q993" i="5"/>
  <c r="X719" i="5"/>
  <c r="Q719" i="5"/>
  <c r="Y199" i="5"/>
  <c r="R199" i="5"/>
  <c r="Z472" i="5"/>
  <c r="S472" i="5"/>
  <c r="T472" i="5" s="1"/>
  <c r="U472" i="5" s="1"/>
  <c r="Y155" i="5"/>
  <c r="R155" i="5"/>
  <c r="X155" i="5"/>
  <c r="Y106" i="5"/>
  <c r="R106" i="5"/>
  <c r="X709" i="5"/>
  <c r="Q709" i="5"/>
  <c r="W709" i="5"/>
  <c r="Y506" i="5"/>
  <c r="R506" i="5"/>
  <c r="Z677" i="5"/>
  <c r="S677" i="5"/>
  <c r="X890" i="5"/>
  <c r="Q890" i="5"/>
  <c r="W890" i="5"/>
  <c r="P890" i="5"/>
  <c r="Y254" i="5"/>
  <c r="R254" i="5"/>
  <c r="X254" i="5"/>
  <c r="Q254" i="5"/>
  <c r="W254" i="5"/>
  <c r="P254" i="5"/>
  <c r="Y342" i="5"/>
  <c r="R342" i="5"/>
  <c r="Y65" i="5"/>
  <c r="R65" i="5"/>
  <c r="X801" i="5"/>
  <c r="Q801" i="5"/>
  <c r="W801" i="5"/>
  <c r="P801" i="5"/>
  <c r="Z865" i="5"/>
  <c r="S865" i="5"/>
  <c r="T865" i="5" s="1"/>
  <c r="U865" i="5" s="1"/>
  <c r="Y340" i="5"/>
  <c r="R340" i="5"/>
  <c r="Y378" i="5"/>
  <c r="R378" i="5"/>
  <c r="Z181" i="5"/>
  <c r="S181" i="5"/>
  <c r="X832" i="5"/>
  <c r="Q832" i="5"/>
  <c r="W832" i="5"/>
  <c r="P832" i="5"/>
  <c r="Y758" i="5"/>
  <c r="R758" i="5"/>
  <c r="Z89" i="5"/>
  <c r="S89" i="5"/>
  <c r="X791" i="5"/>
  <c r="Q791" i="5"/>
  <c r="W791" i="5"/>
  <c r="P791" i="5"/>
  <c r="Y224" i="5"/>
  <c r="R224" i="5"/>
  <c r="X30" i="5"/>
  <c r="Q30" i="5"/>
  <c r="X907" i="5"/>
  <c r="Q907" i="5"/>
  <c r="T907" i="5" s="1"/>
  <c r="U907" i="5" s="1"/>
  <c r="P907" i="5"/>
  <c r="W907" i="5"/>
  <c r="Z360" i="5"/>
  <c r="AA360" i="5" s="1"/>
  <c r="AB360" i="5" s="1"/>
  <c r="S360" i="5"/>
  <c r="X507" i="5"/>
  <c r="Q507" i="5"/>
  <c r="Z847" i="5"/>
  <c r="S847" i="5"/>
  <c r="X847" i="5"/>
  <c r="Q847" i="5"/>
  <c r="Y543" i="5"/>
  <c r="R543" i="5"/>
  <c r="X657" i="5"/>
  <c r="Q657" i="5"/>
  <c r="X103" i="5"/>
  <c r="Q103" i="5"/>
  <c r="X1001" i="5"/>
  <c r="Q1001" i="5"/>
  <c r="Y213" i="5"/>
  <c r="R213" i="5"/>
  <c r="Y742" i="5"/>
  <c r="R742" i="5"/>
  <c r="Z300" i="5"/>
  <c r="S300" i="5"/>
  <c r="Y121" i="5"/>
  <c r="R121" i="5"/>
  <c r="X797" i="5"/>
  <c r="Q797" i="5"/>
  <c r="X835" i="5"/>
  <c r="Q835" i="5"/>
  <c r="P835" i="5"/>
  <c r="W835" i="5"/>
  <c r="X818" i="5"/>
  <c r="Q818" i="5"/>
  <c r="W818" i="5"/>
  <c r="X757" i="5"/>
  <c r="Q757" i="5"/>
  <c r="P757" i="5"/>
  <c r="Z757" i="5"/>
  <c r="S757" i="5"/>
  <c r="Z296" i="5"/>
  <c r="S296" i="5"/>
  <c r="Z724" i="5"/>
  <c r="S724" i="5"/>
  <c r="X528" i="5"/>
  <c r="Q528" i="5"/>
  <c r="W528" i="5"/>
  <c r="P528" i="5"/>
  <c r="Y423" i="5"/>
  <c r="R423" i="5"/>
  <c r="Y528" i="5"/>
  <c r="R528" i="5"/>
  <c r="Y882" i="5"/>
  <c r="R882" i="5"/>
  <c r="Z104" i="5"/>
  <c r="S104" i="5"/>
  <c r="Y501" i="5"/>
  <c r="R501" i="5"/>
  <c r="X277" i="5"/>
  <c r="Q277" i="5"/>
  <c r="W277" i="5"/>
  <c r="P277" i="5"/>
  <c r="Z376" i="5"/>
  <c r="S376" i="5"/>
  <c r="X88" i="5"/>
  <c r="Q88" i="5"/>
  <c r="Z637" i="5"/>
  <c r="S637" i="5"/>
  <c r="Y963" i="5"/>
  <c r="R963" i="5"/>
  <c r="Z136" i="5"/>
  <c r="S136" i="5"/>
  <c r="Z682" i="5"/>
  <c r="S682" i="5"/>
  <c r="Z946" i="5"/>
  <c r="AA946" i="5" s="1"/>
  <c r="AB946" i="5" s="1"/>
  <c r="S946" i="5"/>
  <c r="Z440" i="5"/>
  <c r="S440" i="5"/>
  <c r="Z83" i="5"/>
  <c r="S83" i="5"/>
  <c r="Y554" i="5"/>
  <c r="R554" i="5"/>
  <c r="X674" i="5"/>
  <c r="Q674" i="5"/>
  <c r="W674" i="5"/>
  <c r="P674" i="5"/>
  <c r="Z784" i="5"/>
  <c r="S784" i="5"/>
  <c r="Y908" i="5"/>
  <c r="R908" i="5"/>
  <c r="Y770" i="5"/>
  <c r="R770" i="5"/>
  <c r="X770" i="5"/>
  <c r="Q770" i="5"/>
  <c r="W770" i="5"/>
  <c r="P770" i="5"/>
  <c r="Y298" i="5"/>
  <c r="R298" i="5"/>
  <c r="Z694" i="5"/>
  <c r="S694" i="5"/>
  <c r="R694" i="5"/>
  <c r="Y664" i="5"/>
  <c r="R664" i="5"/>
  <c r="Y308" i="5"/>
  <c r="R308" i="5"/>
  <c r="Z918" i="5"/>
  <c r="S918" i="5"/>
  <c r="Z896" i="5"/>
  <c r="S896" i="5"/>
  <c r="X918" i="5"/>
  <c r="Q918" i="5"/>
  <c r="X173" i="5"/>
  <c r="Q173" i="5"/>
  <c r="W173" i="5"/>
  <c r="Z807" i="5"/>
  <c r="S807" i="5"/>
  <c r="Y645" i="5"/>
  <c r="R645" i="5"/>
  <c r="Z895" i="5"/>
  <c r="S895" i="5"/>
  <c r="Z605" i="5"/>
  <c r="S605" i="5"/>
  <c r="Z153" i="5"/>
  <c r="AA153" i="5" s="1"/>
  <c r="AB153" i="5" s="1"/>
  <c r="S153" i="5"/>
  <c r="Z488" i="5"/>
  <c r="S488" i="5"/>
  <c r="X346" i="5"/>
  <c r="Q346" i="5"/>
  <c r="Y450" i="5"/>
  <c r="R450" i="5"/>
  <c r="Y488" i="5"/>
  <c r="R488" i="5"/>
  <c r="Y830" i="5"/>
  <c r="R830" i="5"/>
  <c r="X869" i="5"/>
  <c r="Q869" i="5"/>
  <c r="W869" i="5"/>
  <c r="P869" i="5"/>
  <c r="Y166" i="5"/>
  <c r="R166" i="5"/>
  <c r="X118" i="5"/>
  <c r="Q118" i="5"/>
  <c r="W118" i="5"/>
  <c r="P118" i="5"/>
  <c r="X636" i="5"/>
  <c r="Q636" i="5"/>
  <c r="Z824" i="5"/>
  <c r="S824" i="5"/>
  <c r="X503" i="5"/>
  <c r="Q503" i="5"/>
  <c r="Z748" i="5"/>
  <c r="S748" i="5"/>
  <c r="Y480" i="5"/>
  <c r="R480" i="5"/>
  <c r="Y274" i="5"/>
  <c r="R274" i="5"/>
  <c r="Z755" i="5"/>
  <c r="S755" i="5"/>
  <c r="Y400" i="5"/>
  <c r="R400" i="5"/>
  <c r="X650" i="5"/>
  <c r="Q650" i="5"/>
  <c r="X181" i="5"/>
  <c r="AA181" i="5" s="1"/>
  <c r="AB181" i="5" s="1"/>
  <c r="Q181" i="5"/>
  <c r="Z56" i="5"/>
  <c r="S56" i="5"/>
  <c r="Z195" i="5"/>
  <c r="S195" i="5"/>
  <c r="Y217" i="5"/>
  <c r="R217" i="5"/>
  <c r="Y407" i="5"/>
  <c r="R407" i="5"/>
  <c r="X217" i="5"/>
  <c r="Q217" i="5"/>
  <c r="X407" i="5"/>
  <c r="Q407" i="5"/>
  <c r="W407" i="5"/>
  <c r="P407" i="5"/>
  <c r="X736" i="5"/>
  <c r="Q736" i="5"/>
  <c r="P736" i="5"/>
  <c r="W736" i="5"/>
  <c r="Y535" i="5"/>
  <c r="R535" i="5"/>
  <c r="X115" i="5"/>
  <c r="Q115" i="5"/>
  <c r="Z486" i="5"/>
  <c r="S486" i="5"/>
  <c r="Z244" i="5"/>
  <c r="S244" i="5"/>
  <c r="X538" i="5"/>
  <c r="Q538" i="5"/>
  <c r="W538" i="5"/>
  <c r="P538" i="5"/>
  <c r="Z541" i="5"/>
  <c r="S541" i="5"/>
  <c r="X486" i="5"/>
  <c r="Q486" i="5"/>
  <c r="Y727" i="5"/>
  <c r="R727" i="5"/>
  <c r="Z539" i="5"/>
  <c r="S539" i="5"/>
  <c r="Y209" i="5"/>
  <c r="R209" i="5"/>
  <c r="Y10" i="5"/>
  <c r="R10" i="5"/>
  <c r="X576" i="5"/>
  <c r="Q576" i="5"/>
  <c r="W576" i="5"/>
  <c r="P576" i="5"/>
  <c r="Z458" i="5"/>
  <c r="S458" i="5"/>
  <c r="Y284" i="5"/>
  <c r="R284" i="5"/>
  <c r="Y292" i="5"/>
  <c r="R292" i="5"/>
  <c r="X148" i="5"/>
  <c r="Q148" i="5"/>
  <c r="P148" i="5"/>
  <c r="W148" i="5"/>
  <c r="X531" i="5"/>
  <c r="Q531" i="5"/>
  <c r="P531" i="5"/>
  <c r="W531" i="5"/>
  <c r="Y221" i="5"/>
  <c r="R221" i="5"/>
  <c r="X571" i="5"/>
  <c r="Q571" i="5"/>
  <c r="W571" i="5"/>
  <c r="P571" i="5"/>
  <c r="Z2" i="5"/>
  <c r="S2" i="5"/>
  <c r="X543" i="5"/>
  <c r="Q543" i="5"/>
  <c r="X611" i="5"/>
  <c r="Q611" i="5"/>
  <c r="P611" i="5"/>
  <c r="X532" i="5"/>
  <c r="Q532" i="5"/>
  <c r="W532" i="5"/>
  <c r="P532" i="5"/>
  <c r="Y682" i="5"/>
  <c r="R682" i="5"/>
  <c r="X388" i="5"/>
  <c r="Q388" i="5"/>
  <c r="W388" i="5"/>
  <c r="Z503" i="5"/>
  <c r="S503" i="5"/>
  <c r="Z245" i="5"/>
  <c r="S245" i="5"/>
  <c r="Z854" i="5"/>
  <c r="S854" i="5"/>
  <c r="Z760" i="5"/>
  <c r="S760" i="5"/>
  <c r="Z177" i="5"/>
  <c r="S177" i="5"/>
  <c r="Z966" i="5"/>
  <c r="S966" i="5"/>
  <c r="Z740" i="5"/>
  <c r="S740" i="5"/>
  <c r="Z511" i="5"/>
  <c r="S511" i="5"/>
  <c r="Z649" i="5"/>
  <c r="S649" i="5"/>
  <c r="X762" i="5"/>
  <c r="Q762" i="5"/>
  <c r="Y748" i="5"/>
  <c r="R748" i="5"/>
  <c r="Z374" i="5"/>
  <c r="AA374" i="5" s="1"/>
  <c r="AB374" i="5" s="1"/>
  <c r="S374" i="5"/>
  <c r="Z938" i="5"/>
  <c r="S938" i="5"/>
  <c r="Z369" i="5"/>
  <c r="S369" i="5"/>
  <c r="Z350" i="5"/>
  <c r="S350" i="5"/>
  <c r="Z535" i="5"/>
  <c r="S535" i="5"/>
  <c r="Z236" i="5"/>
  <c r="S236" i="5"/>
  <c r="Y4" i="5"/>
  <c r="R4" i="5"/>
  <c r="Z718" i="5"/>
  <c r="S718" i="5"/>
  <c r="Z819" i="5"/>
  <c r="S819" i="5"/>
  <c r="Y846" i="5"/>
  <c r="R846" i="5"/>
  <c r="Z402" i="5"/>
  <c r="S402" i="5"/>
  <c r="Z859" i="5"/>
  <c r="S859" i="5"/>
  <c r="Z299" i="5"/>
  <c r="S299" i="5"/>
  <c r="Z123" i="5"/>
  <c r="S123" i="5"/>
  <c r="Z388" i="5"/>
  <c r="S388" i="5"/>
  <c r="Z638" i="5"/>
  <c r="S638" i="5"/>
  <c r="Z115" i="5"/>
  <c r="S115" i="5"/>
  <c r="Z308" i="5"/>
  <c r="S308" i="5"/>
  <c r="X892" i="5"/>
  <c r="Q892" i="5"/>
  <c r="Z738" i="5"/>
  <c r="S738" i="5"/>
  <c r="Y383" i="5"/>
  <c r="R383" i="5"/>
  <c r="Y499" i="5"/>
  <c r="R499" i="5"/>
  <c r="Y156" i="5"/>
  <c r="R156" i="5"/>
  <c r="X912" i="5"/>
  <c r="AA912" i="5" s="1"/>
  <c r="AB912" i="5" s="1"/>
  <c r="Q912" i="5"/>
  <c r="W912" i="5"/>
  <c r="Z991" i="5"/>
  <c r="S991" i="5"/>
  <c r="Z362" i="5"/>
  <c r="S362" i="5"/>
  <c r="Z400" i="5"/>
  <c r="S400" i="5"/>
  <c r="Y994" i="5"/>
  <c r="R994" i="5"/>
  <c r="X396" i="5"/>
  <c r="Q396" i="5"/>
  <c r="Z940" i="5"/>
  <c r="AA940" i="5" s="1"/>
  <c r="AB940" i="5" s="1"/>
  <c r="S940" i="5"/>
  <c r="X964" i="5"/>
  <c r="Q964" i="5"/>
  <c r="W964" i="5"/>
  <c r="P964" i="5"/>
  <c r="W456" i="5"/>
  <c r="W384" i="5"/>
  <c r="W549" i="5"/>
  <c r="AA549" i="5" s="1"/>
  <c r="AB549" i="5" s="1"/>
  <c r="AA873" i="5"/>
  <c r="AB873" i="5" s="1"/>
  <c r="AA588" i="5"/>
  <c r="AB588" i="5" s="1"/>
  <c r="Y40" i="5"/>
  <c r="R40" i="5"/>
  <c r="X950" i="5"/>
  <c r="Q950" i="5"/>
  <c r="P950" i="5"/>
  <c r="W950" i="5"/>
  <c r="Y629" i="5"/>
  <c r="R629" i="5"/>
  <c r="X927" i="5"/>
  <c r="Q927" i="5"/>
  <c r="P709" i="5"/>
  <c r="W341" i="5"/>
  <c r="AA630" i="5"/>
  <c r="AB630" i="5" s="1"/>
  <c r="AA586" i="5"/>
  <c r="AB586" i="5" s="1"/>
  <c r="AA250" i="5"/>
  <c r="AB250" i="5" s="1"/>
  <c r="AA682" i="5"/>
  <c r="AB682" i="5" s="1"/>
  <c r="W883" i="5"/>
  <c r="Q155" i="5"/>
  <c r="P299" i="5"/>
  <c r="P939" i="5"/>
  <c r="P282" i="5"/>
  <c r="P818" i="5"/>
  <c r="Y593" i="5"/>
  <c r="R593" i="5"/>
  <c r="X220" i="5"/>
  <c r="Q220" i="5"/>
  <c r="X290" i="5"/>
  <c r="Q290" i="5"/>
  <c r="W290" i="5"/>
  <c r="P290" i="5"/>
  <c r="X95" i="5"/>
  <c r="Q95" i="5"/>
  <c r="X219" i="5"/>
  <c r="Q219" i="5"/>
  <c r="W219" i="5"/>
  <c r="X416" i="5"/>
  <c r="Q416" i="5"/>
  <c r="X247" i="5"/>
  <c r="AA247" i="5" s="1"/>
  <c r="AB247" i="5" s="1"/>
  <c r="Q247" i="5"/>
  <c r="X42" i="5"/>
  <c r="Q42" i="5"/>
  <c r="W42" i="5"/>
  <c r="P42" i="5"/>
  <c r="Y434" i="5"/>
  <c r="R434" i="5"/>
  <c r="X469" i="5"/>
  <c r="Q469" i="5"/>
  <c r="W469" i="5"/>
  <c r="P469" i="5"/>
  <c r="X152" i="5"/>
  <c r="Q152" i="5"/>
  <c r="P152" i="5"/>
  <c r="Y329" i="5"/>
  <c r="AA329" i="5" s="1"/>
  <c r="AB329" i="5" s="1"/>
  <c r="R329" i="5"/>
  <c r="T329" i="5" s="1"/>
  <c r="U329" i="5" s="1"/>
  <c r="Y717" i="5"/>
  <c r="R717" i="5"/>
  <c r="X187" i="5"/>
  <c r="Q187" i="5"/>
  <c r="Y109" i="5"/>
  <c r="R109" i="5"/>
  <c r="Z662" i="5"/>
  <c r="S662" i="5"/>
  <c r="Y552" i="5"/>
  <c r="R552" i="5"/>
  <c r="Y772" i="5"/>
  <c r="R772" i="5"/>
  <c r="X683" i="5"/>
  <c r="Q683" i="5"/>
  <c r="W683" i="5"/>
  <c r="P683" i="5"/>
  <c r="Y252" i="5"/>
  <c r="AA252" i="5" s="1"/>
  <c r="AB252" i="5" s="1"/>
  <c r="R252" i="5"/>
  <c r="X577" i="5"/>
  <c r="Q577" i="5"/>
  <c r="W577" i="5"/>
  <c r="P577" i="5"/>
  <c r="X444" i="5"/>
  <c r="Q444" i="5"/>
  <c r="W444" i="5"/>
  <c r="P444" i="5"/>
  <c r="X430" i="5"/>
  <c r="Q430" i="5"/>
  <c r="W430" i="5"/>
  <c r="P430" i="5"/>
  <c r="X169" i="5"/>
  <c r="Q169" i="5"/>
  <c r="W169" i="5"/>
  <c r="P169" i="5"/>
  <c r="Y837" i="5"/>
  <c r="R837" i="5"/>
  <c r="X193" i="5"/>
  <c r="Q193" i="5"/>
  <c r="W193" i="5"/>
  <c r="P193" i="5"/>
  <c r="X625" i="5"/>
  <c r="Q625" i="5"/>
  <c r="X786" i="5"/>
  <c r="Q786" i="5"/>
  <c r="W786" i="5"/>
  <c r="P786" i="5"/>
  <c r="Y587" i="5"/>
  <c r="R587" i="5"/>
  <c r="X514" i="5"/>
  <c r="Q514" i="5"/>
  <c r="P514" i="5"/>
  <c r="W514" i="5"/>
  <c r="X810" i="5"/>
  <c r="Q810" i="5"/>
  <c r="W810" i="5"/>
  <c r="Z414" i="5"/>
  <c r="AA414" i="5" s="1"/>
  <c r="AB414" i="5" s="1"/>
  <c r="S414" i="5"/>
  <c r="X197" i="5"/>
  <c r="AA197" i="5" s="1"/>
  <c r="AB197" i="5" s="1"/>
  <c r="Q197" i="5"/>
  <c r="P197" i="5"/>
  <c r="Z529" i="5"/>
  <c r="S529" i="5"/>
  <c r="Y982" i="5"/>
  <c r="AA982" i="5" s="1"/>
  <c r="AB982" i="5" s="1"/>
  <c r="R982" i="5"/>
  <c r="Y34" i="5"/>
  <c r="R34" i="5"/>
  <c r="X34" i="5"/>
  <c r="Q34" i="5"/>
  <c r="X732" i="5"/>
  <c r="Q732" i="5"/>
  <c r="W732" i="5"/>
  <c r="P732" i="5"/>
  <c r="Y110" i="5"/>
  <c r="R110" i="5"/>
  <c r="Y260" i="5"/>
  <c r="R260" i="5"/>
  <c r="X260" i="5"/>
  <c r="Q260" i="5"/>
  <c r="P260" i="5"/>
  <c r="X987" i="5"/>
  <c r="AA987" i="5" s="1"/>
  <c r="AB987" i="5" s="1"/>
  <c r="Q987" i="5"/>
  <c r="P987" i="5"/>
  <c r="Z11" i="5"/>
  <c r="S11" i="5"/>
  <c r="Z113" i="5"/>
  <c r="AA113" i="5" s="1"/>
  <c r="AB113" i="5" s="1"/>
  <c r="S113" i="5"/>
  <c r="Y809" i="5"/>
  <c r="R809" i="5"/>
  <c r="T809" i="5" s="1"/>
  <c r="U809" i="5" s="1"/>
  <c r="Z947" i="5"/>
  <c r="S947" i="5"/>
  <c r="Y947" i="5"/>
  <c r="R947" i="5"/>
  <c r="Z321" i="5"/>
  <c r="S321" i="5"/>
  <c r="Z18" i="5"/>
  <c r="S18" i="5"/>
  <c r="Z459" i="5"/>
  <c r="S459" i="5"/>
  <c r="Y45" i="5"/>
  <c r="R45" i="5"/>
  <c r="Z935" i="5"/>
  <c r="AA935" i="5" s="1"/>
  <c r="AB935" i="5" s="1"/>
  <c r="S935" i="5"/>
  <c r="X465" i="5"/>
  <c r="AA465" i="5" s="1"/>
  <c r="AB465" i="5" s="1"/>
  <c r="Q465" i="5"/>
  <c r="Z76" i="5"/>
  <c r="S76" i="5"/>
  <c r="Y24" i="5"/>
  <c r="R24" i="5"/>
  <c r="Y723" i="5"/>
  <c r="R723" i="5"/>
  <c r="X723" i="5"/>
  <c r="Q723" i="5"/>
  <c r="P723" i="5"/>
  <c r="X1000" i="5"/>
  <c r="Q1000" i="5"/>
  <c r="Z482" i="5"/>
  <c r="S482" i="5"/>
  <c r="Z822" i="5"/>
  <c r="S822" i="5"/>
  <c r="Z39" i="5"/>
  <c r="AA39" i="5" s="1"/>
  <c r="AB39" i="5" s="1"/>
  <c r="S39" i="5"/>
  <c r="Y237" i="5"/>
  <c r="R237" i="5"/>
  <c r="X368" i="5"/>
  <c r="Q368" i="5"/>
  <c r="W368" i="5"/>
  <c r="P368" i="5"/>
  <c r="X325" i="5"/>
  <c r="AA325" i="5" s="1"/>
  <c r="AB325" i="5" s="1"/>
  <c r="Q325" i="5"/>
  <c r="W325" i="5"/>
  <c r="X546" i="5"/>
  <c r="Q546" i="5"/>
  <c r="W546" i="5"/>
  <c r="Z497" i="5"/>
  <c r="S497" i="5"/>
  <c r="Y446" i="5"/>
  <c r="R446" i="5"/>
  <c r="X446" i="5"/>
  <c r="Q446" i="5"/>
  <c r="Y12" i="5"/>
  <c r="R12" i="5"/>
  <c r="X12" i="5"/>
  <c r="Q12" i="5"/>
  <c r="Y820" i="5"/>
  <c r="AA820" i="5" s="1"/>
  <c r="AB820" i="5" s="1"/>
  <c r="R820" i="5"/>
  <c r="Y405" i="5"/>
  <c r="R405" i="5"/>
  <c r="Y534" i="5"/>
  <c r="R534" i="5"/>
  <c r="X567" i="5"/>
  <c r="AA567" i="5" s="1"/>
  <c r="AB567" i="5" s="1"/>
  <c r="Q567" i="5"/>
  <c r="T567" i="5" s="1"/>
  <c r="U567" i="5" s="1"/>
  <c r="Z88" i="5"/>
  <c r="AA88" i="5" s="1"/>
  <c r="AB88" i="5" s="1"/>
  <c r="S88" i="5"/>
  <c r="X449" i="5"/>
  <c r="Q449" i="5"/>
  <c r="X458" i="5"/>
  <c r="Q458" i="5"/>
  <c r="P458" i="5"/>
  <c r="W458" i="5"/>
  <c r="Y275" i="5"/>
  <c r="AA275" i="5" s="1"/>
  <c r="AB275" i="5" s="1"/>
  <c r="R275" i="5"/>
  <c r="X979" i="5"/>
  <c r="Q979" i="5"/>
  <c r="W979" i="5"/>
  <c r="P979" i="5"/>
  <c r="Y122" i="5"/>
  <c r="R122" i="5"/>
  <c r="X313" i="5"/>
  <c r="AA313" i="5" s="1"/>
  <c r="AB313" i="5" s="1"/>
  <c r="Q313" i="5"/>
  <c r="X477" i="5"/>
  <c r="Q477" i="5"/>
  <c r="W477" i="5"/>
  <c r="P477" i="5"/>
  <c r="Y570" i="5"/>
  <c r="R570" i="5"/>
  <c r="X199" i="5"/>
  <c r="AA199" i="5" s="1"/>
  <c r="AB199" i="5" s="1"/>
  <c r="Q199" i="5"/>
  <c r="P199" i="5"/>
  <c r="W199" i="5"/>
  <c r="Z711" i="5"/>
  <c r="S711" i="5"/>
  <c r="T711" i="5" s="1"/>
  <c r="U711" i="5" s="1"/>
  <c r="X961" i="5"/>
  <c r="Q961" i="5"/>
  <c r="Z106" i="5"/>
  <c r="AA106" i="5" s="1"/>
  <c r="AB106" i="5" s="1"/>
  <c r="S106" i="5"/>
  <c r="X31" i="5"/>
  <c r="Q31" i="5"/>
  <c r="Z684" i="5"/>
  <c r="S684" i="5"/>
  <c r="Z93" i="5"/>
  <c r="S93" i="5"/>
  <c r="Z305" i="5"/>
  <c r="AA305" i="5" s="1"/>
  <c r="AB305" i="5" s="1"/>
  <c r="S305" i="5"/>
  <c r="X212" i="5"/>
  <c r="Q212" i="5"/>
  <c r="W212" i="5"/>
  <c r="P212" i="5"/>
  <c r="Y93" i="5"/>
  <c r="R93" i="5"/>
  <c r="X124" i="5"/>
  <c r="AA124" i="5" s="1"/>
  <c r="AB124" i="5" s="1"/>
  <c r="Q124" i="5"/>
  <c r="Y800" i="5"/>
  <c r="R800" i="5"/>
  <c r="Y291" i="5"/>
  <c r="R291" i="5"/>
  <c r="X291" i="5"/>
  <c r="Q291" i="5"/>
  <c r="P291" i="5"/>
  <c r="W291" i="5"/>
  <c r="Y751" i="5"/>
  <c r="R751" i="5"/>
  <c r="X342" i="5"/>
  <c r="Q342" i="5"/>
  <c r="W342" i="5"/>
  <c r="P342" i="5"/>
  <c r="Y579" i="5"/>
  <c r="R579" i="5"/>
  <c r="Y612" i="5"/>
  <c r="R612" i="5"/>
  <c r="Y989" i="5"/>
  <c r="R989" i="5"/>
  <c r="X995" i="5"/>
  <c r="Q995" i="5"/>
  <c r="P995" i="5"/>
  <c r="W995" i="5"/>
  <c r="Y68" i="5"/>
  <c r="R68" i="5"/>
  <c r="Z564" i="5"/>
  <c r="S564" i="5"/>
  <c r="Y218" i="5"/>
  <c r="R218" i="5"/>
  <c r="T218" i="5" s="1"/>
  <c r="U218" i="5" s="1"/>
  <c r="Z758" i="5"/>
  <c r="AA758" i="5" s="1"/>
  <c r="AB758" i="5" s="1"/>
  <c r="S758" i="5"/>
  <c r="Y194" i="5"/>
  <c r="R194" i="5"/>
  <c r="X194" i="5"/>
  <c r="Q194" i="5"/>
  <c r="X691" i="5"/>
  <c r="Q691" i="5"/>
  <c r="Z403" i="5"/>
  <c r="AA403" i="5" s="1"/>
  <c r="AB403" i="5" s="1"/>
  <c r="S403" i="5"/>
  <c r="Y605" i="5"/>
  <c r="R605" i="5"/>
  <c r="X758" i="5"/>
  <c r="Q758" i="5"/>
  <c r="Z838" i="5"/>
  <c r="S838" i="5"/>
  <c r="T838" i="5" s="1"/>
  <c r="U838" i="5" s="1"/>
  <c r="Z194" i="5"/>
  <c r="AA194" i="5" s="1"/>
  <c r="AB194" i="5" s="1"/>
  <c r="S194" i="5"/>
  <c r="Y417" i="5"/>
  <c r="R417" i="5"/>
  <c r="Y942" i="5"/>
  <c r="R942" i="5"/>
  <c r="T942" i="5" s="1"/>
  <c r="U942" i="5" s="1"/>
  <c r="Z715" i="5"/>
  <c r="S715" i="5"/>
  <c r="X913" i="5"/>
  <c r="Q913" i="5"/>
  <c r="W913" i="5"/>
  <c r="X213" i="5"/>
  <c r="Q213" i="5"/>
  <c r="X922" i="5"/>
  <c r="Q922" i="5"/>
  <c r="W922" i="5"/>
  <c r="P922" i="5"/>
  <c r="Y766" i="5"/>
  <c r="R766" i="5"/>
  <c r="Y897" i="5"/>
  <c r="R897" i="5"/>
  <c r="X916" i="5"/>
  <c r="Q916" i="5"/>
  <c r="W916" i="5"/>
  <c r="P916" i="5"/>
  <c r="Z880" i="5"/>
  <c r="S880" i="5"/>
  <c r="Y906" i="5"/>
  <c r="R906" i="5"/>
  <c r="Y602" i="5"/>
  <c r="R602" i="5"/>
  <c r="Z183" i="5"/>
  <c r="S183" i="5"/>
  <c r="Y296" i="5"/>
  <c r="R296" i="5"/>
  <c r="Y801" i="5"/>
  <c r="R801" i="5"/>
  <c r="X676" i="5"/>
  <c r="AA676" i="5" s="1"/>
  <c r="AB676" i="5" s="1"/>
  <c r="Q676" i="5"/>
  <c r="Y481" i="5"/>
  <c r="R481" i="5"/>
  <c r="X376" i="5"/>
  <c r="Q376" i="5"/>
  <c r="W376" i="5"/>
  <c r="Y412" i="5"/>
  <c r="R412" i="5"/>
  <c r="Z801" i="5"/>
  <c r="S801" i="5"/>
  <c r="Z797" i="5"/>
  <c r="S797" i="5"/>
  <c r="X238" i="5"/>
  <c r="Q238" i="5"/>
  <c r="W238" i="5"/>
  <c r="P238" i="5"/>
  <c r="Z517" i="5"/>
  <c r="AA517" i="5" s="1"/>
  <c r="AB517" i="5" s="1"/>
  <c r="S517" i="5"/>
  <c r="X604" i="5"/>
  <c r="AA604" i="5" s="1"/>
  <c r="AB604" i="5" s="1"/>
  <c r="Q604" i="5"/>
  <c r="X69" i="5"/>
  <c r="Q69" i="5"/>
  <c r="W69" i="5"/>
  <c r="X119" i="5"/>
  <c r="Q119" i="5"/>
  <c r="W119" i="5"/>
  <c r="P119" i="5"/>
  <c r="Y473" i="5"/>
  <c r="R473" i="5"/>
  <c r="X251" i="5"/>
  <c r="Q251" i="5"/>
  <c r="X585" i="5"/>
  <c r="Q585" i="5"/>
  <c r="W585" i="5"/>
  <c r="P585" i="5"/>
  <c r="T585" i="5" s="1"/>
  <c r="U585" i="5" s="1"/>
  <c r="Z944" i="5"/>
  <c r="S944" i="5"/>
  <c r="Y733" i="5"/>
  <c r="R733" i="5"/>
  <c r="X675" i="5"/>
  <c r="Q675" i="5"/>
  <c r="P675" i="5"/>
  <c r="W675" i="5"/>
  <c r="Y819" i="5"/>
  <c r="R819" i="5"/>
  <c r="X819" i="5"/>
  <c r="Q819" i="5"/>
  <c r="P819" i="5"/>
  <c r="Z933" i="5"/>
  <c r="S933" i="5"/>
  <c r="Z777" i="5"/>
  <c r="S777" i="5"/>
  <c r="X168" i="5"/>
  <c r="Q168" i="5"/>
  <c r="W168" i="5"/>
  <c r="P168" i="5"/>
  <c r="Z661" i="5"/>
  <c r="S661" i="5"/>
  <c r="X358" i="5"/>
  <c r="Q358" i="5"/>
  <c r="W358" i="5"/>
  <c r="P358" i="5"/>
  <c r="Z917" i="5"/>
  <c r="S917" i="5"/>
  <c r="Z258" i="5"/>
  <c r="AA258" i="5" s="1"/>
  <c r="AB258" i="5" s="1"/>
  <c r="S258" i="5"/>
  <c r="X917" i="5"/>
  <c r="AA917" i="5" s="1"/>
  <c r="AB917" i="5" s="1"/>
  <c r="Q917" i="5"/>
  <c r="X156" i="5"/>
  <c r="Q156" i="5"/>
  <c r="W156" i="5"/>
  <c r="Z574" i="5"/>
  <c r="S574" i="5"/>
  <c r="Z469" i="5"/>
  <c r="S469" i="5"/>
  <c r="Z431" i="5"/>
  <c r="S431" i="5"/>
  <c r="Z575" i="5"/>
  <c r="S575" i="5"/>
  <c r="Y807" i="5"/>
  <c r="R807" i="5"/>
  <c r="Y617" i="5"/>
  <c r="AA617" i="5" s="1"/>
  <c r="AB617" i="5" s="1"/>
  <c r="R617" i="5"/>
  <c r="Y575" i="5"/>
  <c r="R575" i="5"/>
  <c r="X43" i="5"/>
  <c r="Q43" i="5"/>
  <c r="W43" i="5"/>
  <c r="AA43" i="5" s="1"/>
  <c r="AB43" i="5" s="1"/>
  <c r="X488" i="5"/>
  <c r="Q488" i="5"/>
  <c r="T488" i="5" s="1"/>
  <c r="U488" i="5" s="1"/>
  <c r="Z271" i="5"/>
  <c r="AA271" i="5" s="1"/>
  <c r="AB271" i="5" s="1"/>
  <c r="S271" i="5"/>
  <c r="Y344" i="5"/>
  <c r="R344" i="5"/>
  <c r="Z671" i="5"/>
  <c r="S671" i="5"/>
  <c r="Z105" i="5"/>
  <c r="S105" i="5"/>
  <c r="X263" i="5"/>
  <c r="Q263" i="5"/>
  <c r="Y526" i="5"/>
  <c r="R526" i="5"/>
  <c r="Y983" i="5"/>
  <c r="R983" i="5"/>
  <c r="Z148" i="5"/>
  <c r="S148" i="5"/>
  <c r="Z158" i="5"/>
  <c r="S158" i="5"/>
  <c r="Y619" i="5"/>
  <c r="R619" i="5"/>
  <c r="Y582" i="5"/>
  <c r="R582" i="5"/>
  <c r="X755" i="5"/>
  <c r="Q755" i="5"/>
  <c r="Y390" i="5"/>
  <c r="AA390" i="5" s="1"/>
  <c r="AB390" i="5" s="1"/>
  <c r="R390" i="5"/>
  <c r="Y56" i="5"/>
  <c r="R56" i="5"/>
  <c r="Y195" i="5"/>
  <c r="R195" i="5"/>
  <c r="Y297" i="5"/>
  <c r="R297" i="5"/>
  <c r="X195" i="5"/>
  <c r="AA195" i="5" s="1"/>
  <c r="AB195" i="5" s="1"/>
  <c r="Q195" i="5"/>
  <c r="X297" i="5"/>
  <c r="Q297" i="5"/>
  <c r="W297" i="5"/>
  <c r="P297" i="5"/>
  <c r="Y949" i="5"/>
  <c r="R949" i="5"/>
  <c r="X505" i="5"/>
  <c r="AA505" i="5" s="1"/>
  <c r="AB505" i="5" s="1"/>
  <c r="Q505" i="5"/>
  <c r="W505" i="5"/>
  <c r="P505" i="5"/>
  <c r="X862" i="5"/>
  <c r="Q862" i="5"/>
  <c r="W862" i="5"/>
  <c r="Y930" i="5"/>
  <c r="R930" i="5"/>
  <c r="Z363" i="5"/>
  <c r="S363" i="5"/>
  <c r="Y334" i="5"/>
  <c r="R334" i="5"/>
  <c r="Y62" i="5"/>
  <c r="R62" i="5"/>
  <c r="Z357" i="5"/>
  <c r="AA357" i="5" s="1"/>
  <c r="AB357" i="5" s="1"/>
  <c r="S357" i="5"/>
  <c r="Z139" i="5"/>
  <c r="S139" i="5"/>
  <c r="X15" i="5"/>
  <c r="Q15" i="5"/>
  <c r="W15" i="5"/>
  <c r="AA15" i="5" s="1"/>
  <c r="AB15" i="5" s="1"/>
  <c r="P15" i="5"/>
  <c r="X633" i="5"/>
  <c r="Q633" i="5"/>
  <c r="Z274" i="5"/>
  <c r="S274" i="5"/>
  <c r="Y511" i="5"/>
  <c r="R511" i="5"/>
  <c r="Z368" i="5"/>
  <c r="AA368" i="5" s="1"/>
  <c r="AB368" i="5" s="1"/>
  <c r="S368" i="5"/>
  <c r="Z773" i="5"/>
  <c r="AA773" i="5" s="1"/>
  <c r="AB773" i="5" s="1"/>
  <c r="S773" i="5"/>
  <c r="T773" i="5" s="1"/>
  <c r="U773" i="5" s="1"/>
  <c r="X222" i="5"/>
  <c r="Q222" i="5"/>
  <c r="W222" i="5"/>
  <c r="Z72" i="5"/>
  <c r="S72" i="5"/>
  <c r="Y675" i="5"/>
  <c r="R675" i="5"/>
  <c r="Z367" i="5"/>
  <c r="S367" i="5"/>
  <c r="X962" i="5"/>
  <c r="Q962" i="5"/>
  <c r="W962" i="5"/>
  <c r="P962" i="5"/>
  <c r="Z636" i="5"/>
  <c r="S636" i="5"/>
  <c r="Y471" i="5"/>
  <c r="AA471" i="5" s="1"/>
  <c r="AB471" i="5" s="1"/>
  <c r="R471" i="5"/>
  <c r="Z802" i="5"/>
  <c r="S802" i="5"/>
  <c r="Z576" i="5"/>
  <c r="S576" i="5"/>
  <c r="Y685" i="5"/>
  <c r="R685" i="5"/>
  <c r="T685" i="5" s="1"/>
  <c r="U685" i="5" s="1"/>
  <c r="X685" i="5"/>
  <c r="AA685" i="5" s="1"/>
  <c r="AB685" i="5" s="1"/>
  <c r="Y669" i="5"/>
  <c r="R669" i="5"/>
  <c r="Z531" i="5"/>
  <c r="S531" i="5"/>
  <c r="Y595" i="5"/>
  <c r="R595" i="5"/>
  <c r="Z242" i="5"/>
  <c r="S242" i="5"/>
  <c r="X159" i="5"/>
  <c r="Q159" i="5"/>
  <c r="P159" i="5"/>
  <c r="W159" i="5"/>
  <c r="X245" i="5"/>
  <c r="Q245" i="5"/>
  <c r="Z550" i="5"/>
  <c r="AA550" i="5" s="1"/>
  <c r="AB550" i="5" s="1"/>
  <c r="S550" i="5"/>
  <c r="Z571" i="5"/>
  <c r="S571" i="5"/>
  <c r="X501" i="5"/>
  <c r="Q501" i="5"/>
  <c r="W501" i="5"/>
  <c r="AA501" i="5" s="1"/>
  <c r="AB501" i="5" s="1"/>
  <c r="P501" i="5"/>
  <c r="Y896" i="5"/>
  <c r="R896" i="5"/>
  <c r="Y168" i="5"/>
  <c r="R168" i="5"/>
  <c r="Z69" i="5"/>
  <c r="S69" i="5"/>
  <c r="Z543" i="5"/>
  <c r="S543" i="5"/>
  <c r="Y415" i="5"/>
  <c r="AA415" i="5" s="1"/>
  <c r="AB415" i="5" s="1"/>
  <c r="R415" i="5"/>
  <c r="Z373" i="5"/>
  <c r="S373" i="5"/>
  <c r="Y302" i="5"/>
  <c r="R302" i="5"/>
  <c r="Y539" i="5"/>
  <c r="R539" i="5"/>
  <c r="X139" i="5"/>
  <c r="Q139" i="5"/>
  <c r="P139" i="5"/>
  <c r="Z770" i="5"/>
  <c r="S770" i="5"/>
  <c r="Z998" i="5"/>
  <c r="S998" i="5"/>
  <c r="T998" i="5" s="1"/>
  <c r="U998" i="5" s="1"/>
  <c r="Y102" i="5"/>
  <c r="AA102" i="5" s="1"/>
  <c r="AB102" i="5" s="1"/>
  <c r="R102" i="5"/>
  <c r="Z764" i="5"/>
  <c r="S764" i="5"/>
  <c r="Z172" i="5"/>
  <c r="S172" i="5"/>
  <c r="Z862" i="5"/>
  <c r="S862" i="5"/>
  <c r="Y556" i="5"/>
  <c r="AA556" i="5" s="1"/>
  <c r="AB556" i="5" s="1"/>
  <c r="R556" i="5"/>
  <c r="Y620" i="5"/>
  <c r="AA620" i="5" s="1"/>
  <c r="AB620" i="5" s="1"/>
  <c r="R620" i="5"/>
  <c r="Z334" i="5"/>
  <c r="S334" i="5"/>
  <c r="Z645" i="5"/>
  <c r="AA645" i="5" s="1"/>
  <c r="AB645" i="5" s="1"/>
  <c r="S645" i="5"/>
  <c r="Z999" i="5"/>
  <c r="S999" i="5"/>
  <c r="Z585" i="5"/>
  <c r="S585" i="5"/>
  <c r="Z836" i="5"/>
  <c r="S836" i="5"/>
  <c r="Z790" i="5"/>
  <c r="S790" i="5"/>
  <c r="Y22" i="5"/>
  <c r="AA22" i="5" s="1"/>
  <c r="AB22" i="5" s="1"/>
  <c r="R22" i="5"/>
  <c r="Z86" i="5"/>
  <c r="S86" i="5"/>
  <c r="P871" i="5"/>
  <c r="P923" i="5"/>
  <c r="AA985" i="5"/>
  <c r="AB985" i="5" s="1"/>
  <c r="AA625" i="5"/>
  <c r="AB625" i="5" s="1"/>
  <c r="P572" i="5"/>
  <c r="R561" i="5"/>
  <c r="W677" i="5"/>
  <c r="W260" i="5"/>
  <c r="P165" i="5"/>
  <c r="P268" i="5"/>
  <c r="Y694" i="5"/>
  <c r="AA295" i="5"/>
  <c r="AB295" i="5" s="1"/>
  <c r="P897" i="5"/>
  <c r="P376" i="5"/>
  <c r="P414" i="5"/>
  <c r="P983" i="5"/>
  <c r="Y136" i="5"/>
  <c r="R136" i="5"/>
  <c r="Y991" i="5"/>
  <c r="R991" i="5"/>
  <c r="X593" i="5"/>
  <c r="Q593" i="5"/>
  <c r="W593" i="5"/>
  <c r="AA593" i="5" s="1"/>
  <c r="AB593" i="5" s="1"/>
  <c r="X401" i="5"/>
  <c r="Q401" i="5"/>
  <c r="X746" i="5"/>
  <c r="AA746" i="5" s="1"/>
  <c r="AB746" i="5" s="1"/>
  <c r="Q746" i="5"/>
  <c r="Y152" i="5"/>
  <c r="R152" i="5"/>
  <c r="Z290" i="5"/>
  <c r="S290" i="5"/>
  <c r="X974" i="5"/>
  <c r="Q974" i="5"/>
  <c r="Y559" i="5"/>
  <c r="R559" i="5"/>
  <c r="X109" i="5"/>
  <c r="Q109" i="5"/>
  <c r="Y510" i="5"/>
  <c r="R510" i="5"/>
  <c r="Y915" i="5"/>
  <c r="R915" i="5"/>
  <c r="Y909" i="5"/>
  <c r="R909" i="5"/>
  <c r="X909" i="5"/>
  <c r="Q909" i="5"/>
  <c r="W909" i="5"/>
  <c r="P909" i="5"/>
  <c r="Y683" i="5"/>
  <c r="R683" i="5"/>
  <c r="Y512" i="5"/>
  <c r="R512" i="5"/>
  <c r="Y444" i="5"/>
  <c r="R444" i="5"/>
  <c r="Y430" i="5"/>
  <c r="R430" i="5"/>
  <c r="Z837" i="5"/>
  <c r="S837" i="5"/>
  <c r="Z193" i="5"/>
  <c r="S193" i="5"/>
  <c r="Y336" i="5"/>
  <c r="AA336" i="5" s="1"/>
  <c r="AB336" i="5" s="1"/>
  <c r="R336" i="5"/>
  <c r="Y397" i="5"/>
  <c r="AA397" i="5" s="1"/>
  <c r="AB397" i="5" s="1"/>
  <c r="R397" i="5"/>
  <c r="T397" i="5" s="1"/>
  <c r="U397" i="5" s="1"/>
  <c r="Z587" i="5"/>
  <c r="S587" i="5"/>
  <c r="Y312" i="5"/>
  <c r="AA312" i="5" s="1"/>
  <c r="AB312" i="5" s="1"/>
  <c r="R312" i="5"/>
  <c r="Y810" i="5"/>
  <c r="R810" i="5"/>
  <c r="X496" i="5"/>
  <c r="Q496" i="5"/>
  <c r="W496" i="5"/>
  <c r="P496" i="5"/>
  <c r="X55" i="5"/>
  <c r="AA55" i="5" s="1"/>
  <c r="AB55" i="5" s="1"/>
  <c r="Q55" i="5"/>
  <c r="Z793" i="5"/>
  <c r="S793" i="5"/>
  <c r="T793" i="5" s="1"/>
  <c r="U793" i="5" s="1"/>
  <c r="X481" i="5"/>
  <c r="Q481" i="5"/>
  <c r="W481" i="5"/>
  <c r="X191" i="5"/>
  <c r="Q191" i="5"/>
  <c r="P191" i="5"/>
  <c r="X404" i="5"/>
  <c r="Q404" i="5"/>
  <c r="X565" i="5"/>
  <c r="Q565" i="5"/>
  <c r="W565" i="5"/>
  <c r="X668" i="5"/>
  <c r="Q668" i="5"/>
  <c r="X338" i="5"/>
  <c r="Q338" i="5"/>
  <c r="W338" i="5"/>
  <c r="P338" i="5"/>
  <c r="Y468" i="5"/>
  <c r="AA468" i="5" s="1"/>
  <c r="AB468" i="5" s="1"/>
  <c r="R468" i="5"/>
  <c r="X321" i="5"/>
  <c r="Q321" i="5"/>
  <c r="W321" i="5"/>
  <c r="P321" i="5"/>
  <c r="Z624" i="5"/>
  <c r="S624" i="5"/>
  <c r="Y624" i="5"/>
  <c r="R624" i="5"/>
  <c r="X624" i="5"/>
  <c r="Q624" i="5"/>
  <c r="X44" i="5"/>
  <c r="Q44" i="5"/>
  <c r="W44" i="5"/>
  <c r="AA44" i="5" s="1"/>
  <c r="AB44" i="5" s="1"/>
  <c r="P44" i="5"/>
  <c r="X603" i="5"/>
  <c r="AA603" i="5" s="1"/>
  <c r="AB603" i="5" s="1"/>
  <c r="Q603" i="5"/>
  <c r="P603" i="5"/>
  <c r="Y249" i="5"/>
  <c r="R249" i="5"/>
  <c r="Y877" i="5"/>
  <c r="R877" i="5"/>
  <c r="Z45" i="5"/>
  <c r="S45" i="5"/>
  <c r="Y992" i="5"/>
  <c r="R992" i="5"/>
  <c r="X490" i="5"/>
  <c r="AA490" i="5" s="1"/>
  <c r="AB490" i="5" s="1"/>
  <c r="Q490" i="5"/>
  <c r="Y648" i="5"/>
  <c r="AA648" i="5" s="1"/>
  <c r="AB648" i="5" s="1"/>
  <c r="R648" i="5"/>
  <c r="Y1000" i="5"/>
  <c r="R1000" i="5"/>
  <c r="X943" i="5"/>
  <c r="Q943" i="5"/>
  <c r="P943" i="5"/>
  <c r="X8" i="5"/>
  <c r="Q8" i="5"/>
  <c r="W8" i="5"/>
  <c r="P8" i="5"/>
  <c r="X822" i="5"/>
  <c r="AA822" i="5" s="1"/>
  <c r="AB822" i="5" s="1"/>
  <c r="Q822" i="5"/>
  <c r="Z237" i="5"/>
  <c r="S237" i="5"/>
  <c r="Z384" i="5"/>
  <c r="S384" i="5"/>
  <c r="Y384" i="5"/>
  <c r="R384" i="5"/>
  <c r="Y699" i="5"/>
  <c r="AA699" i="5" s="1"/>
  <c r="AB699" i="5" s="1"/>
  <c r="R699" i="5"/>
  <c r="X808" i="5"/>
  <c r="Q808" i="5"/>
  <c r="X366" i="5"/>
  <c r="Q366" i="5"/>
  <c r="X40" i="5"/>
  <c r="AA40" i="5" s="1"/>
  <c r="AB40" i="5" s="1"/>
  <c r="Q40" i="5"/>
  <c r="Y97" i="5"/>
  <c r="AA97" i="5" s="1"/>
  <c r="AB97" i="5" s="1"/>
  <c r="R97" i="5"/>
  <c r="Z542" i="5"/>
  <c r="S542" i="5"/>
  <c r="Y542" i="5"/>
  <c r="R542" i="5"/>
  <c r="X28" i="5"/>
  <c r="AA28" i="5" s="1"/>
  <c r="AB28" i="5" s="1"/>
  <c r="Q28" i="5"/>
  <c r="Y449" i="5"/>
  <c r="AA449" i="5" s="1"/>
  <c r="AB449" i="5" s="1"/>
  <c r="R449" i="5"/>
  <c r="Y458" i="5"/>
  <c r="R458" i="5"/>
  <c r="Y519" i="5"/>
  <c r="R519" i="5"/>
  <c r="Y167" i="5"/>
  <c r="R167" i="5"/>
  <c r="Y980" i="5"/>
  <c r="R980" i="5"/>
  <c r="Y671" i="5"/>
  <c r="R671" i="5"/>
  <c r="Z681" i="5"/>
  <c r="S681" i="5"/>
  <c r="Y114" i="5"/>
  <c r="R114" i="5"/>
  <c r="X122" i="5"/>
  <c r="AA122" i="5" s="1"/>
  <c r="AB122" i="5" s="1"/>
  <c r="Q122" i="5"/>
  <c r="W122" i="5"/>
  <c r="P122" i="5"/>
  <c r="X144" i="5"/>
  <c r="Q144" i="5"/>
  <c r="T144" i="5" s="1"/>
  <c r="U144" i="5" s="1"/>
  <c r="X595" i="5"/>
  <c r="Q595" i="5"/>
  <c r="P595" i="5"/>
  <c r="W595" i="5"/>
  <c r="X721" i="5"/>
  <c r="Q721" i="5"/>
  <c r="W721" i="5"/>
  <c r="Y463" i="5"/>
  <c r="AA463" i="5" s="1"/>
  <c r="AB463" i="5" s="1"/>
  <c r="R463" i="5"/>
  <c r="Y235" i="5"/>
  <c r="R235" i="5"/>
  <c r="X235" i="5"/>
  <c r="Q235" i="5"/>
  <c r="Y961" i="5"/>
  <c r="R961" i="5"/>
  <c r="Z124" i="5"/>
  <c r="S124" i="5"/>
  <c r="Y437" i="5"/>
  <c r="R437" i="5"/>
  <c r="Y137" i="5"/>
  <c r="R137" i="5"/>
  <c r="Y7" i="5"/>
  <c r="R7" i="5"/>
  <c r="X137" i="5"/>
  <c r="Q137" i="5"/>
  <c r="X506" i="5"/>
  <c r="Q506" i="5"/>
  <c r="W506" i="5"/>
  <c r="P506" i="5"/>
  <c r="X314" i="5"/>
  <c r="Q314" i="5"/>
  <c r="X904" i="5"/>
  <c r="Q904" i="5"/>
  <c r="W904" i="5"/>
  <c r="P904" i="5"/>
  <c r="Z291" i="5"/>
  <c r="S291" i="5"/>
  <c r="Y75" i="5"/>
  <c r="AA75" i="5" s="1"/>
  <c r="AB75" i="5" s="1"/>
  <c r="R75" i="5"/>
  <c r="X582" i="5"/>
  <c r="Q582" i="5"/>
  <c r="Z378" i="5"/>
  <c r="S378" i="5"/>
  <c r="Y301" i="5"/>
  <c r="R301" i="5"/>
  <c r="Y832" i="5"/>
  <c r="AA832" i="5" s="1"/>
  <c r="AB832" i="5" s="1"/>
  <c r="R832" i="5"/>
  <c r="X327" i="5"/>
  <c r="AA327" i="5" s="1"/>
  <c r="AB327" i="5" s="1"/>
  <c r="Q327" i="5"/>
  <c r="Y953" i="5"/>
  <c r="R953" i="5"/>
  <c r="T953" i="5" s="1"/>
  <c r="U953" i="5" s="1"/>
  <c r="X161" i="5"/>
  <c r="Q161" i="5"/>
  <c r="Y691" i="5"/>
  <c r="AA691" i="5" s="1"/>
  <c r="AB691" i="5" s="1"/>
  <c r="R691" i="5"/>
  <c r="X760" i="5"/>
  <c r="Q760" i="5"/>
  <c r="W760" i="5"/>
  <c r="P760" i="5"/>
  <c r="X924" i="5"/>
  <c r="Q924" i="5"/>
  <c r="W924" i="5"/>
  <c r="Y436" i="5"/>
  <c r="R436" i="5"/>
  <c r="X224" i="5"/>
  <c r="Q224" i="5"/>
  <c r="Y447" i="5"/>
  <c r="AA447" i="5" s="1"/>
  <c r="AB447" i="5" s="1"/>
  <c r="R447" i="5"/>
  <c r="X447" i="5"/>
  <c r="Q447" i="5"/>
  <c r="X670" i="5"/>
  <c r="Q670" i="5"/>
  <c r="W670" i="5"/>
  <c r="AA670" i="5" s="1"/>
  <c r="AB670" i="5" s="1"/>
  <c r="X460" i="5"/>
  <c r="Q460" i="5"/>
  <c r="W460" i="5"/>
  <c r="P460" i="5"/>
  <c r="Y878" i="5"/>
  <c r="AA878" i="5" s="1"/>
  <c r="AB878" i="5" s="1"/>
  <c r="R878" i="5"/>
  <c r="Y103" i="5"/>
  <c r="AA103" i="5" s="1"/>
  <c r="AB103" i="5" s="1"/>
  <c r="R103" i="5"/>
  <c r="T103" i="5" s="1"/>
  <c r="U103" i="5" s="1"/>
  <c r="X20" i="5"/>
  <c r="Q20" i="5"/>
  <c r="T20" i="5" s="1"/>
  <c r="U20" i="5" s="1"/>
  <c r="W20" i="5"/>
  <c r="P20" i="5"/>
  <c r="Y429" i="5"/>
  <c r="R429" i="5"/>
  <c r="Y884" i="5"/>
  <c r="AA884" i="5" s="1"/>
  <c r="AB884" i="5" s="1"/>
  <c r="R884" i="5"/>
  <c r="Y362" i="5"/>
  <c r="R362" i="5"/>
  <c r="Z795" i="5"/>
  <c r="S795" i="5"/>
  <c r="X179" i="5"/>
  <c r="AA179" i="5" s="1"/>
  <c r="AB179" i="5" s="1"/>
  <c r="Q179" i="5"/>
  <c r="Y657" i="5"/>
  <c r="R657" i="5"/>
  <c r="Z881" i="5"/>
  <c r="S881" i="5"/>
  <c r="T881" i="5" s="1"/>
  <c r="U881" i="5" s="1"/>
  <c r="Z835" i="5"/>
  <c r="S835" i="5"/>
  <c r="Z213" i="5"/>
  <c r="S213" i="5"/>
  <c r="X637" i="5"/>
  <c r="Q637" i="5"/>
  <c r="W637" i="5"/>
  <c r="P637" i="5"/>
  <c r="Y518" i="5"/>
  <c r="R518" i="5"/>
  <c r="Z890" i="5"/>
  <c r="S890" i="5"/>
  <c r="Y654" i="5"/>
  <c r="R654" i="5"/>
  <c r="Z238" i="5"/>
  <c r="S238" i="5"/>
  <c r="Z621" i="5"/>
  <c r="S621" i="5"/>
  <c r="X882" i="5"/>
  <c r="Q882" i="5"/>
  <c r="W882" i="5"/>
  <c r="P882" i="5"/>
  <c r="X724" i="5"/>
  <c r="Q724" i="5"/>
  <c r="W724" i="5"/>
  <c r="X37" i="5"/>
  <c r="Q37" i="5"/>
  <c r="W37" i="5"/>
  <c r="P37" i="5"/>
  <c r="X621" i="5"/>
  <c r="Q621" i="5"/>
  <c r="W621" i="5"/>
  <c r="P621" i="5"/>
  <c r="Z729" i="5"/>
  <c r="S729" i="5"/>
  <c r="X523" i="5"/>
  <c r="Q523" i="5"/>
  <c r="W523" i="5"/>
  <c r="P523" i="5"/>
  <c r="Z882" i="5"/>
  <c r="S882" i="5"/>
  <c r="Z897" i="5"/>
  <c r="S897" i="5"/>
  <c r="Z602" i="5"/>
  <c r="S602" i="5"/>
  <c r="X969" i="5"/>
  <c r="Q969" i="5"/>
  <c r="X877" i="5"/>
  <c r="AA877" i="5" s="1"/>
  <c r="AB877" i="5" s="1"/>
  <c r="Q877" i="5"/>
  <c r="W877" i="5"/>
  <c r="Z423" i="5"/>
  <c r="AA423" i="5" s="1"/>
  <c r="AB423" i="5" s="1"/>
  <c r="S423" i="5"/>
  <c r="Y452" i="5"/>
  <c r="R452" i="5"/>
  <c r="Z964" i="5"/>
  <c r="S964" i="5"/>
  <c r="Y964" i="5"/>
  <c r="Z910" i="5"/>
  <c r="S910" i="5"/>
  <c r="T910" i="5" s="1"/>
  <c r="U910" i="5" s="1"/>
  <c r="Z10" i="5"/>
  <c r="S10" i="5"/>
  <c r="T10" i="5" s="1"/>
  <c r="U10" i="5" s="1"/>
  <c r="Y572" i="5"/>
  <c r="R572" i="5"/>
  <c r="X554" i="5"/>
  <c r="Q554" i="5"/>
  <c r="W554" i="5"/>
  <c r="P554" i="5"/>
  <c r="Z951" i="5"/>
  <c r="S951" i="5"/>
  <c r="X859" i="5"/>
  <c r="Q859" i="5"/>
  <c r="X695" i="5"/>
  <c r="AA695" i="5" s="1"/>
  <c r="AB695" i="5" s="1"/>
  <c r="Q695" i="5"/>
  <c r="W695" i="5"/>
  <c r="P695" i="5"/>
  <c r="X635" i="5"/>
  <c r="Q635" i="5"/>
  <c r="W635" i="5"/>
  <c r="P635" i="5"/>
  <c r="Y718" i="5"/>
  <c r="R718" i="5"/>
  <c r="X479" i="5"/>
  <c r="Q479" i="5"/>
  <c r="Y51" i="5"/>
  <c r="AA51" i="5" s="1"/>
  <c r="AB51" i="5" s="1"/>
  <c r="R51" i="5"/>
  <c r="Y813" i="5"/>
  <c r="AA813" i="5" s="1"/>
  <c r="AB813" i="5" s="1"/>
  <c r="R813" i="5"/>
  <c r="Z416" i="5"/>
  <c r="AA416" i="5" s="1"/>
  <c r="AB416" i="5" s="1"/>
  <c r="S416" i="5"/>
  <c r="X896" i="5"/>
  <c r="Q896" i="5"/>
  <c r="W896" i="5"/>
  <c r="P896" i="5"/>
  <c r="X911" i="5"/>
  <c r="Q911" i="5"/>
  <c r="W911" i="5"/>
  <c r="P911" i="5"/>
  <c r="X599" i="5"/>
  <c r="Q599" i="5"/>
  <c r="X163" i="5"/>
  <c r="Q163" i="5"/>
  <c r="T163" i="5" s="1"/>
  <c r="U163" i="5" s="1"/>
  <c r="X545" i="5"/>
  <c r="Q545" i="5"/>
  <c r="P545" i="5"/>
  <c r="W545" i="5"/>
  <c r="X579" i="5"/>
  <c r="Q579" i="5"/>
  <c r="W579" i="5"/>
  <c r="Y740" i="5"/>
  <c r="R740" i="5"/>
  <c r="Y346" i="5"/>
  <c r="R346" i="5"/>
  <c r="Y928" i="5"/>
  <c r="R928" i="5"/>
  <c r="Z156" i="5"/>
  <c r="AA156" i="5" s="1"/>
  <c r="AB156" i="5" s="1"/>
  <c r="S156" i="5"/>
  <c r="X395" i="5"/>
  <c r="Q395" i="5"/>
  <c r="W395" i="5"/>
  <c r="P395" i="5"/>
  <c r="X78" i="5"/>
  <c r="Q78" i="5"/>
  <c r="W78" i="5"/>
  <c r="AA78" i="5" s="1"/>
  <c r="AB78" i="5" s="1"/>
  <c r="P78" i="5"/>
  <c r="Z118" i="5"/>
  <c r="AA118" i="5" s="1"/>
  <c r="AB118" i="5" s="1"/>
  <c r="S118" i="5"/>
  <c r="Z861" i="5"/>
  <c r="S861" i="5"/>
  <c r="X999" i="5"/>
  <c r="Q999" i="5"/>
  <c r="X575" i="5"/>
  <c r="Q575" i="5"/>
  <c r="W575" i="5"/>
  <c r="X141" i="5"/>
  <c r="Q141" i="5"/>
  <c r="W141" i="5"/>
  <c r="X938" i="5"/>
  <c r="Q938" i="5"/>
  <c r="X125" i="5"/>
  <c r="Q125" i="5"/>
  <c r="X977" i="5"/>
  <c r="Q977" i="5"/>
  <c r="W977" i="5"/>
  <c r="P977" i="5"/>
  <c r="Y960" i="5"/>
  <c r="R960" i="5"/>
  <c r="Y802" i="5"/>
  <c r="R802" i="5"/>
  <c r="Z339" i="5"/>
  <c r="AA339" i="5" s="1"/>
  <c r="AB339" i="5" s="1"/>
  <c r="S339" i="5"/>
  <c r="X274" i="5"/>
  <c r="Q274" i="5"/>
  <c r="T274" i="5" s="1"/>
  <c r="U274" i="5" s="1"/>
  <c r="Z596" i="5"/>
  <c r="AA596" i="5" s="1"/>
  <c r="AB596" i="5" s="1"/>
  <c r="S596" i="5"/>
  <c r="Y883" i="5"/>
  <c r="R883" i="5"/>
  <c r="Y755" i="5"/>
  <c r="AA755" i="5" s="1"/>
  <c r="AB755" i="5" s="1"/>
  <c r="R755" i="5"/>
  <c r="Z392" i="5"/>
  <c r="S392" i="5"/>
  <c r="Z823" i="5"/>
  <c r="S823" i="5"/>
  <c r="Y806" i="5"/>
  <c r="R806" i="5"/>
  <c r="Y823" i="5"/>
  <c r="R823" i="5"/>
  <c r="Z452" i="5"/>
  <c r="S452" i="5"/>
  <c r="X56" i="5"/>
  <c r="Q56" i="5"/>
  <c r="X373" i="5"/>
  <c r="Q373" i="5"/>
  <c r="W373" i="5"/>
  <c r="P373" i="5"/>
  <c r="Y115" i="5"/>
  <c r="R115" i="5"/>
  <c r="X244" i="5"/>
  <c r="Q244" i="5"/>
  <c r="Y100" i="5"/>
  <c r="R100" i="5"/>
  <c r="X535" i="5"/>
  <c r="Q535" i="5"/>
  <c r="P535" i="5"/>
  <c r="Z211" i="5"/>
  <c r="AA211" i="5" s="1"/>
  <c r="AB211" i="5" s="1"/>
  <c r="S211" i="5"/>
  <c r="Y486" i="5"/>
  <c r="R486" i="5"/>
  <c r="Z534" i="5"/>
  <c r="S534" i="5"/>
  <c r="X559" i="5"/>
  <c r="Q559" i="5"/>
  <c r="Y541" i="5"/>
  <c r="R541" i="5"/>
  <c r="Z994" i="5"/>
  <c r="S994" i="5"/>
  <c r="T994" i="5" s="1"/>
  <c r="U994" i="5" s="1"/>
  <c r="X86" i="5"/>
  <c r="Q86" i="5"/>
  <c r="W86" i="5"/>
  <c r="P86" i="5"/>
  <c r="Y633" i="5"/>
  <c r="R633" i="5"/>
  <c r="Y242" i="5"/>
  <c r="R242" i="5"/>
  <c r="Z737" i="5"/>
  <c r="S737" i="5"/>
  <c r="Y707" i="5"/>
  <c r="AA707" i="5" s="1"/>
  <c r="AB707" i="5" s="1"/>
  <c r="R707" i="5"/>
  <c r="Z719" i="5"/>
  <c r="S719" i="5"/>
  <c r="Y200" i="5"/>
  <c r="R200" i="5"/>
  <c r="T200" i="5" s="1"/>
  <c r="U200" i="5" s="1"/>
  <c r="Z937" i="5"/>
  <c r="S937" i="5"/>
  <c r="Y635" i="5"/>
  <c r="R635" i="5"/>
  <c r="Z664" i="5"/>
  <c r="AA664" i="5" s="1"/>
  <c r="AB664" i="5" s="1"/>
  <c r="S664" i="5"/>
  <c r="X280" i="5"/>
  <c r="Q280" i="5"/>
  <c r="W280" i="5"/>
  <c r="P280" i="5"/>
  <c r="Y396" i="5"/>
  <c r="R396" i="5"/>
  <c r="Y530" i="5"/>
  <c r="AA530" i="5" s="1"/>
  <c r="AB530" i="5" s="1"/>
  <c r="R530" i="5"/>
  <c r="Y777" i="5"/>
  <c r="R777" i="5"/>
  <c r="X563" i="5"/>
  <c r="Q563" i="5"/>
  <c r="W563" i="5"/>
  <c r="AA563" i="5" s="1"/>
  <c r="AB563" i="5" s="1"/>
  <c r="P563" i="5"/>
  <c r="Z526" i="5"/>
  <c r="AA526" i="5" s="1"/>
  <c r="AB526" i="5" s="1"/>
  <c r="S526" i="5"/>
  <c r="X344" i="5"/>
  <c r="Q344" i="5"/>
  <c r="W344" i="5"/>
  <c r="P344" i="5"/>
  <c r="X679" i="5"/>
  <c r="AA679" i="5" s="1"/>
  <c r="AB679" i="5" s="1"/>
  <c r="Q679" i="5"/>
  <c r="Y151" i="5"/>
  <c r="AA151" i="5" s="1"/>
  <c r="AB151" i="5" s="1"/>
  <c r="R151" i="5"/>
  <c r="Y394" i="5"/>
  <c r="R394" i="5"/>
  <c r="T394" i="5" s="1"/>
  <c r="U394" i="5" s="1"/>
  <c r="Z850" i="5"/>
  <c r="S850" i="5"/>
  <c r="T850" i="5" s="1"/>
  <c r="U850" i="5" s="1"/>
  <c r="Y157" i="5"/>
  <c r="R157" i="5"/>
  <c r="Z265" i="5"/>
  <c r="AA265" i="5" s="1"/>
  <c r="AB265" i="5" s="1"/>
  <c r="S265" i="5"/>
  <c r="Z709" i="5"/>
  <c r="S709" i="5"/>
  <c r="Y53" i="5"/>
  <c r="R53" i="5"/>
  <c r="Z450" i="5"/>
  <c r="S450" i="5"/>
  <c r="Z554" i="5"/>
  <c r="S554" i="5"/>
  <c r="Y673" i="5"/>
  <c r="R673" i="5"/>
  <c r="Z204" i="5"/>
  <c r="S204" i="5"/>
  <c r="Y504" i="5"/>
  <c r="AA504" i="5" s="1"/>
  <c r="AB504" i="5" s="1"/>
  <c r="R504" i="5"/>
  <c r="Y943" i="5"/>
  <c r="AA943" i="5" s="1"/>
  <c r="AB943" i="5" s="1"/>
  <c r="R943" i="5"/>
  <c r="Y875" i="5"/>
  <c r="R875" i="5"/>
  <c r="X741" i="5"/>
  <c r="Q741" i="5"/>
  <c r="W741" i="5"/>
  <c r="P741" i="5"/>
  <c r="Y393" i="5"/>
  <c r="AA393" i="5" s="1"/>
  <c r="AB393" i="5" s="1"/>
  <c r="R393" i="5"/>
  <c r="Z883" i="5"/>
  <c r="S883" i="5"/>
  <c r="Y516" i="5"/>
  <c r="R516" i="5"/>
  <c r="Z222" i="5"/>
  <c r="AA222" i="5" s="1"/>
  <c r="AB222" i="5" s="1"/>
  <c r="S222" i="5"/>
  <c r="X960" i="5"/>
  <c r="AA960" i="5" s="1"/>
  <c r="AB960" i="5" s="1"/>
  <c r="Q960" i="5"/>
  <c r="Z633" i="5"/>
  <c r="S633" i="5"/>
  <c r="X715" i="5"/>
  <c r="Q715" i="5"/>
  <c r="Z727" i="5"/>
  <c r="S727" i="5"/>
  <c r="Y475" i="5"/>
  <c r="AA475" i="5" s="1"/>
  <c r="AB475" i="5" s="1"/>
  <c r="R475" i="5"/>
  <c r="Z375" i="5"/>
  <c r="S375" i="5"/>
  <c r="X981" i="5"/>
  <c r="Q981" i="5"/>
  <c r="W981" i="5"/>
  <c r="AA981" i="5" s="1"/>
  <c r="AB981" i="5" s="1"/>
  <c r="P981" i="5"/>
  <c r="Y532" i="5"/>
  <c r="R532" i="5"/>
  <c r="Y937" i="5"/>
  <c r="R937" i="5"/>
  <c r="Z886" i="5"/>
  <c r="S886" i="5"/>
  <c r="X264" i="5"/>
  <c r="AA264" i="5" s="1"/>
  <c r="AB264" i="5" s="1"/>
  <c r="Q264" i="5"/>
  <c r="Z479" i="5"/>
  <c r="S479" i="5"/>
  <c r="Y11" i="5"/>
  <c r="R11" i="5"/>
  <c r="T11" i="5" s="1"/>
  <c r="U11" i="5" s="1"/>
  <c r="Y704" i="5"/>
  <c r="R704" i="5"/>
  <c r="AA30" i="5"/>
  <c r="AB30" i="5" s="1"/>
  <c r="AA953" i="5"/>
  <c r="AB953" i="5" s="1"/>
  <c r="P68" i="5"/>
  <c r="P106" i="5"/>
  <c r="P385" i="5"/>
  <c r="W381" i="5"/>
  <c r="AA381" i="5" s="1"/>
  <c r="AB381" i="5" s="1"/>
  <c r="AA320" i="5"/>
  <c r="AB320" i="5" s="1"/>
  <c r="AA658" i="5"/>
  <c r="AB658" i="5" s="1"/>
  <c r="Q903" i="5"/>
  <c r="AA225" i="5"/>
  <c r="AB225" i="5" s="1"/>
  <c r="W453" i="5"/>
  <c r="AA453" i="5" s="1"/>
  <c r="AB453" i="5" s="1"/>
  <c r="AA236" i="5"/>
  <c r="AB236" i="5" s="1"/>
  <c r="W788" i="5"/>
  <c r="AA189" i="5"/>
  <c r="AB189" i="5" s="1"/>
  <c r="AA848" i="5"/>
  <c r="AB848" i="5" s="1"/>
  <c r="W611" i="5"/>
  <c r="X608" i="5"/>
  <c r="AA608" i="5" s="1"/>
  <c r="AB608" i="5" s="1"/>
  <c r="P7" i="5"/>
  <c r="P325" i="5"/>
  <c r="P435" i="5"/>
  <c r="P773" i="5"/>
  <c r="P862" i="5"/>
  <c r="Z689" i="5"/>
  <c r="AA689" i="5" s="1"/>
  <c r="AB689" i="5" s="1"/>
  <c r="S689" i="5"/>
  <c r="P579" i="5"/>
  <c r="P954" i="5"/>
  <c r="P431" i="5"/>
  <c r="R964" i="5"/>
  <c r="Y583" i="5"/>
  <c r="AA583" i="5" s="1"/>
  <c r="AB583" i="5" s="1"/>
  <c r="R583" i="5"/>
  <c r="X581" i="5"/>
  <c r="Q581" i="5"/>
  <c r="T581" i="5" s="1"/>
  <c r="U581" i="5" s="1"/>
  <c r="Z444" i="5"/>
  <c r="S444" i="5"/>
  <c r="Z753" i="5"/>
  <c r="AA753" i="5" s="1"/>
  <c r="AB753" i="5" s="1"/>
  <c r="S753" i="5"/>
  <c r="Z666" i="5"/>
  <c r="AA666" i="5" s="1"/>
  <c r="AB666" i="5" s="1"/>
  <c r="S666" i="5"/>
  <c r="Z810" i="5"/>
  <c r="S810" i="5"/>
  <c r="Y597" i="5"/>
  <c r="R597" i="5"/>
  <c r="X279" i="5"/>
  <c r="Q279" i="5"/>
  <c r="W279" i="5"/>
  <c r="P279" i="5"/>
  <c r="Z332" i="5"/>
  <c r="S332" i="5"/>
  <c r="X267" i="5"/>
  <c r="Q267" i="5"/>
  <c r="P267" i="5"/>
  <c r="W267" i="5"/>
  <c r="Y404" i="5"/>
  <c r="AA404" i="5" s="1"/>
  <c r="AB404" i="5" s="1"/>
  <c r="R404" i="5"/>
  <c r="Y680" i="5"/>
  <c r="R680" i="5"/>
  <c r="Q680" i="5"/>
  <c r="Z668" i="5"/>
  <c r="S668" i="5"/>
  <c r="Y338" i="5"/>
  <c r="R338" i="5"/>
  <c r="X142" i="5"/>
  <c r="Q142" i="5"/>
  <c r="Y287" i="5"/>
  <c r="AA287" i="5" s="1"/>
  <c r="AB287" i="5" s="1"/>
  <c r="R287" i="5"/>
  <c r="Z159" i="5"/>
  <c r="S159" i="5"/>
  <c r="T159" i="5" s="1"/>
  <c r="U159" i="5" s="1"/>
  <c r="X29" i="5"/>
  <c r="Q29" i="5"/>
  <c r="T29" i="5" s="1"/>
  <c r="U29" i="5" s="1"/>
  <c r="X638" i="5"/>
  <c r="Q638" i="5"/>
  <c r="W638" i="5"/>
  <c r="AA638" i="5" s="1"/>
  <c r="AB638" i="5" s="1"/>
  <c r="Y663" i="5"/>
  <c r="R663" i="5"/>
  <c r="X527" i="5"/>
  <c r="Q527" i="5"/>
  <c r="W527" i="5"/>
  <c r="P527" i="5"/>
  <c r="Y198" i="5"/>
  <c r="R198" i="5"/>
  <c r="Y701" i="5"/>
  <c r="R701" i="5"/>
  <c r="X701" i="5"/>
  <c r="Q701" i="5"/>
  <c r="W701" i="5"/>
  <c r="P701" i="5"/>
  <c r="X48" i="5"/>
  <c r="Q48" i="5"/>
  <c r="P48" i="5"/>
  <c r="Z1000" i="5"/>
  <c r="S1000" i="5"/>
  <c r="Z53" i="5"/>
  <c r="S53" i="5"/>
  <c r="Z905" i="5"/>
  <c r="S905" i="5"/>
  <c r="X482" i="5"/>
  <c r="Q482" i="5"/>
  <c r="W482" i="5"/>
  <c r="P482" i="5"/>
  <c r="Y422" i="5"/>
  <c r="R422" i="5"/>
  <c r="Y713" i="5"/>
  <c r="R713" i="5"/>
  <c r="Y757" i="5"/>
  <c r="AA757" i="5" s="1"/>
  <c r="AB757" i="5" s="1"/>
  <c r="R757" i="5"/>
  <c r="X425" i="5"/>
  <c r="AA425" i="5" s="1"/>
  <c r="AB425" i="5" s="1"/>
  <c r="Q425" i="5"/>
  <c r="Z175" i="5"/>
  <c r="AA175" i="5" s="1"/>
  <c r="AB175" i="5" s="1"/>
  <c r="S175" i="5"/>
  <c r="T175" i="5" s="1"/>
  <c r="U175" i="5" s="1"/>
  <c r="Y366" i="5"/>
  <c r="R366" i="5"/>
  <c r="Y808" i="5"/>
  <c r="R808" i="5"/>
  <c r="Z87" i="5"/>
  <c r="AA87" i="5" s="1"/>
  <c r="AB87" i="5" s="1"/>
  <c r="S87" i="5"/>
  <c r="X547" i="5"/>
  <c r="Q547" i="5"/>
  <c r="Z788" i="5"/>
  <c r="S788" i="5"/>
  <c r="X16" i="5"/>
  <c r="AA16" i="5" s="1"/>
  <c r="AB16" i="5" s="1"/>
  <c r="Q16" i="5"/>
  <c r="X60" i="5"/>
  <c r="Q60" i="5"/>
  <c r="X997" i="5"/>
  <c r="Q997" i="5"/>
  <c r="T997" i="5" s="1"/>
  <c r="U997" i="5" s="1"/>
  <c r="X886" i="5"/>
  <c r="Q886" i="5"/>
  <c r="W886" i="5"/>
  <c r="P886" i="5"/>
  <c r="Z167" i="5"/>
  <c r="S167" i="5"/>
  <c r="T167" i="5" s="1"/>
  <c r="U167" i="5" s="1"/>
  <c r="X778" i="5"/>
  <c r="Q778" i="5"/>
  <c r="W778" i="5"/>
  <c r="X578" i="5"/>
  <c r="Q578" i="5"/>
  <c r="X705" i="5"/>
  <c r="Q705" i="5"/>
  <c r="Y204" i="5"/>
  <c r="AA204" i="5" s="1"/>
  <c r="AB204" i="5" s="1"/>
  <c r="R204" i="5"/>
  <c r="Y574" i="5"/>
  <c r="AA574" i="5" s="1"/>
  <c r="AB574" i="5" s="1"/>
  <c r="R574" i="5"/>
  <c r="X2" i="5"/>
  <c r="Q2" i="5"/>
  <c r="P2" i="5"/>
  <c r="X876" i="5"/>
  <c r="Q876" i="5"/>
  <c r="W876" i="5"/>
  <c r="P876" i="5"/>
  <c r="X114" i="5"/>
  <c r="Q114" i="5"/>
  <c r="X639" i="5"/>
  <c r="AA639" i="5" s="1"/>
  <c r="AB639" i="5" s="1"/>
  <c r="Q639" i="5"/>
  <c r="Z570" i="5"/>
  <c r="AA570" i="5" s="1"/>
  <c r="AB570" i="5" s="1"/>
  <c r="S570" i="5"/>
  <c r="X756" i="5"/>
  <c r="Q756" i="5"/>
  <c r="P756" i="5"/>
  <c r="W756" i="5"/>
  <c r="Z331" i="5"/>
  <c r="AA331" i="5" s="1"/>
  <c r="AB331" i="5" s="1"/>
  <c r="S331" i="5"/>
  <c r="Y902" i="5"/>
  <c r="R902" i="5"/>
  <c r="Z961" i="5"/>
  <c r="S961" i="5"/>
  <c r="X101" i="5"/>
  <c r="Q101" i="5"/>
  <c r="X703" i="5"/>
  <c r="Q703" i="5"/>
  <c r="W703" i="5"/>
  <c r="P703" i="5"/>
  <c r="T703" i="5" s="1"/>
  <c r="U703" i="5" s="1"/>
  <c r="Y456" i="5"/>
  <c r="R456" i="5"/>
  <c r="X661" i="5"/>
  <c r="Q661" i="5"/>
  <c r="W661" i="5"/>
  <c r="AA661" i="5" s="1"/>
  <c r="AB661" i="5" s="1"/>
  <c r="P661" i="5"/>
  <c r="X498" i="5"/>
  <c r="Q498" i="5"/>
  <c r="W498" i="5"/>
  <c r="P498" i="5"/>
  <c r="Z7" i="5"/>
  <c r="S7" i="5"/>
  <c r="Y684" i="5"/>
  <c r="R684" i="5"/>
  <c r="X684" i="5"/>
  <c r="Q684" i="5"/>
  <c r="W684" i="5"/>
  <c r="P684" i="5"/>
  <c r="Y890" i="5"/>
  <c r="R890" i="5"/>
  <c r="Y314" i="5"/>
  <c r="R314" i="5"/>
  <c r="X146" i="5"/>
  <c r="Q146" i="5"/>
  <c r="W146" i="5"/>
  <c r="X751" i="5"/>
  <c r="Q751" i="5"/>
  <c r="Y925" i="5"/>
  <c r="R925" i="5"/>
  <c r="Y277" i="5"/>
  <c r="R277" i="5"/>
  <c r="X989" i="5"/>
  <c r="Q989" i="5"/>
  <c r="W989" i="5"/>
  <c r="P989" i="5"/>
  <c r="X378" i="5"/>
  <c r="Q378" i="5"/>
  <c r="W378" i="5"/>
  <c r="P378" i="5"/>
  <c r="Y418" i="5"/>
  <c r="AA418" i="5" s="1"/>
  <c r="AB418" i="5" s="1"/>
  <c r="R418" i="5"/>
  <c r="X98" i="5"/>
  <c r="Q98" i="5"/>
  <c r="P98" i="5"/>
  <c r="W98" i="5"/>
  <c r="Y885" i="5"/>
  <c r="R885" i="5"/>
  <c r="Y161" i="5"/>
  <c r="R161" i="5"/>
  <c r="Y791" i="5"/>
  <c r="AA791" i="5" s="1"/>
  <c r="AB791" i="5" s="1"/>
  <c r="R791" i="5"/>
  <c r="Y760" i="5"/>
  <c r="R760" i="5"/>
  <c r="Z224" i="5"/>
  <c r="S224" i="5"/>
  <c r="Y924" i="5"/>
  <c r="R924" i="5"/>
  <c r="Y89" i="5"/>
  <c r="AA89" i="5" s="1"/>
  <c r="AB89" i="5" s="1"/>
  <c r="R89" i="5"/>
  <c r="Z669" i="5"/>
  <c r="S669" i="5"/>
  <c r="Z673" i="5"/>
  <c r="S673" i="5"/>
  <c r="X941" i="5"/>
  <c r="Q941" i="5"/>
  <c r="W941" i="5"/>
  <c r="P941" i="5"/>
  <c r="X322" i="5"/>
  <c r="Q322" i="5"/>
  <c r="W322" i="5"/>
  <c r="P322" i="5"/>
  <c r="Y847" i="5"/>
  <c r="R847" i="5"/>
  <c r="Y931" i="5"/>
  <c r="R931" i="5"/>
  <c r="Y795" i="5"/>
  <c r="R795" i="5"/>
  <c r="X795" i="5"/>
  <c r="Q795" i="5"/>
  <c r="Z516" i="5"/>
  <c r="AA516" i="5" s="1"/>
  <c r="AB516" i="5" s="1"/>
  <c r="S516" i="5"/>
  <c r="X742" i="5"/>
  <c r="Q742" i="5"/>
  <c r="W742" i="5"/>
  <c r="P742" i="5"/>
  <c r="Y628" i="5"/>
  <c r="R628" i="5"/>
  <c r="T628" i="5" s="1"/>
  <c r="U628" i="5" s="1"/>
  <c r="Y721" i="5"/>
  <c r="AA721" i="5" s="1"/>
  <c r="AB721" i="5" s="1"/>
  <c r="R721" i="5"/>
  <c r="Y916" i="5"/>
  <c r="R916" i="5"/>
  <c r="Y818" i="5"/>
  <c r="R818" i="5"/>
  <c r="X255" i="5"/>
  <c r="Q255" i="5"/>
  <c r="W255" i="5"/>
  <c r="AA255" i="5" s="1"/>
  <c r="AB255" i="5" s="1"/>
  <c r="Y860" i="5"/>
  <c r="AA860" i="5" s="1"/>
  <c r="AB860" i="5" s="1"/>
  <c r="R860" i="5"/>
  <c r="Y880" i="5"/>
  <c r="R880" i="5"/>
  <c r="Z301" i="5"/>
  <c r="AA301" i="5" s="1"/>
  <c r="AB301" i="5" s="1"/>
  <c r="S301" i="5"/>
  <c r="X980" i="5"/>
  <c r="Q980" i="5"/>
  <c r="W980" i="5"/>
  <c r="P980" i="5"/>
  <c r="X57" i="5"/>
  <c r="Q57" i="5"/>
  <c r="Z95" i="5"/>
  <c r="AA95" i="5" s="1"/>
  <c r="AB95" i="5" s="1"/>
  <c r="S95" i="5"/>
  <c r="Z481" i="5"/>
  <c r="S481" i="5"/>
  <c r="Z969" i="5"/>
  <c r="S969" i="5"/>
  <c r="T969" i="5" s="1"/>
  <c r="U969" i="5" s="1"/>
  <c r="Z364" i="5"/>
  <c r="S364" i="5"/>
  <c r="Y734" i="5"/>
  <c r="AA734" i="5" s="1"/>
  <c r="AB734" i="5" s="1"/>
  <c r="R734" i="5"/>
  <c r="Z904" i="5"/>
  <c r="S904" i="5"/>
  <c r="Z573" i="5"/>
  <c r="AA573" i="5" s="1"/>
  <c r="AB573" i="5" s="1"/>
  <c r="S573" i="5"/>
  <c r="Z654" i="5"/>
  <c r="S654" i="5"/>
  <c r="Z756" i="5"/>
  <c r="AA756" i="5" s="1"/>
  <c r="AB756" i="5" s="1"/>
  <c r="S756" i="5"/>
  <c r="X519" i="5"/>
  <c r="Q519" i="5"/>
  <c r="Y729" i="5"/>
  <c r="R729" i="5"/>
  <c r="Z121" i="5"/>
  <c r="S121" i="5"/>
  <c r="Y210" i="5"/>
  <c r="AA210" i="5" s="1"/>
  <c r="AB210" i="5" s="1"/>
  <c r="R210" i="5"/>
  <c r="Z129" i="5"/>
  <c r="AA129" i="5" s="1"/>
  <c r="AB129" i="5" s="1"/>
  <c r="S129" i="5"/>
  <c r="T129" i="5" s="1"/>
  <c r="U129" i="5" s="1"/>
  <c r="Y798" i="5"/>
  <c r="AA798" i="5" s="1"/>
  <c r="AB798" i="5" s="1"/>
  <c r="R798" i="5"/>
  <c r="Y83" i="5"/>
  <c r="AA83" i="5" s="1"/>
  <c r="AB83" i="5" s="1"/>
  <c r="R83" i="5"/>
  <c r="Y598" i="5"/>
  <c r="AA598" i="5" s="1"/>
  <c r="AB598" i="5" s="1"/>
  <c r="R598" i="5"/>
  <c r="Z611" i="5"/>
  <c r="S611" i="5"/>
  <c r="Y951" i="5"/>
  <c r="R951" i="5"/>
  <c r="X875" i="5"/>
  <c r="Q875" i="5"/>
  <c r="W875" i="5"/>
  <c r="AA875" i="5" s="1"/>
  <c r="AB875" i="5" s="1"/>
  <c r="P875" i="5"/>
  <c r="X790" i="5"/>
  <c r="Q790" i="5"/>
  <c r="W790" i="5"/>
  <c r="P790" i="5"/>
  <c r="Y116" i="5"/>
  <c r="AA116" i="5" s="1"/>
  <c r="AB116" i="5" s="1"/>
  <c r="R116" i="5"/>
  <c r="X718" i="5"/>
  <c r="Q718" i="5"/>
  <c r="P718" i="5"/>
  <c r="X36" i="5"/>
  <c r="Q36" i="5"/>
  <c r="W36" i="5"/>
  <c r="P36" i="5"/>
  <c r="Y933" i="5"/>
  <c r="R933" i="5"/>
  <c r="Y358" i="5"/>
  <c r="R358" i="5"/>
  <c r="Y411" i="5"/>
  <c r="R411" i="5"/>
  <c r="Z842" i="5"/>
  <c r="S842" i="5"/>
  <c r="Z395" i="5"/>
  <c r="S395" i="5"/>
  <c r="Y842" i="5"/>
  <c r="R842" i="5"/>
  <c r="T842" i="5" s="1"/>
  <c r="U842" i="5" s="1"/>
  <c r="Y794" i="5"/>
  <c r="AA794" i="5" s="1"/>
  <c r="AB794" i="5" s="1"/>
  <c r="R794" i="5"/>
  <c r="X807" i="5"/>
  <c r="Q807" i="5"/>
  <c r="P807" i="5"/>
  <c r="W807" i="5"/>
  <c r="Z109" i="5"/>
  <c r="S109" i="5"/>
  <c r="Z971" i="5"/>
  <c r="S971" i="5"/>
  <c r="X966" i="5"/>
  <c r="Q966" i="5"/>
  <c r="X623" i="5"/>
  <c r="Q623" i="5"/>
  <c r="Z502" i="5"/>
  <c r="AA502" i="5" s="1"/>
  <c r="AB502" i="5" s="1"/>
  <c r="S502" i="5"/>
  <c r="X450" i="5"/>
  <c r="Q450" i="5"/>
  <c r="W450" i="5"/>
  <c r="P450" i="5"/>
  <c r="Z509" i="5"/>
  <c r="S509" i="5"/>
  <c r="T509" i="5" s="1"/>
  <c r="U509" i="5" s="1"/>
  <c r="Y214" i="5"/>
  <c r="R214" i="5"/>
  <c r="Z867" i="5"/>
  <c r="S867" i="5"/>
  <c r="X166" i="5"/>
  <c r="AA166" i="5" s="1"/>
  <c r="AB166" i="5" s="1"/>
  <c r="Q166" i="5"/>
  <c r="W166" i="5"/>
  <c r="X854" i="5"/>
  <c r="Q854" i="5"/>
  <c r="P854" i="5"/>
  <c r="T854" i="5" s="1"/>
  <c r="U854" i="5" s="1"/>
  <c r="W854" i="5"/>
  <c r="X424" i="5"/>
  <c r="Q424" i="5"/>
  <c r="Y709" i="5"/>
  <c r="R709" i="5"/>
  <c r="Z209" i="5"/>
  <c r="S209" i="5"/>
  <c r="X772" i="5"/>
  <c r="Q772" i="5"/>
  <c r="W772" i="5"/>
  <c r="P772" i="5"/>
  <c r="X539" i="5"/>
  <c r="Q539" i="5"/>
  <c r="X79" i="5"/>
  <c r="Q79" i="5"/>
  <c r="W79" i="5"/>
  <c r="P79" i="5"/>
  <c r="T79" i="5" s="1"/>
  <c r="U79" i="5" s="1"/>
  <c r="Y158" i="5"/>
  <c r="R158" i="5"/>
  <c r="Z79" i="5"/>
  <c r="S79" i="5"/>
  <c r="X158" i="5"/>
  <c r="Q158" i="5"/>
  <c r="W158" i="5"/>
  <c r="P158" i="5"/>
  <c r="X673" i="5"/>
  <c r="Q673" i="5"/>
  <c r="W673" i="5"/>
  <c r="P673" i="5"/>
  <c r="Y133" i="5"/>
  <c r="R133" i="5"/>
  <c r="Z119" i="5"/>
  <c r="S119" i="5"/>
  <c r="X823" i="5"/>
  <c r="Q823" i="5"/>
  <c r="W823" i="5"/>
  <c r="P823" i="5"/>
  <c r="Y749" i="5"/>
  <c r="AA749" i="5" s="1"/>
  <c r="AB749" i="5" s="1"/>
  <c r="R749" i="5"/>
  <c r="X468" i="5"/>
  <c r="Q468" i="5"/>
  <c r="T468" i="5" s="1"/>
  <c r="U468" i="5" s="1"/>
  <c r="Y886" i="5"/>
  <c r="R886" i="5"/>
  <c r="Y836" i="5"/>
  <c r="R836" i="5"/>
  <c r="Z568" i="5"/>
  <c r="AA568" i="5" s="1"/>
  <c r="AB568" i="5" s="1"/>
  <c r="S568" i="5"/>
  <c r="X363" i="5"/>
  <c r="Q363" i="5"/>
  <c r="P363" i="5"/>
  <c r="W363" i="5"/>
  <c r="Y86" i="5"/>
  <c r="R86" i="5"/>
  <c r="Y905" i="5"/>
  <c r="AA905" i="5" s="1"/>
  <c r="AB905" i="5" s="1"/>
  <c r="R905" i="5"/>
  <c r="X350" i="5"/>
  <c r="Q350" i="5"/>
  <c r="P350" i="5"/>
  <c r="Y591" i="5"/>
  <c r="R591" i="5"/>
  <c r="Y435" i="5"/>
  <c r="R435" i="5"/>
  <c r="Y737" i="5"/>
  <c r="AA737" i="5" s="1"/>
  <c r="AB737" i="5" s="1"/>
  <c r="R737" i="5"/>
  <c r="Y632" i="5"/>
  <c r="AA632" i="5" s="1"/>
  <c r="AB632" i="5" s="1"/>
  <c r="R632" i="5"/>
  <c r="X292" i="5"/>
  <c r="Q292" i="5"/>
  <c r="W292" i="5"/>
  <c r="P292" i="5"/>
  <c r="Z843" i="5"/>
  <c r="S843" i="5"/>
  <c r="Y347" i="5"/>
  <c r="AA347" i="5" s="1"/>
  <c r="AB347" i="5" s="1"/>
  <c r="R347" i="5"/>
  <c r="X726" i="5"/>
  <c r="Q726" i="5"/>
  <c r="P726" i="5"/>
  <c r="W726" i="5"/>
  <c r="X933" i="5"/>
  <c r="AA933" i="5" s="1"/>
  <c r="AB933" i="5" s="1"/>
  <c r="Q933" i="5"/>
  <c r="Y38" i="5"/>
  <c r="AA38" i="5" s="1"/>
  <c r="AB38" i="5" s="1"/>
  <c r="R38" i="5"/>
  <c r="Z286" i="5"/>
  <c r="AA286" i="5" s="1"/>
  <c r="AB286" i="5" s="1"/>
  <c r="S286" i="5"/>
  <c r="X641" i="5"/>
  <c r="Q641" i="5"/>
  <c r="P641" i="5"/>
  <c r="Y867" i="5"/>
  <c r="R867" i="5"/>
  <c r="T867" i="5" s="1"/>
  <c r="U867" i="5" s="1"/>
  <c r="Y503" i="5"/>
  <c r="AA503" i="5" s="1"/>
  <c r="AB503" i="5" s="1"/>
  <c r="R503" i="5"/>
  <c r="T503" i="5" s="1"/>
  <c r="U503" i="5" s="1"/>
  <c r="Y245" i="5"/>
  <c r="R245" i="5"/>
  <c r="Y609" i="5"/>
  <c r="AA609" i="5" s="1"/>
  <c r="AB609" i="5" s="1"/>
  <c r="R609" i="5"/>
  <c r="Y263" i="5"/>
  <c r="R263" i="5"/>
  <c r="T263" i="5" s="1"/>
  <c r="U263" i="5" s="1"/>
  <c r="Z473" i="5"/>
  <c r="S473" i="5"/>
  <c r="T473" i="5" s="1"/>
  <c r="U473" i="5" s="1"/>
  <c r="Y576" i="5"/>
  <c r="R576" i="5"/>
  <c r="Y72" i="5"/>
  <c r="AA72" i="5" s="1"/>
  <c r="AB72" i="5" s="1"/>
  <c r="R72" i="5"/>
  <c r="Z198" i="5"/>
  <c r="S198" i="5"/>
  <c r="Y498" i="5"/>
  <c r="R498" i="5"/>
  <c r="X420" i="5"/>
  <c r="Q420" i="5"/>
  <c r="W420" i="5"/>
  <c r="AA420" i="5" s="1"/>
  <c r="AB420" i="5" s="1"/>
  <c r="P420" i="5"/>
  <c r="Z173" i="5"/>
  <c r="S173" i="5"/>
  <c r="Z693" i="5"/>
  <c r="AA693" i="5" s="1"/>
  <c r="AB693" i="5" s="1"/>
  <c r="S693" i="5"/>
  <c r="X655" i="5"/>
  <c r="AA655" i="5" s="1"/>
  <c r="AB655" i="5" s="1"/>
  <c r="Q655" i="5"/>
  <c r="P655" i="5"/>
  <c r="T655" i="5" s="1"/>
  <c r="U655" i="5" s="1"/>
  <c r="Y266" i="5"/>
  <c r="AA266" i="5" s="1"/>
  <c r="AB266" i="5" s="1"/>
  <c r="R266" i="5"/>
  <c r="Z591" i="5"/>
  <c r="S591" i="5"/>
  <c r="Z293" i="5"/>
  <c r="AA293" i="5" s="1"/>
  <c r="AB293" i="5" s="1"/>
  <c r="S293" i="5"/>
  <c r="Z298" i="5"/>
  <c r="AA298" i="5" s="1"/>
  <c r="AB298" i="5" s="1"/>
  <c r="S298" i="5"/>
  <c r="Y165" i="5"/>
  <c r="R165" i="5"/>
  <c r="T165" i="5" s="1"/>
  <c r="U165" i="5" s="1"/>
  <c r="Y719" i="5"/>
  <c r="R719" i="5"/>
  <c r="Z422" i="5"/>
  <c r="AA422" i="5" s="1"/>
  <c r="AB422" i="5" s="1"/>
  <c r="S422" i="5"/>
  <c r="X843" i="5"/>
  <c r="Q843" i="5"/>
  <c r="W843" i="5"/>
  <c r="Z112" i="5"/>
  <c r="S112" i="5"/>
  <c r="Z480" i="5"/>
  <c r="AA480" i="5" s="1"/>
  <c r="AB480" i="5" s="1"/>
  <c r="S480" i="5"/>
  <c r="Y523" i="5"/>
  <c r="R523" i="5"/>
  <c r="X534" i="5"/>
  <c r="AA534" i="5" s="1"/>
  <c r="AB534" i="5" s="1"/>
  <c r="Q534" i="5"/>
  <c r="Z582" i="5"/>
  <c r="S582" i="5"/>
  <c r="Z902" i="5"/>
  <c r="S902" i="5"/>
  <c r="Z674" i="5"/>
  <c r="S674" i="5"/>
  <c r="X190" i="5"/>
  <c r="AA190" i="5" s="1"/>
  <c r="AB190" i="5" s="1"/>
  <c r="Q190" i="5"/>
  <c r="Y243" i="5"/>
  <c r="R243" i="5"/>
  <c r="X784" i="5"/>
  <c r="Q784" i="5"/>
  <c r="W784" i="5"/>
  <c r="P784" i="5"/>
  <c r="Z792" i="5"/>
  <c r="AA792" i="5" s="1"/>
  <c r="AB792" i="5" s="1"/>
  <c r="S792" i="5"/>
  <c r="W871" i="5"/>
  <c r="AA871" i="5" s="1"/>
  <c r="AB871" i="5" s="1"/>
  <c r="W923" i="5"/>
  <c r="AA923" i="5" s="1"/>
  <c r="AB923" i="5" s="1"/>
  <c r="AA967" i="5"/>
  <c r="AB967" i="5" s="1"/>
  <c r="AA68" i="5"/>
  <c r="AB68" i="5" s="1"/>
  <c r="AA437" i="5"/>
  <c r="AB437" i="5" s="1"/>
  <c r="AA14" i="5"/>
  <c r="AB14" i="5" s="1"/>
  <c r="AA926" i="5"/>
  <c r="AB926" i="5" s="1"/>
  <c r="AA176" i="5"/>
  <c r="AB176" i="5" s="1"/>
  <c r="W385" i="5"/>
  <c r="AA385" i="5" s="1"/>
  <c r="AB385" i="5" s="1"/>
  <c r="AA948" i="5"/>
  <c r="AB948" i="5" s="1"/>
  <c r="AA216" i="5"/>
  <c r="AB216" i="5" s="1"/>
  <c r="AA50" i="5"/>
  <c r="AB50" i="5" s="1"/>
  <c r="AA626" i="5"/>
  <c r="AB626" i="5" s="1"/>
  <c r="AA714" i="5"/>
  <c r="AB714" i="5" s="1"/>
  <c r="AA839" i="5"/>
  <c r="AB839" i="5" s="1"/>
  <c r="AA589" i="5"/>
  <c r="AB589" i="5" s="1"/>
  <c r="AA170" i="5"/>
  <c r="AB170" i="5" s="1"/>
  <c r="AA74" i="5"/>
  <c r="AB74" i="5" s="1"/>
  <c r="AA12" i="5"/>
  <c r="AB12" i="5" s="1"/>
  <c r="AA560" i="5"/>
  <c r="AB560" i="5" s="1"/>
  <c r="AA455" i="5"/>
  <c r="AB455" i="5" s="1"/>
  <c r="W723" i="5"/>
  <c r="AA680" i="5"/>
  <c r="AB680" i="5" s="1"/>
  <c r="AA837" i="5"/>
  <c r="AB837" i="5" s="1"/>
  <c r="W536" i="5"/>
  <c r="AA536" i="5" s="1"/>
  <c r="AB536" i="5" s="1"/>
  <c r="P640" i="5"/>
  <c r="W572" i="5"/>
  <c r="W183" i="5"/>
  <c r="Q355" i="5"/>
  <c r="W350" i="5"/>
  <c r="W278" i="5"/>
  <c r="AA278" i="5" s="1"/>
  <c r="AB278" i="5" s="1"/>
  <c r="W152" i="5"/>
  <c r="AA152" i="5" s="1"/>
  <c r="AB152" i="5" s="1"/>
  <c r="P502" i="5"/>
  <c r="P45" i="5"/>
  <c r="P308" i="5"/>
  <c r="Q333" i="5"/>
  <c r="AA715" i="5"/>
  <c r="AB715" i="5" s="1"/>
  <c r="AA800" i="5"/>
  <c r="AB800" i="5" s="1"/>
  <c r="AA355" i="5"/>
  <c r="AB355" i="5" s="1"/>
  <c r="AA894" i="5"/>
  <c r="AB894" i="5" s="1"/>
  <c r="AA319" i="5"/>
  <c r="AB319" i="5" s="1"/>
  <c r="P375" i="5"/>
  <c r="P69" i="5"/>
  <c r="X345" i="5"/>
  <c r="Q345" i="5"/>
  <c r="AA957" i="5"/>
  <c r="AB957" i="5" s="1"/>
  <c r="AA817" i="5"/>
  <c r="AB817" i="5" s="1"/>
  <c r="AA507" i="5"/>
  <c r="AB507" i="5" s="1"/>
  <c r="AA795" i="5"/>
  <c r="AB795" i="5" s="1"/>
  <c r="AA706" i="5"/>
  <c r="AB706" i="5" s="1"/>
  <c r="AA763" i="5"/>
  <c r="AB763" i="5" s="1"/>
  <c r="AA535" i="5"/>
  <c r="AB535" i="5" s="1"/>
  <c r="AA870" i="5"/>
  <c r="AB870" i="5" s="1"/>
  <c r="AA93" i="5"/>
  <c r="AB93" i="5" s="1"/>
  <c r="AA548" i="5"/>
  <c r="AB548" i="5" s="1"/>
  <c r="Z580" i="5"/>
  <c r="S580" i="5"/>
  <c r="T580" i="5" s="1"/>
  <c r="U580" i="5" s="1"/>
  <c r="P345" i="5"/>
  <c r="AA681" i="5"/>
  <c r="AB681" i="5" s="1"/>
  <c r="AA745" i="5"/>
  <c r="AB745" i="5" s="1"/>
  <c r="Y646" i="5"/>
  <c r="R646" i="5"/>
  <c r="X646" i="5"/>
  <c r="Q646" i="5"/>
  <c r="Z269" i="5"/>
  <c r="S269" i="5"/>
  <c r="Z54" i="5"/>
  <c r="S54" i="5"/>
  <c r="Z657" i="5"/>
  <c r="S657" i="5"/>
  <c r="Z326" i="5"/>
  <c r="S326" i="5"/>
  <c r="T326" i="5" s="1"/>
  <c r="U326" i="5" s="1"/>
  <c r="Z27" i="5"/>
  <c r="S27" i="5"/>
  <c r="P52" i="5"/>
  <c r="AA436" i="5"/>
  <c r="AB436" i="5" s="1"/>
  <c r="AA739" i="5"/>
  <c r="AB739" i="5" s="1"/>
  <c r="AA348" i="5"/>
  <c r="AB348" i="5" s="1"/>
  <c r="AA457" i="5"/>
  <c r="AB457" i="5" s="1"/>
  <c r="AA513" i="5"/>
  <c r="AB513" i="5" s="1"/>
  <c r="AA461" i="5"/>
  <c r="AB461" i="5" s="1"/>
  <c r="AA326" i="5"/>
  <c r="AB326" i="5" s="1"/>
  <c r="AA251" i="5"/>
  <c r="AB251" i="5" s="1"/>
  <c r="AA853" i="5"/>
  <c r="AB853" i="5" s="1"/>
  <c r="AA613" i="5"/>
  <c r="AB613" i="5" s="1"/>
  <c r="Y96" i="5"/>
  <c r="R96" i="5"/>
  <c r="AA296" i="5"/>
  <c r="AB296" i="5" s="1"/>
  <c r="AA631" i="5"/>
  <c r="AB631" i="5" s="1"/>
  <c r="AA101" i="5"/>
  <c r="AB101" i="5" s="1"/>
  <c r="AA665" i="5"/>
  <c r="AB665" i="5" s="1"/>
  <c r="AA439" i="5"/>
  <c r="AB439" i="5" s="1"/>
  <c r="AA459" i="5"/>
  <c r="AB459" i="5" s="1"/>
  <c r="AA493" i="5"/>
  <c r="AB493" i="5" s="1"/>
  <c r="AA597" i="5"/>
  <c r="AB597" i="5" s="1"/>
  <c r="AA178" i="5"/>
  <c r="AB178" i="5" s="1"/>
  <c r="AA868" i="5"/>
  <c r="AB868" i="5" s="1"/>
  <c r="AA140" i="5"/>
  <c r="AB140" i="5" s="1"/>
  <c r="AA380" i="5"/>
  <c r="AB380" i="5" s="1"/>
  <c r="AA708" i="5"/>
  <c r="AB708" i="5" s="1"/>
  <c r="AA49" i="5"/>
  <c r="AB49" i="5" s="1"/>
  <c r="AA229" i="5"/>
  <c r="AB229" i="5" s="1"/>
  <c r="Z988" i="5"/>
  <c r="AA988" i="5" s="1"/>
  <c r="AB988" i="5" s="1"/>
  <c r="S988" i="5"/>
  <c r="X269" i="5"/>
  <c r="Q269" i="5"/>
  <c r="W269" i="5"/>
  <c r="P269" i="5"/>
  <c r="X722" i="5"/>
  <c r="Q722" i="5"/>
  <c r="C10" i="10"/>
  <c r="O5" i="6"/>
  <c r="AA705" i="5"/>
  <c r="AB705" i="5" s="1"/>
  <c r="AA641" i="5"/>
  <c r="AB641" i="5" s="1"/>
  <c r="AA289" i="5"/>
  <c r="AB289" i="5" s="1"/>
  <c r="W345" i="5"/>
  <c r="Z448" i="5"/>
  <c r="S448" i="5"/>
  <c r="AA366" i="5"/>
  <c r="AB366" i="5" s="1"/>
  <c r="AA173" i="5"/>
  <c r="AB173" i="5" s="1"/>
  <c r="AA581" i="5"/>
  <c r="AB581" i="5" s="1"/>
  <c r="AA913" i="5"/>
  <c r="AB913" i="5" s="1"/>
  <c r="AA163" i="5"/>
  <c r="AB163" i="5" s="1"/>
  <c r="AA897" i="5"/>
  <c r="AB897" i="5" s="1"/>
  <c r="AA421" i="5"/>
  <c r="AB421" i="5" s="1"/>
  <c r="AA324" i="5"/>
  <c r="AB324" i="5" s="1"/>
  <c r="AA376" i="5"/>
  <c r="AB376" i="5" s="1"/>
  <c r="AA77" i="5"/>
  <c r="AB77" i="5" s="1"/>
  <c r="AA952" i="5"/>
  <c r="AB952" i="5" s="1"/>
  <c r="AA334" i="5"/>
  <c r="AB334" i="5" s="1"/>
  <c r="AA428" i="5"/>
  <c r="AB428" i="5" s="1"/>
  <c r="AA519" i="5"/>
  <c r="AB519" i="5" s="1"/>
  <c r="AA9" i="5"/>
  <c r="AB9" i="5" s="1"/>
  <c r="AA939" i="5"/>
  <c r="AB939" i="5" s="1"/>
  <c r="AA37" i="5"/>
  <c r="AB37" i="5" s="1"/>
  <c r="AA304" i="5"/>
  <c r="AB304" i="5" s="1"/>
  <c r="AA499" i="5"/>
  <c r="AB499" i="5" s="1"/>
  <c r="AA282" i="5"/>
  <c r="AB282" i="5" s="1"/>
  <c r="AA371" i="5"/>
  <c r="AB371" i="5" s="1"/>
  <c r="AA954" i="5"/>
  <c r="AB954" i="5" s="1"/>
  <c r="AA522" i="5"/>
  <c r="AB522" i="5" s="1"/>
  <c r="AA431" i="5"/>
  <c r="AB431" i="5" s="1"/>
  <c r="AA565" i="5"/>
  <c r="AB565" i="5" s="1"/>
  <c r="AA558" i="5"/>
  <c r="AB558" i="5" s="1"/>
  <c r="AA410" i="5"/>
  <c r="AB410" i="5" s="1"/>
  <c r="AA816" i="5"/>
  <c r="AB816" i="5" s="1"/>
  <c r="AA375" i="5"/>
  <c r="AB375" i="5" s="1"/>
  <c r="AA57" i="5"/>
  <c r="AB57" i="5" s="1"/>
  <c r="AA974" i="5"/>
  <c r="AB974" i="5" s="1"/>
  <c r="AA401" i="5"/>
  <c r="AB401" i="5" s="1"/>
  <c r="AA874" i="5"/>
  <c r="AB874" i="5" s="1"/>
  <c r="AA90" i="5"/>
  <c r="AB90" i="5" s="1"/>
  <c r="AA69" i="5"/>
  <c r="AB69" i="5" s="1"/>
  <c r="Y722" i="5"/>
  <c r="R722" i="5"/>
  <c r="AA322" i="5"/>
  <c r="AB322" i="5" s="1"/>
  <c r="AA134" i="5"/>
  <c r="AB134" i="5" s="1"/>
  <c r="AA25" i="5"/>
  <c r="AB25" i="5" s="1"/>
  <c r="AA653" i="5"/>
  <c r="AB653" i="5" s="1"/>
  <c r="AA771" i="5"/>
  <c r="AB771" i="5" s="1"/>
  <c r="AA227" i="5"/>
  <c r="AB227" i="5" s="1"/>
  <c r="AA212" i="5"/>
  <c r="AB212" i="5" s="1"/>
  <c r="AA887" i="5"/>
  <c r="AB887" i="5" s="1"/>
  <c r="AA382" i="5"/>
  <c r="AB382" i="5" s="1"/>
  <c r="AA343" i="5"/>
  <c r="AB343" i="5" s="1"/>
  <c r="AA937" i="5"/>
  <c r="AB937" i="5" s="1"/>
  <c r="Z303" i="5"/>
  <c r="S303" i="5"/>
  <c r="AA20" i="5"/>
  <c r="AB20" i="5" s="1"/>
  <c r="AA299" i="5"/>
  <c r="AB299" i="5" s="1"/>
  <c r="AA998" i="5"/>
  <c r="AB998" i="5" s="1"/>
  <c r="AA885" i="5"/>
  <c r="AB885" i="5" s="1"/>
  <c r="AA460" i="5"/>
  <c r="AB460" i="5" s="1"/>
  <c r="AA205" i="5"/>
  <c r="AB205" i="5" s="1"/>
  <c r="AA751" i="5"/>
  <c r="AB751" i="5" s="1"/>
  <c r="AA612" i="5"/>
  <c r="AB612" i="5" s="1"/>
  <c r="AA171" i="5"/>
  <c r="AB171" i="5" s="1"/>
  <c r="AA802" i="5"/>
  <c r="AB802" i="5" s="1"/>
  <c r="AA918" i="5"/>
  <c r="AB918" i="5" s="1"/>
  <c r="AA123" i="5"/>
  <c r="AB123" i="5" s="1"/>
  <c r="AA671" i="5"/>
  <c r="AB671" i="5" s="1"/>
  <c r="AA35" i="5"/>
  <c r="AB35" i="5" s="1"/>
  <c r="AA144" i="5"/>
  <c r="AB144" i="5" s="1"/>
  <c r="AA234" i="5"/>
  <c r="AB234" i="5" s="1"/>
  <c r="AA285" i="5"/>
  <c r="AB285" i="5" s="1"/>
  <c r="AA483" i="5"/>
  <c r="AB483" i="5" s="1"/>
  <c r="AA3" i="5"/>
  <c r="AB3" i="5" s="1"/>
  <c r="AA537" i="5"/>
  <c r="AB537" i="5" s="1"/>
  <c r="AA861" i="5"/>
  <c r="AB861" i="5" s="1"/>
  <c r="AA435" i="5"/>
  <c r="AB435" i="5" s="1"/>
  <c r="AA248" i="5"/>
  <c r="AB248" i="5" s="1"/>
  <c r="AA834" i="5"/>
  <c r="AB834" i="5" s="1"/>
  <c r="AA292" i="5"/>
  <c r="AB292" i="5" s="1"/>
  <c r="AA840" i="5"/>
  <c r="AB840" i="5" s="1"/>
  <c r="AA174" i="5"/>
  <c r="AB174" i="5" s="1"/>
  <c r="AA947" i="5"/>
  <c r="AB947" i="5" s="1"/>
  <c r="AA200" i="5"/>
  <c r="AB200" i="5" s="1"/>
  <c r="AA344" i="5"/>
  <c r="AB344" i="5" s="1"/>
  <c r="AA115" i="5"/>
  <c r="AB115" i="5" s="1"/>
  <c r="AA389" i="5"/>
  <c r="AB389" i="5" s="1"/>
  <c r="AA650" i="5"/>
  <c r="AB650" i="5" s="1"/>
  <c r="AA759" i="5"/>
  <c r="AB759" i="5" s="1"/>
  <c r="AA445" i="5"/>
  <c r="AB445" i="5" s="1"/>
  <c r="AA261" i="5"/>
  <c r="AB261" i="5" s="1"/>
  <c r="AA164" i="5"/>
  <c r="AB164" i="5" s="1"/>
  <c r="AA977" i="5"/>
  <c r="AB977" i="5" s="1"/>
  <c r="AA827" i="5"/>
  <c r="AB827" i="5" s="1"/>
  <c r="AA830" i="5"/>
  <c r="AB830" i="5" s="1"/>
  <c r="AA487" i="5"/>
  <c r="AB487" i="5" s="1"/>
  <c r="AA10" i="5"/>
  <c r="AB10" i="5" s="1"/>
  <c r="AA892" i="5"/>
  <c r="AB892" i="5" s="1"/>
  <c r="AA730" i="5"/>
  <c r="AB730" i="5" s="1"/>
  <c r="AA392" i="5"/>
  <c r="AB392" i="5" s="1"/>
  <c r="X494" i="5"/>
  <c r="Q494" i="5"/>
  <c r="W494" i="5"/>
  <c r="P494" i="5"/>
  <c r="T494" i="5" s="1"/>
  <c r="U494" i="5" s="1"/>
  <c r="AA975" i="5"/>
  <c r="AB975" i="5" s="1"/>
  <c r="AA983" i="5"/>
  <c r="AB983" i="5" s="1"/>
  <c r="Y269" i="5"/>
  <c r="R269" i="5"/>
  <c r="Z872" i="5"/>
  <c r="S872" i="5"/>
  <c r="AA921" i="5"/>
  <c r="AB921" i="5" s="1"/>
  <c r="AA942" i="5"/>
  <c r="AB942" i="5" s="1"/>
  <c r="AA485" i="5"/>
  <c r="AB485" i="5" s="1"/>
  <c r="AA564" i="5"/>
  <c r="AB564" i="5" s="1"/>
  <c r="AA438" i="5"/>
  <c r="AB438" i="5" s="1"/>
  <c r="AA413" i="5"/>
  <c r="AB413" i="5" s="1"/>
  <c r="AA857" i="5"/>
  <c r="AB857" i="5" s="1"/>
  <c r="AA805" i="5"/>
  <c r="AB805" i="5" s="1"/>
  <c r="AA833" i="5"/>
  <c r="AB833" i="5" s="1"/>
  <c r="AA606" i="5"/>
  <c r="AB606" i="5" s="1"/>
  <c r="AA59" i="5"/>
  <c r="AB59" i="5" s="1"/>
  <c r="AA58" i="5"/>
  <c r="AB58" i="5" s="1"/>
  <c r="AA828" i="5"/>
  <c r="AB828" i="5" s="1"/>
  <c r="AA26" i="5"/>
  <c r="AB26" i="5" s="1"/>
  <c r="AA799" i="5"/>
  <c r="AB799" i="5" s="1"/>
  <c r="AA972" i="5"/>
  <c r="AB972" i="5" s="1"/>
  <c r="AA903" i="5"/>
  <c r="AB903" i="5" s="1"/>
  <c r="AA614" i="5"/>
  <c r="AB614" i="5" s="1"/>
  <c r="AA901" i="5"/>
  <c r="AB901" i="5" s="1"/>
  <c r="AA63" i="5"/>
  <c r="AB63" i="5" s="1"/>
  <c r="AA147" i="5"/>
  <c r="AB147" i="5" s="1"/>
  <c r="X317" i="5"/>
  <c r="Q317" i="5"/>
  <c r="X920" i="5"/>
  <c r="Q920" i="5"/>
  <c r="T920" i="5" s="1"/>
  <c r="U920" i="5" s="1"/>
  <c r="AA709" i="5"/>
  <c r="AB709" i="5" s="1"/>
  <c r="AA938" i="5"/>
  <c r="AB938" i="5" s="1"/>
  <c r="AA716" i="5"/>
  <c r="AB716" i="5" s="1"/>
  <c r="AA543" i="5"/>
  <c r="AB543" i="5" s="1"/>
  <c r="AA525" i="5"/>
  <c r="AB525" i="5" s="1"/>
  <c r="AA733" i="5"/>
  <c r="AB733" i="5" s="1"/>
  <c r="AA82" i="5"/>
  <c r="AB82" i="5" s="1"/>
  <c r="AA309" i="5"/>
  <c r="AB309" i="5" s="1"/>
  <c r="Y494" i="5"/>
  <c r="R494" i="5"/>
  <c r="Z96" i="5"/>
  <c r="S96" i="5"/>
  <c r="Z722" i="5"/>
  <c r="S722" i="5"/>
  <c r="Z590" i="5"/>
  <c r="S590" i="5"/>
  <c r="Z307" i="5"/>
  <c r="S307" i="5"/>
  <c r="Z958" i="5"/>
  <c r="S958" i="5"/>
  <c r="R590" i="5"/>
  <c r="AA491" i="5"/>
  <c r="AB491" i="5" s="1"/>
  <c r="AA315" i="5"/>
  <c r="AB315" i="5" s="1"/>
  <c r="AA783" i="5"/>
  <c r="AB783" i="5" s="1"/>
  <c r="AA67" i="5"/>
  <c r="AB67" i="5" s="1"/>
  <c r="AA863" i="5"/>
  <c r="AB863" i="5" s="1"/>
  <c r="AA910" i="5"/>
  <c r="AB910" i="5" s="1"/>
  <c r="AA47" i="5"/>
  <c r="AB47" i="5" s="1"/>
  <c r="AA831" i="5"/>
  <c r="AB831" i="5" s="1"/>
  <c r="Y48" i="5"/>
  <c r="AA48" i="5" s="1"/>
  <c r="AB48" i="5" s="1"/>
  <c r="R48" i="5"/>
  <c r="X52" i="5"/>
  <c r="AA52" i="5" s="1"/>
  <c r="AB52" i="5" s="1"/>
  <c r="Q52" i="5"/>
  <c r="Y448" i="5"/>
  <c r="R448" i="5"/>
  <c r="AA673" i="5"/>
  <c r="AB673" i="5" s="1"/>
  <c r="AA569" i="5"/>
  <c r="AB569" i="5" s="1"/>
  <c r="AA965" i="5"/>
  <c r="AB965" i="5" s="1"/>
  <c r="AA259" i="5"/>
  <c r="AB259" i="5" s="1"/>
  <c r="AA932" i="5"/>
  <c r="AB932" i="5" s="1"/>
  <c r="AA192" i="5"/>
  <c r="AB192" i="5" s="1"/>
  <c r="AA484" i="5"/>
  <c r="AB484" i="5" s="1"/>
  <c r="AA203" i="5"/>
  <c r="AB203" i="5" s="1"/>
  <c r="AA302" i="5"/>
  <c r="AB302" i="5" s="1"/>
  <c r="AA379" i="5"/>
  <c r="AB379" i="5" s="1"/>
  <c r="AA341" i="5"/>
  <c r="AB341" i="5" s="1"/>
  <c r="AA893" i="5"/>
  <c r="AB893" i="5" s="1"/>
  <c r="AA61" i="5"/>
  <c r="AB61" i="5" s="1"/>
  <c r="AA841" i="5"/>
  <c r="AB841" i="5" s="1"/>
  <c r="AA819" i="5"/>
  <c r="AB819" i="5" s="1"/>
  <c r="AA260" i="5"/>
  <c r="AB260" i="5" s="1"/>
  <c r="AA332" i="5"/>
  <c r="AB332" i="5" s="1"/>
  <c r="AA311" i="5"/>
  <c r="AB311" i="5" s="1"/>
  <c r="AA427" i="5"/>
  <c r="AB427" i="5" s="1"/>
  <c r="AA883" i="5"/>
  <c r="AB883" i="5" s="1"/>
  <c r="Z405" i="5"/>
  <c r="S405" i="5"/>
  <c r="Z417" i="5"/>
  <c r="AA417" i="5" s="1"/>
  <c r="AB417" i="5" s="1"/>
  <c r="S417" i="5"/>
  <c r="AA668" i="5"/>
  <c r="AB668" i="5" s="1"/>
  <c r="AA518" i="5"/>
  <c r="AB518" i="5" s="1"/>
  <c r="Y27" i="5"/>
  <c r="R27" i="5"/>
  <c r="X27" i="5"/>
  <c r="Q27" i="5"/>
  <c r="Z239" i="5"/>
  <c r="AA239" i="5" s="1"/>
  <c r="AB239" i="5" s="1"/>
  <c r="S239" i="5"/>
  <c r="R239" i="5"/>
  <c r="Y927" i="5"/>
  <c r="AA927" i="5" s="1"/>
  <c r="AB927" i="5" s="1"/>
  <c r="R927" i="5"/>
  <c r="Y590" i="5"/>
  <c r="Y307" i="5"/>
  <c r="R307" i="5"/>
  <c r="AA273" i="5"/>
  <c r="AB273" i="5" s="1"/>
  <c r="AA993" i="5"/>
  <c r="AB993" i="5" s="1"/>
  <c r="AA398" i="5"/>
  <c r="AB398" i="5" s="1"/>
  <c r="AA108" i="5"/>
  <c r="AB108" i="5" s="1"/>
  <c r="AA811" i="5"/>
  <c r="AB811" i="5" s="1"/>
  <c r="AA858" i="5"/>
  <c r="AB858" i="5" s="1"/>
  <c r="P317" i="5"/>
  <c r="AA849" i="5"/>
  <c r="AB849" i="5" s="1"/>
  <c r="AA742" i="5"/>
  <c r="AB742" i="5" s="1"/>
  <c r="AA70" i="5"/>
  <c r="AB70" i="5" s="1"/>
  <c r="AA31" i="5"/>
  <c r="AB31" i="5" s="1"/>
  <c r="AA333" i="5"/>
  <c r="AB333" i="5" s="1"/>
  <c r="AA659" i="5"/>
  <c r="AB659" i="5" s="1"/>
  <c r="AA623" i="5"/>
  <c r="AB623" i="5" s="1"/>
  <c r="AA766" i="5"/>
  <c r="AB766" i="5" s="1"/>
  <c r="AA634" i="5"/>
  <c r="AB634" i="5" s="1"/>
  <c r="AA91" i="5"/>
  <c r="AB91" i="5" s="1"/>
  <c r="AA143" i="5"/>
  <c r="AB143" i="5" s="1"/>
  <c r="AA647" i="5"/>
  <c r="AB647" i="5" s="1"/>
  <c r="AA364" i="5"/>
  <c r="AB364" i="5" s="1"/>
  <c r="AA991" i="5"/>
  <c r="AB991" i="5" s="1"/>
  <c r="AA136" i="5"/>
  <c r="AB136" i="5" s="1"/>
  <c r="Z226" i="5"/>
  <c r="AA226" i="5" s="1"/>
  <c r="AB226" i="5" s="1"/>
  <c r="S226" i="5"/>
  <c r="Y732" i="5"/>
  <c r="R732" i="5"/>
  <c r="AA218" i="5"/>
  <c r="AB218" i="5" s="1"/>
  <c r="AA865" i="5"/>
  <c r="AB865" i="5" s="1"/>
  <c r="AA889" i="5"/>
  <c r="AB889" i="5" s="1"/>
  <c r="AA814" i="5"/>
  <c r="AB814" i="5" s="1"/>
  <c r="AA237" i="5"/>
  <c r="AB237" i="5" s="1"/>
  <c r="AA338" i="5"/>
  <c r="AB338" i="5" s="1"/>
  <c r="AA510" i="5"/>
  <c r="AB510" i="5" s="1"/>
  <c r="AA506" i="5"/>
  <c r="AB506" i="5" s="1"/>
  <c r="AA780" i="5"/>
  <c r="AB780" i="5" s="1"/>
  <c r="AA13" i="5"/>
  <c r="AB13" i="5" s="1"/>
  <c r="AA769" i="5"/>
  <c r="AB769" i="5" s="1"/>
  <c r="Z356" i="5"/>
  <c r="S356" i="5"/>
  <c r="X246" i="5"/>
  <c r="Q246" i="5"/>
  <c r="Z786" i="5"/>
  <c r="S786" i="5"/>
  <c r="AA165" i="5"/>
  <c r="AB165" i="5" s="1"/>
  <c r="AA995" i="5"/>
  <c r="AB995" i="5" s="1"/>
  <c r="AA5" i="5"/>
  <c r="AB5" i="5" s="1"/>
  <c r="AA610" i="5"/>
  <c r="AB610" i="5" s="1"/>
  <c r="AA272" i="5"/>
  <c r="AB272" i="5" s="1"/>
  <c r="AA146" i="5"/>
  <c r="AB146" i="5" s="1"/>
  <c r="AA990" i="5"/>
  <c r="AB990" i="5" s="1"/>
  <c r="AA636" i="5"/>
  <c r="AB636" i="5" s="1"/>
  <c r="AA268" i="5"/>
  <c r="AB268" i="5" s="1"/>
  <c r="AA936" i="5"/>
  <c r="AB936" i="5" s="1"/>
  <c r="AA578" i="5"/>
  <c r="AB578" i="5" s="1"/>
  <c r="AA778" i="5"/>
  <c r="AB778" i="5" s="1"/>
  <c r="AA592" i="5"/>
  <c r="AB592" i="5" s="1"/>
  <c r="AA782" i="5"/>
  <c r="AB782" i="5" s="1"/>
  <c r="AA388" i="5"/>
  <c r="AB388" i="5" s="1"/>
  <c r="AA24" i="5"/>
  <c r="AB24" i="5" s="1"/>
  <c r="AA643" i="5"/>
  <c r="AB643" i="5" s="1"/>
  <c r="AA29" i="5"/>
  <c r="AB29" i="5" s="1"/>
  <c r="AA45" i="5"/>
  <c r="AB45" i="5" s="1"/>
  <c r="AA843" i="5"/>
  <c r="AB843" i="5" s="1"/>
  <c r="AA644" i="5"/>
  <c r="AB644" i="5" s="1"/>
  <c r="AA929" i="5"/>
  <c r="AB929" i="5" s="1"/>
  <c r="AA188" i="5"/>
  <c r="AB188" i="5" s="1"/>
  <c r="AA172" i="5"/>
  <c r="AB172" i="5" s="1"/>
  <c r="AA56" i="5"/>
  <c r="AB56" i="5" s="1"/>
  <c r="AA184" i="5"/>
  <c r="AB184" i="5" s="1"/>
  <c r="AA616" i="5"/>
  <c r="AB616" i="5" s="1"/>
  <c r="AA829" i="5"/>
  <c r="AB829" i="5" s="1"/>
  <c r="AA253" i="5"/>
  <c r="AB253" i="5" s="1"/>
  <c r="AA308" i="5"/>
  <c r="AB308" i="5" s="1"/>
  <c r="AA862" i="5"/>
  <c r="AB862" i="5" s="1"/>
  <c r="AA712" i="5"/>
  <c r="AB712" i="5" s="1"/>
  <c r="AA804" i="5"/>
  <c r="AB804" i="5" s="1"/>
  <c r="AA105" i="5"/>
  <c r="AB105" i="5" s="1"/>
  <c r="AA220" i="5"/>
  <c r="AB220" i="5" s="1"/>
  <c r="AA627" i="5"/>
  <c r="AB627" i="5" s="1"/>
  <c r="X356" i="5"/>
  <c r="Q356" i="5"/>
  <c r="Z920" i="5"/>
  <c r="S920" i="5"/>
  <c r="X145" i="5"/>
  <c r="Q145" i="5"/>
  <c r="AA369" i="5"/>
  <c r="AB369" i="5" s="1"/>
  <c r="AA81" i="5"/>
  <c r="AB81" i="5" s="1"/>
  <c r="AA855" i="5"/>
  <c r="AB855" i="5" s="1"/>
  <c r="AA713" i="5"/>
  <c r="AB713" i="5" s="1"/>
  <c r="AA768" i="5"/>
  <c r="AB768" i="5" s="1"/>
  <c r="Z512" i="5"/>
  <c r="S512" i="5"/>
  <c r="Y145" i="5"/>
  <c r="R145" i="5"/>
  <c r="AA880" i="5"/>
  <c r="AB880" i="5" s="1"/>
  <c r="AA335" i="5"/>
  <c r="AB335" i="5" s="1"/>
  <c r="AA899" i="5"/>
  <c r="AB899" i="5" s="1"/>
  <c r="AA720" i="5"/>
  <c r="AB720" i="5" s="1"/>
  <c r="AA997" i="5"/>
  <c r="AB997" i="5" s="1"/>
  <c r="AA754" i="5"/>
  <c r="AB754" i="5" s="1"/>
  <c r="AA310" i="5"/>
  <c r="AB310" i="5" s="1"/>
  <c r="AA60" i="5"/>
  <c r="AB60" i="5" s="1"/>
  <c r="AA32" i="5"/>
  <c r="AB32" i="5" s="1"/>
  <c r="AA85" i="5"/>
  <c r="AB85" i="5" s="1"/>
  <c r="AA316" i="5"/>
  <c r="AB316" i="5" s="1"/>
  <c r="AA201" i="5"/>
  <c r="AB201" i="5" s="1"/>
  <c r="AA142" i="5"/>
  <c r="AB142" i="5" s="1"/>
  <c r="AA110" i="5"/>
  <c r="AB110" i="5" s="1"/>
  <c r="AA580" i="5"/>
  <c r="AB580" i="5" s="1"/>
  <c r="W317" i="5"/>
  <c r="AA489" i="5"/>
  <c r="AB489" i="5" s="1"/>
  <c r="AA33" i="5"/>
  <c r="AB33" i="5" s="1"/>
  <c r="AA836" i="5"/>
  <c r="AB836" i="5" s="1"/>
  <c r="AA796" i="5"/>
  <c r="AB796" i="5" s="1"/>
  <c r="AA276" i="5"/>
  <c r="AB276" i="5" s="1"/>
  <c r="AA6" i="5"/>
  <c r="AB6" i="5" s="1"/>
  <c r="AA386" i="5"/>
  <c r="AB386" i="5" s="1"/>
  <c r="AA441" i="5"/>
  <c r="AB441" i="5" s="1"/>
  <c r="AA649" i="5"/>
  <c r="AB649" i="5" s="1"/>
  <c r="Z418" i="5"/>
  <c r="S418" i="5"/>
  <c r="AA412" i="5"/>
  <c r="AB412" i="5" s="1"/>
  <c r="AA196" i="5"/>
  <c r="AB196" i="5" s="1"/>
  <c r="AA104" i="5"/>
  <c r="AB104" i="5" s="1"/>
  <c r="AA996" i="5"/>
  <c r="AB996" i="5" s="1"/>
  <c r="AA107" i="5"/>
  <c r="AB107" i="5" s="1"/>
  <c r="AA605" i="5"/>
  <c r="AB605" i="5" s="1"/>
  <c r="AA214" i="5"/>
  <c r="AB214" i="5" s="1"/>
  <c r="AA690" i="5"/>
  <c r="AB690" i="5" s="1"/>
  <c r="Z496" i="5"/>
  <c r="AA496" i="5" s="1"/>
  <c r="AB496" i="5" s="1"/>
  <c r="S496" i="5"/>
  <c r="Y303" i="5"/>
  <c r="R303" i="5"/>
  <c r="Z241" i="5"/>
  <c r="S241" i="5"/>
  <c r="X958" i="5"/>
  <c r="AA958" i="5" s="1"/>
  <c r="AB958" i="5" s="1"/>
  <c r="Q958" i="5"/>
  <c r="Z323" i="5"/>
  <c r="S323" i="5"/>
  <c r="AA750" i="5"/>
  <c r="AB750" i="5" s="1"/>
  <c r="AA793" i="5"/>
  <c r="AB793" i="5" s="1"/>
  <c r="AA744" i="5"/>
  <c r="AB744" i="5" s="1"/>
  <c r="AA354" i="5"/>
  <c r="AB354" i="5" s="1"/>
  <c r="AA976" i="5"/>
  <c r="AB976" i="5" s="1"/>
  <c r="AA615" i="5"/>
  <c r="AB615" i="5" s="1"/>
  <c r="AA915" i="5"/>
  <c r="AB915" i="5" s="1"/>
  <c r="AA908" i="5"/>
  <c r="AB908" i="5" s="1"/>
  <c r="AA704" i="5"/>
  <c r="AB704" i="5" s="1"/>
  <c r="AA270" i="5"/>
  <c r="AB270" i="5" s="1"/>
  <c r="AA162" i="5"/>
  <c r="AB162" i="5" s="1"/>
  <c r="Z98" i="5"/>
  <c r="S98" i="5"/>
  <c r="AA760" i="5"/>
  <c r="AB760" i="5" s="1"/>
  <c r="AA669" i="5"/>
  <c r="AB669" i="5" s="1"/>
  <c r="AA464" i="5"/>
  <c r="AB464" i="5" s="1"/>
  <c r="AA230" i="5"/>
  <c r="AB230" i="5" s="1"/>
  <c r="AA342" i="5"/>
  <c r="AB342" i="5" s="1"/>
  <c r="AA65" i="5"/>
  <c r="AB65" i="5" s="1"/>
  <c r="AA576" i="5"/>
  <c r="AB576" i="5" s="1"/>
  <c r="AA866" i="5"/>
  <c r="AB866" i="5" s="1"/>
  <c r="AA711" i="5"/>
  <c r="AB711" i="5" s="1"/>
  <c r="AA686" i="5"/>
  <c r="AB686" i="5" s="1"/>
  <c r="AA984" i="5"/>
  <c r="AB984" i="5" s="1"/>
  <c r="AA876" i="5"/>
  <c r="AB876" i="5" s="1"/>
  <c r="AA728" i="5"/>
  <c r="AB728" i="5" s="1"/>
  <c r="AA584" i="5"/>
  <c r="AB584" i="5" s="1"/>
  <c r="AA500" i="5"/>
  <c r="AB500" i="5" s="1"/>
  <c r="AA864" i="5"/>
  <c r="AB864" i="5" s="1"/>
  <c r="AA850" i="5"/>
  <c r="AB850" i="5" s="1"/>
  <c r="AA284" i="5"/>
  <c r="AB284" i="5" s="1"/>
  <c r="AA127" i="5"/>
  <c r="AB127" i="5" s="1"/>
  <c r="AA442" i="5"/>
  <c r="AB442" i="5" s="1"/>
  <c r="AA562" i="5"/>
  <c r="AB562" i="5" s="1"/>
  <c r="AA509" i="5"/>
  <c r="AB509" i="5" s="1"/>
  <c r="AA198" i="5"/>
  <c r="AB198" i="5" s="1"/>
  <c r="AA844" i="5"/>
  <c r="AB844" i="5" s="1"/>
  <c r="AA970" i="5"/>
  <c r="AB970" i="5" s="1"/>
  <c r="AA761" i="5"/>
  <c r="AB761" i="5" s="1"/>
  <c r="AA387" i="5"/>
  <c r="AB387" i="5" s="1"/>
  <c r="AA767" i="5"/>
  <c r="AB767" i="5" s="1"/>
  <c r="AA349" i="5"/>
  <c r="AB349" i="5" s="1"/>
  <c r="AA692" i="5"/>
  <c r="AB692" i="5" s="1"/>
  <c r="AA702" i="5"/>
  <c r="AB702" i="5" s="1"/>
  <c r="AA206" i="5"/>
  <c r="AB206" i="5" s="1"/>
  <c r="AA84" i="5"/>
  <c r="AB84" i="5" s="1"/>
  <c r="AA607" i="5"/>
  <c r="AB607" i="5" s="1"/>
  <c r="AA717" i="5"/>
  <c r="AB717" i="5" s="1"/>
  <c r="AA337" i="5"/>
  <c r="AB337" i="5" s="1"/>
  <c r="AA470" i="5"/>
  <c r="AB470" i="5" s="1"/>
  <c r="AA551" i="5"/>
  <c r="AB551" i="5" s="1"/>
  <c r="Z345" i="5"/>
  <c r="S345" i="5"/>
  <c r="Y98" i="5"/>
  <c r="R98" i="5"/>
  <c r="AA919" i="5"/>
  <c r="AB919" i="5" s="1"/>
  <c r="AA815" i="5"/>
  <c r="AB815" i="5" s="1"/>
  <c r="AA521" i="5"/>
  <c r="AB521" i="5" s="1"/>
  <c r="AA497" i="5"/>
  <c r="AB497" i="5" s="1"/>
  <c r="AA879" i="5"/>
  <c r="AB879" i="5" s="1"/>
  <c r="AA561" i="5"/>
  <c r="AB561" i="5" s="1"/>
  <c r="AA847" i="5"/>
  <c r="AB847" i="5" s="1"/>
  <c r="AA784" i="5"/>
  <c r="AB784" i="5" s="1"/>
  <c r="AA297" i="5"/>
  <c r="AB297" i="5" s="1"/>
  <c r="AA662" i="5"/>
  <c r="AB662" i="5" s="1"/>
  <c r="X872" i="5"/>
  <c r="AA872" i="5" s="1"/>
  <c r="AB872" i="5" s="1"/>
  <c r="Q872" i="5"/>
  <c r="Z149" i="5"/>
  <c r="AA149" i="5" s="1"/>
  <c r="AB149" i="5" s="1"/>
  <c r="S149" i="5"/>
  <c r="T149" i="5" s="1"/>
  <c r="U149" i="5" s="1"/>
  <c r="Z687" i="5"/>
  <c r="AA687" i="5" s="1"/>
  <c r="AB687" i="5" s="1"/>
  <c r="S687" i="5"/>
  <c r="T687" i="5" s="1"/>
  <c r="U687" i="5" s="1"/>
  <c r="X54" i="5"/>
  <c r="AA54" i="5" s="1"/>
  <c r="AB54" i="5" s="1"/>
  <c r="Q54" i="5"/>
  <c r="T54" i="5" s="1"/>
  <c r="U54" i="5" s="1"/>
  <c r="Z950" i="5"/>
  <c r="AA950" i="5" s="1"/>
  <c r="AB950" i="5" s="1"/>
  <c r="S950" i="5"/>
  <c r="T950" i="5" s="1"/>
  <c r="U950" i="5" s="1"/>
  <c r="AA762" i="5"/>
  <c r="AB762" i="5" s="1"/>
  <c r="AA906" i="5"/>
  <c r="AB906" i="5" s="1"/>
  <c r="AA472" i="5"/>
  <c r="AB472" i="5" s="1"/>
  <c r="AA895" i="5"/>
  <c r="AB895" i="5" s="1"/>
  <c r="AA53" i="5"/>
  <c r="AB53" i="5" s="1"/>
  <c r="AA294" i="5"/>
  <c r="AB294" i="5" s="1"/>
  <c r="AA710" i="5"/>
  <c r="AB710" i="5" s="1"/>
  <c r="X629" i="5"/>
  <c r="Q629" i="5"/>
  <c r="AA426" i="5"/>
  <c r="AB426" i="5" s="1"/>
  <c r="AA300" i="5"/>
  <c r="AB300" i="5" s="1"/>
  <c r="AA168" i="5"/>
  <c r="AB168" i="5" s="1"/>
  <c r="X533" i="5"/>
  <c r="AA533" i="5" s="1"/>
  <c r="AB533" i="5" s="1"/>
  <c r="Q533" i="5"/>
  <c r="T533" i="5" s="1"/>
  <c r="U533" i="5" s="1"/>
  <c r="Y241" i="5"/>
  <c r="R241" i="5"/>
  <c r="T241" i="5" s="1"/>
  <c r="U241" i="5" s="1"/>
  <c r="Z185" i="5"/>
  <c r="AA185" i="5" s="1"/>
  <c r="AB185" i="5" s="1"/>
  <c r="S185" i="5"/>
  <c r="T185" i="5" s="1"/>
  <c r="U185" i="5" s="1"/>
  <c r="X440" i="5"/>
  <c r="Q440" i="5"/>
  <c r="Z187" i="5"/>
  <c r="AA187" i="5" s="1"/>
  <c r="AB187" i="5" s="1"/>
  <c r="S187" i="5"/>
  <c r="T187" i="5" s="1"/>
  <c r="U187" i="5" s="1"/>
  <c r="Y99" i="5"/>
  <c r="AA99" i="5" s="1"/>
  <c r="AB99" i="5" s="1"/>
  <c r="R99" i="5"/>
  <c r="T99" i="5" s="1"/>
  <c r="U99" i="5" s="1"/>
  <c r="AA902" i="5"/>
  <c r="AB902" i="5" s="1"/>
  <c r="AA235" i="5"/>
  <c r="AB235" i="5" s="1"/>
  <c r="AA979" i="5"/>
  <c r="AB979" i="5" s="1"/>
  <c r="AA538" i="5"/>
  <c r="AB538" i="5" s="1"/>
  <c r="AA474" i="5"/>
  <c r="AB474" i="5" s="1"/>
  <c r="AA283" i="5"/>
  <c r="AB283" i="5" s="1"/>
  <c r="AA400" i="5"/>
  <c r="AB400" i="5" s="1"/>
  <c r="AA544" i="5"/>
  <c r="AB544" i="5" s="1"/>
  <c r="AA466" i="5"/>
  <c r="AB466" i="5" s="1"/>
  <c r="AA180" i="5"/>
  <c r="AB180" i="5" s="1"/>
  <c r="AA994" i="5"/>
  <c r="AB994" i="5" s="1"/>
  <c r="AA888" i="5"/>
  <c r="AB888" i="5" s="1"/>
  <c r="AA992" i="5"/>
  <c r="AB992" i="5" s="1"/>
  <c r="AA663" i="5"/>
  <c r="AB663" i="5" s="1"/>
  <c r="AA76" i="5"/>
  <c r="AB76" i="5" s="1"/>
  <c r="AA524" i="5"/>
  <c r="AB524" i="5" s="1"/>
  <c r="AA479" i="5"/>
  <c r="AB479" i="5" s="1"/>
  <c r="AA809" i="5"/>
  <c r="AB809" i="5" s="1"/>
  <c r="AA408" i="5"/>
  <c r="AB408" i="5" s="1"/>
  <c r="AA11" i="5"/>
  <c r="AB11" i="5" s="1"/>
  <c r="AA765" i="5"/>
  <c r="AB765" i="5" s="1"/>
  <c r="AA207" i="5"/>
  <c r="AB207" i="5" s="1"/>
  <c r="AA736" i="5"/>
  <c r="AB736" i="5" s="1"/>
  <c r="AA781" i="5"/>
  <c r="AB781" i="5" s="1"/>
  <c r="AA968" i="5"/>
  <c r="AB968" i="5" s="1"/>
  <c r="AA21" i="5"/>
  <c r="AB21" i="5" s="1"/>
  <c r="AA64" i="5"/>
  <c r="AB64" i="5" s="1"/>
  <c r="AA962" i="5"/>
  <c r="AB962" i="5" s="1"/>
  <c r="AA951" i="5"/>
  <c r="AB951" i="5" s="1"/>
  <c r="AA120" i="5"/>
  <c r="AB120" i="5" s="1"/>
  <c r="AA964" i="5"/>
  <c r="AB964" i="5" s="1"/>
  <c r="Y440" i="5"/>
  <c r="R440" i="5"/>
  <c r="T440" i="5" s="1"/>
  <c r="U440" i="5" s="1"/>
  <c r="AA907" i="5"/>
  <c r="AB907" i="5" s="1"/>
  <c r="AA838" i="5"/>
  <c r="AB838" i="5" s="1"/>
  <c r="AA394" i="5"/>
  <c r="AB394" i="5" s="1"/>
  <c r="AA46" i="5"/>
  <c r="AB46" i="5" s="1"/>
  <c r="AA925" i="5"/>
  <c r="AB925" i="5" s="1"/>
  <c r="AA642" i="5"/>
  <c r="AB642" i="5" s="1"/>
  <c r="AA531" i="5"/>
  <c r="AB531" i="5" s="1"/>
  <c r="AA291" i="5"/>
  <c r="AB291" i="5" s="1"/>
  <c r="AA956" i="5"/>
  <c r="AB956" i="5" s="1"/>
  <c r="AA177" i="5"/>
  <c r="AB177" i="5" s="1"/>
  <c r="AA288" i="5"/>
  <c r="AB288" i="5" s="1"/>
  <c r="AA945" i="5"/>
  <c r="AB945" i="5" s="1"/>
  <c r="AA186" i="5"/>
  <c r="AB186" i="5" s="1"/>
  <c r="AA731" i="5"/>
  <c r="AB731" i="5" s="1"/>
  <c r="AA80" i="5"/>
  <c r="AB80" i="5" s="1"/>
  <c r="AA223" i="5"/>
  <c r="AB223" i="5" s="1"/>
  <c r="AA94" i="5"/>
  <c r="AB94" i="5" s="1"/>
  <c r="AA966" i="5"/>
  <c r="AB966" i="5" s="1"/>
  <c r="AA678" i="5"/>
  <c r="AB678" i="5" s="1"/>
  <c r="AA656" i="5"/>
  <c r="AB656" i="5" s="1"/>
  <c r="AA159" i="5"/>
  <c r="AB159" i="5" s="1"/>
  <c r="AA511" i="5"/>
  <c r="AB511" i="5" s="1"/>
  <c r="AA267" i="5"/>
  <c r="AB267" i="5" s="1"/>
  <c r="AA619" i="5"/>
  <c r="AB619" i="5" s="1"/>
  <c r="AA660" i="5"/>
  <c r="AB660" i="5" s="1"/>
  <c r="AA696" i="5"/>
  <c r="AB696" i="5" s="1"/>
  <c r="AA148" i="5"/>
  <c r="AB148" i="5" s="1"/>
  <c r="AA478" i="5"/>
  <c r="AB478" i="5" s="1"/>
  <c r="AA244" i="5"/>
  <c r="AB244" i="5" s="1"/>
  <c r="AA130" i="5"/>
  <c r="AB130" i="5" s="1"/>
  <c r="AA928" i="5"/>
  <c r="AB928" i="5" s="1"/>
  <c r="AA856" i="5"/>
  <c r="AB856" i="5" s="1"/>
  <c r="AA667" i="5"/>
  <c r="AB667" i="5" s="1"/>
  <c r="X303" i="5"/>
  <c r="Q303" i="5"/>
  <c r="X515" i="5"/>
  <c r="AA515" i="5" s="1"/>
  <c r="AB515" i="5" s="1"/>
  <c r="Q515" i="5"/>
  <c r="T515" i="5" s="1"/>
  <c r="U515" i="5" s="1"/>
  <c r="Z246" i="5"/>
  <c r="S246" i="5"/>
  <c r="Y959" i="5"/>
  <c r="AA959" i="5" s="1"/>
  <c r="AB959" i="5" s="1"/>
  <c r="R959" i="5"/>
  <c r="T547" i="5"/>
  <c r="U547" i="5" s="1"/>
  <c r="M16" i="3"/>
  <c r="M19" i="3"/>
  <c r="M18" i="3"/>
  <c r="M6" i="6"/>
  <c r="M8" i="6"/>
  <c r="M9" i="6"/>
  <c r="T459" i="5"/>
  <c r="U459" i="5" s="1"/>
  <c r="T820" i="5"/>
  <c r="U820" i="5" s="1"/>
  <c r="T596" i="5"/>
  <c r="U596" i="5" s="1"/>
  <c r="T648" i="5"/>
  <c r="U648" i="5" s="1"/>
  <c r="T224" i="5"/>
  <c r="U224" i="5" s="1"/>
  <c r="T878" i="5"/>
  <c r="U878" i="5" s="1"/>
  <c r="T794" i="5"/>
  <c r="U794" i="5" s="1"/>
  <c r="T597" i="5"/>
  <c r="U597" i="5" s="1"/>
  <c r="T713" i="5"/>
  <c r="U713" i="5" s="1"/>
  <c r="T366" i="5"/>
  <c r="U366" i="5" s="1"/>
  <c r="T60" i="5"/>
  <c r="U60" i="5" s="1"/>
  <c r="T295" i="5"/>
  <c r="U295" i="5" s="1"/>
  <c r="T84" i="5"/>
  <c r="U84" i="5" s="1"/>
  <c r="T759" i="5"/>
  <c r="U759" i="5" s="1"/>
  <c r="T319" i="5"/>
  <c r="U319" i="5" s="1"/>
  <c r="T28" i="5"/>
  <c r="U28" i="5" s="1"/>
  <c r="T948" i="5"/>
  <c r="U948" i="5" s="1"/>
  <c r="T186" i="5"/>
  <c r="U186" i="5" s="1"/>
  <c r="T984" i="5"/>
  <c r="U984" i="5" s="1"/>
  <c r="T130" i="5"/>
  <c r="U130" i="5" s="1"/>
  <c r="T311" i="5"/>
  <c r="U311" i="5" s="1"/>
  <c r="T985" i="5"/>
  <c r="U985" i="5" s="1"/>
  <c r="T172" i="5"/>
  <c r="U172" i="5" s="1"/>
  <c r="T600" i="5"/>
  <c r="U600" i="5" s="1"/>
  <c r="T426" i="5"/>
  <c r="U426" i="5" s="1"/>
  <c r="T899" i="5"/>
  <c r="U899" i="5" s="1"/>
  <c r="T420" i="5"/>
  <c r="U420" i="5" s="1"/>
  <c r="T856" i="5"/>
  <c r="U856" i="5" s="1"/>
  <c r="T783" i="5"/>
  <c r="U783" i="5" s="1"/>
  <c r="T71" i="5"/>
  <c r="U71" i="5" s="1"/>
  <c r="T57" i="5"/>
  <c r="U57" i="5" s="1"/>
  <c r="T619" i="5"/>
  <c r="U619" i="5" s="1"/>
  <c r="T727" i="5"/>
  <c r="U727" i="5" s="1"/>
  <c r="T16" i="5"/>
  <c r="U16" i="5" s="1"/>
  <c r="T371" i="5"/>
  <c r="U371" i="5" s="1"/>
  <c r="T919" i="5"/>
  <c r="U919" i="5" s="1"/>
  <c r="T853" i="5"/>
  <c r="U853" i="5" s="1"/>
  <c r="T30" i="5"/>
  <c r="U30" i="5" s="1"/>
  <c r="T944" i="5"/>
  <c r="U944" i="5" s="1"/>
  <c r="T869" i="5"/>
  <c r="U869" i="5" s="1"/>
  <c r="T244" i="5"/>
  <c r="U244" i="5" s="1"/>
  <c r="T511" i="5"/>
  <c r="U511" i="5" s="1"/>
  <c r="T462" i="5"/>
  <c r="U462" i="5" s="1"/>
  <c r="T353" i="5"/>
  <c r="U353" i="5" s="1"/>
  <c r="T65" i="5"/>
  <c r="U65" i="5" s="1"/>
  <c r="T800" i="5"/>
  <c r="U800" i="5" s="1"/>
  <c r="T632" i="5"/>
  <c r="U632" i="5" s="1"/>
  <c r="T229" i="5"/>
  <c r="U229" i="5" s="1"/>
  <c r="T302" i="5"/>
  <c r="U302" i="5" s="1"/>
  <c r="T445" i="5"/>
  <c r="U445" i="5" s="1"/>
  <c r="T836" i="5"/>
  <c r="U836" i="5" s="1"/>
  <c r="T424" i="5"/>
  <c r="U424" i="5" s="1"/>
  <c r="T591" i="5"/>
  <c r="U591" i="5" s="1"/>
  <c r="T351" i="5"/>
  <c r="U351" i="5" s="1"/>
  <c r="T960" i="5"/>
  <c r="U960" i="5" s="1"/>
  <c r="T309" i="5"/>
  <c r="U309" i="5" s="1"/>
  <c r="T769" i="5"/>
  <c r="U769" i="5" s="1"/>
  <c r="T393" i="5"/>
  <c r="U393" i="5" s="1"/>
  <c r="T620" i="5"/>
  <c r="U620" i="5" s="1"/>
  <c r="T559" i="5"/>
  <c r="U559" i="5" s="1"/>
  <c r="T926" i="5"/>
  <c r="U926" i="5" s="1"/>
  <c r="T714" i="5"/>
  <c r="U714" i="5" s="1"/>
  <c r="T666" i="5"/>
  <c r="U666" i="5" s="1"/>
  <c r="T100" i="5"/>
  <c r="U100" i="5" s="1"/>
  <c r="T513" i="5"/>
  <c r="U513" i="5" s="1"/>
  <c r="T598" i="5"/>
  <c r="U598" i="5" s="1"/>
  <c r="T776" i="5"/>
  <c r="U776" i="5" s="1"/>
  <c r="T532" i="5"/>
  <c r="U532" i="5" s="1"/>
  <c r="T134" i="5"/>
  <c r="U134" i="5" s="1"/>
  <c r="T457" i="5"/>
  <c r="U457" i="5" s="1"/>
  <c r="T478" i="5"/>
  <c r="U478" i="5" s="1"/>
  <c r="T52" i="5"/>
  <c r="U52" i="5" s="1"/>
  <c r="T347" i="5"/>
  <c r="U347" i="5" s="1"/>
  <c r="T700" i="5"/>
  <c r="U700" i="5" s="1"/>
  <c r="T470" i="5"/>
  <c r="U470" i="5" s="1"/>
  <c r="T688" i="5"/>
  <c r="U688" i="5" s="1"/>
  <c r="T712" i="5"/>
  <c r="U712" i="5" s="1"/>
  <c r="T487" i="5"/>
  <c r="U487" i="5" s="1"/>
  <c r="T56" i="5"/>
  <c r="U56" i="5" s="1"/>
  <c r="T754" i="5"/>
  <c r="U754" i="5" s="1"/>
  <c r="T337" i="5"/>
  <c r="U337" i="5" s="1"/>
  <c r="T763" i="5"/>
  <c r="U763" i="5" s="1"/>
  <c r="T50" i="5"/>
  <c r="U50" i="5" s="1"/>
  <c r="T827" i="5"/>
  <c r="U827" i="5" s="1"/>
  <c r="T92" i="5"/>
  <c r="U92" i="5" s="1"/>
  <c r="T569" i="5"/>
  <c r="U569" i="5" s="1"/>
  <c r="T898" i="5"/>
  <c r="U898" i="5" s="1"/>
  <c r="T82" i="5"/>
  <c r="U82" i="5" s="1"/>
  <c r="T928" i="5"/>
  <c r="U928" i="5" s="1"/>
  <c r="T965" i="5"/>
  <c r="U965" i="5" s="1"/>
  <c r="T787" i="5"/>
  <c r="U787" i="5" s="1"/>
  <c r="T203" i="5"/>
  <c r="U203" i="5" s="1"/>
  <c r="T17" i="5"/>
  <c r="U17" i="5" s="1"/>
  <c r="T613" i="5"/>
  <c r="U613" i="5" s="1"/>
  <c r="T505" i="5"/>
  <c r="U505" i="5" s="1"/>
  <c r="T286" i="5"/>
  <c r="U286" i="5" s="1"/>
  <c r="T845" i="5"/>
  <c r="U845" i="5" s="1"/>
  <c r="T871" i="5"/>
  <c r="U871" i="5" s="1"/>
  <c r="T735" i="5"/>
  <c r="U735" i="5" s="1"/>
  <c r="T978" i="5"/>
  <c r="U978" i="5" s="1"/>
  <c r="T508" i="5"/>
  <c r="U508" i="5" s="1"/>
  <c r="T779" i="5"/>
  <c r="U779" i="5" s="1"/>
  <c r="T833" i="5"/>
  <c r="U833" i="5" s="1"/>
  <c r="T870" i="5"/>
  <c r="U870" i="5" s="1"/>
  <c r="T464" i="5"/>
  <c r="U464" i="5" s="1"/>
  <c r="T419" i="5"/>
  <c r="U419" i="5" s="1"/>
  <c r="T170" i="5"/>
  <c r="U170" i="5" s="1"/>
  <c r="T566" i="5"/>
  <c r="U566" i="5" s="1"/>
  <c r="T618" i="5"/>
  <c r="U618" i="5" s="1"/>
  <c r="T796" i="5"/>
  <c r="U796" i="5" s="1"/>
  <c r="T6" i="5"/>
  <c r="U6" i="5" s="1"/>
  <c r="T745" i="5"/>
  <c r="U745" i="5" s="1"/>
  <c r="T537" i="5"/>
  <c r="U537" i="5" s="1"/>
  <c r="T767" i="5"/>
  <c r="U767" i="5" s="1"/>
  <c r="T720" i="5"/>
  <c r="U720" i="5" s="1"/>
  <c r="T189" i="5"/>
  <c r="U189" i="5" s="1"/>
  <c r="T493" i="5"/>
  <c r="U493" i="5" s="1"/>
  <c r="T548" i="5"/>
  <c r="U548" i="5" s="1"/>
  <c r="T864" i="5"/>
  <c r="U864" i="5" s="1"/>
  <c r="T94" i="5"/>
  <c r="U94" i="5" s="1"/>
  <c r="T354" i="5"/>
  <c r="U354" i="5" s="1"/>
  <c r="T811" i="5"/>
  <c r="U811" i="5" s="1"/>
  <c r="T606" i="5"/>
  <c r="U606" i="5" s="1"/>
  <c r="T901" i="5"/>
  <c r="U901" i="5" s="1"/>
  <c r="T63" i="5"/>
  <c r="U63" i="5" s="1"/>
  <c r="T848" i="5"/>
  <c r="U848" i="5" s="1"/>
  <c r="T592" i="5"/>
  <c r="U592" i="5" s="1"/>
  <c r="T644" i="5"/>
  <c r="U644" i="5" s="1"/>
  <c r="T814" i="5"/>
  <c r="U814" i="5" s="1"/>
  <c r="T382" i="5"/>
  <c r="U382" i="5" s="1"/>
  <c r="T491" i="5"/>
  <c r="U491" i="5" s="1"/>
  <c r="T310" i="5"/>
  <c r="U310" i="5" s="1"/>
  <c r="T23" i="5"/>
  <c r="U23" i="5" s="1"/>
  <c r="T379" i="5"/>
  <c r="U379" i="5" s="1"/>
  <c r="T804" i="5"/>
  <c r="U804" i="5" s="1"/>
  <c r="T707" i="5"/>
  <c r="U707" i="5" s="1"/>
  <c r="T43" i="5"/>
  <c r="U43" i="5" s="1"/>
  <c r="T522" i="5"/>
  <c r="U522" i="5" s="1"/>
  <c r="T900" i="5"/>
  <c r="U900" i="5" s="1"/>
  <c r="T697" i="5"/>
  <c r="U697" i="5" s="1"/>
  <c r="T544" i="5"/>
  <c r="U544" i="5" s="1"/>
  <c r="T47" i="5"/>
  <c r="U47" i="5" s="1"/>
  <c r="T792" i="5"/>
  <c r="U792" i="5" s="1"/>
  <c r="T439" i="5"/>
  <c r="U439" i="5" s="1"/>
  <c r="T826" i="5"/>
  <c r="U826" i="5" s="1"/>
  <c r="T819" i="5"/>
  <c r="U819" i="5" s="1"/>
  <c r="T349" i="5"/>
  <c r="U349" i="5" s="1"/>
  <c r="T694" i="5"/>
  <c r="U694" i="5" s="1"/>
  <c r="T142" i="5"/>
  <c r="U142" i="5" s="1"/>
  <c r="T210" i="5"/>
  <c r="U210" i="5" s="1"/>
  <c r="T733" i="5"/>
  <c r="U733" i="5" s="1"/>
  <c r="T59" i="5"/>
  <c r="U59" i="5" s="1"/>
  <c r="T840" i="5"/>
  <c r="U840" i="5" s="1"/>
  <c r="T651" i="5"/>
  <c r="U651" i="5" s="1"/>
  <c r="T61" i="5"/>
  <c r="U61" i="5" s="1"/>
  <c r="T35" i="5"/>
  <c r="U35" i="5" s="1"/>
  <c r="T678" i="5"/>
  <c r="U678" i="5" s="1"/>
  <c r="T761" i="5"/>
  <c r="U761" i="5" s="1"/>
  <c r="T958" i="5"/>
  <c r="U958" i="5" s="1"/>
  <c r="T128" i="5"/>
  <c r="U128" i="5" s="1"/>
  <c r="T601" i="5"/>
  <c r="U601" i="5" s="1"/>
  <c r="T126" i="5"/>
  <c r="U126" i="5" s="1"/>
  <c r="T672" i="5"/>
  <c r="U672" i="5" s="1"/>
  <c r="T89" i="5"/>
  <c r="U89" i="5" s="1"/>
  <c r="T889" i="5"/>
  <c r="U889" i="5" s="1"/>
  <c r="T887" i="5"/>
  <c r="U887" i="5" s="1"/>
  <c r="T780" i="5"/>
  <c r="U780" i="5" s="1"/>
  <c r="T466" i="5"/>
  <c r="U466" i="5" s="1"/>
  <c r="T524" i="5"/>
  <c r="U524" i="5" s="1"/>
  <c r="T750" i="5"/>
  <c r="U750" i="5" s="1"/>
  <c r="T934" i="5"/>
  <c r="U934" i="5" s="1"/>
  <c r="T230" i="5"/>
  <c r="U230" i="5" s="1"/>
  <c r="T454" i="5"/>
  <c r="U454" i="5" s="1"/>
  <c r="T154" i="5"/>
  <c r="U154" i="5" s="1"/>
  <c r="T647" i="5"/>
  <c r="U647" i="5" s="1"/>
  <c r="T133" i="5"/>
  <c r="U133" i="5" s="1"/>
  <c r="T586" i="5"/>
  <c r="U586" i="5" s="1"/>
  <c r="T5" i="5"/>
  <c r="T517" i="5"/>
  <c r="U517" i="5" s="1"/>
  <c r="T324" i="5"/>
  <c r="U324" i="5" s="1"/>
  <c r="T955" i="5"/>
  <c r="U955" i="5" s="1"/>
  <c r="T215" i="5"/>
  <c r="U215" i="5" s="1"/>
  <c r="T264" i="5"/>
  <c r="U264" i="5" s="1"/>
  <c r="T257" i="5"/>
  <c r="U257" i="5" s="1"/>
  <c r="T839" i="5"/>
  <c r="U839" i="5" s="1"/>
  <c r="T743" i="5"/>
  <c r="U743" i="5" s="1"/>
  <c r="T731" i="5"/>
  <c r="U731" i="5" s="1"/>
  <c r="T127" i="5"/>
  <c r="U127" i="5" s="1"/>
  <c r="T188" i="5"/>
  <c r="U188" i="5" s="1"/>
  <c r="T410" i="5"/>
  <c r="U410" i="5" s="1"/>
  <c r="T921" i="5"/>
  <c r="U921" i="5" s="1"/>
  <c r="T227" i="5"/>
  <c r="U227" i="5" s="1"/>
  <c r="T273" i="5"/>
  <c r="U273" i="5" s="1"/>
  <c r="T217" i="5"/>
  <c r="U217" i="5" s="1"/>
  <c r="T973" i="5"/>
  <c r="U973" i="5" s="1"/>
  <c r="T427" i="5"/>
  <c r="U427" i="5" s="1"/>
  <c r="T956" i="5"/>
  <c r="U956" i="5" s="1"/>
  <c r="T686" i="5"/>
  <c r="U686" i="5" s="1"/>
  <c r="T467" i="5"/>
  <c r="U467" i="5" s="1"/>
  <c r="T797" i="5"/>
  <c r="U797" i="5" s="1"/>
  <c r="T612" i="5"/>
  <c r="U612" i="5" s="1"/>
  <c r="T140" i="5"/>
  <c r="U140" i="5" s="1"/>
  <c r="T752" i="5"/>
  <c r="U752" i="5" s="1"/>
  <c r="T512" i="5"/>
  <c r="U512" i="5" s="1"/>
  <c r="T202" i="5"/>
  <c r="U202" i="5" s="1"/>
  <c r="T192" i="5"/>
  <c r="U192" i="5" s="1"/>
  <c r="T228" i="5"/>
  <c r="U228" i="5" s="1"/>
  <c r="T443" i="5"/>
  <c r="U443" i="5" s="1"/>
  <c r="T781" i="5"/>
  <c r="U781" i="5" s="1"/>
  <c r="T233" i="5"/>
  <c r="U233" i="5" s="1"/>
  <c r="T844" i="5"/>
  <c r="U844" i="5" s="1"/>
  <c r="T389" i="5"/>
  <c r="U389" i="5" s="1"/>
  <c r="T627" i="5"/>
  <c r="U627" i="5" s="1"/>
  <c r="T421" i="5"/>
  <c r="U421" i="5" s="1"/>
  <c r="T399" i="5"/>
  <c r="U399" i="5" s="1"/>
  <c r="T131" i="5"/>
  <c r="U131" i="5" s="1"/>
  <c r="T863" i="5"/>
  <c r="U863" i="5" s="1"/>
  <c r="T558" i="5"/>
  <c r="U558" i="5" s="1"/>
  <c r="T972" i="5"/>
  <c r="U972" i="5" s="1"/>
  <c r="T538" i="5"/>
  <c r="U538" i="5" s="1"/>
  <c r="T283" i="5"/>
  <c r="U283" i="5" s="1"/>
  <c r="T708" i="5"/>
  <c r="U708" i="5" s="1"/>
  <c r="T372" i="5"/>
  <c r="U372" i="5" s="1"/>
  <c r="T441" i="5"/>
  <c r="U441" i="5" s="1"/>
  <c r="T945" i="5"/>
  <c r="U945" i="5" s="1"/>
  <c r="T248" i="5"/>
  <c r="U248" i="5" s="1"/>
  <c r="T990" i="5"/>
  <c r="U990" i="5" s="1"/>
  <c r="T855" i="5"/>
  <c r="U855" i="5" s="1"/>
  <c r="T879" i="5"/>
  <c r="U879" i="5" s="1"/>
  <c r="T888" i="5"/>
  <c r="U888" i="5" s="1"/>
  <c r="T560" i="5"/>
  <c r="U560" i="5" s="1"/>
  <c r="T476" i="5"/>
  <c r="U476" i="5" s="1"/>
  <c r="T318" i="5"/>
  <c r="U318" i="5" s="1"/>
  <c r="T330" i="5"/>
  <c r="U330" i="5" s="1"/>
  <c r="T171" i="5"/>
  <c r="U171" i="5" s="1"/>
  <c r="T32" i="5"/>
  <c r="U32" i="5" s="1"/>
  <c r="T717" i="5"/>
  <c r="U717" i="5" s="1"/>
  <c r="T197" i="5"/>
  <c r="U197" i="5" s="1"/>
  <c r="T625" i="5"/>
  <c r="U625" i="5" s="1"/>
  <c r="T474" i="5"/>
  <c r="U474" i="5" s="1"/>
  <c r="T147" i="5"/>
  <c r="U147" i="5" s="1"/>
  <c r="T161" i="5"/>
  <c r="U161" i="5" s="1"/>
  <c r="T31" i="5"/>
  <c r="U31" i="5" s="1"/>
  <c r="T751" i="5"/>
  <c r="U751" i="5" s="1"/>
  <c r="T885" i="5"/>
  <c r="U885" i="5" s="1"/>
  <c r="T880" i="5"/>
  <c r="U880" i="5" s="1"/>
  <c r="T501" i="5"/>
  <c r="U501" i="5" s="1"/>
  <c r="T946" i="5"/>
  <c r="U946" i="5" s="1"/>
  <c r="T941" i="5"/>
  <c r="U941" i="5" s="1"/>
  <c r="T350" i="5"/>
  <c r="U350" i="5" s="1"/>
  <c r="T609" i="5"/>
  <c r="U609" i="5" s="1"/>
  <c r="T213" i="5"/>
  <c r="U213" i="5" s="1"/>
  <c r="T413" i="5"/>
  <c r="U413" i="5" s="1"/>
  <c r="T247" i="5"/>
  <c r="U247" i="5" s="1"/>
  <c r="T771" i="5"/>
  <c r="U771" i="5" s="1"/>
  <c r="T348" i="5"/>
  <c r="U348" i="5" s="1"/>
  <c r="T857" i="5"/>
  <c r="U857" i="5" s="1"/>
  <c r="T316" i="5"/>
  <c r="U316" i="5" s="1"/>
  <c r="T110" i="5"/>
  <c r="U110" i="5" s="1"/>
  <c r="T40" i="5"/>
  <c r="U40" i="5" s="1"/>
  <c r="T884" i="5"/>
  <c r="U884" i="5" s="1"/>
  <c r="T25" i="5"/>
  <c r="U25" i="5" s="1"/>
  <c r="T815" i="5"/>
  <c r="U815" i="5" s="1"/>
  <c r="T665" i="5"/>
  <c r="U665" i="5" s="1"/>
  <c r="T438" i="5"/>
  <c r="U438" i="5" s="1"/>
  <c r="T85" i="5"/>
  <c r="U85" i="5" s="1"/>
  <c r="T828" i="5"/>
  <c r="U828" i="5" s="1"/>
  <c r="T553" i="5"/>
  <c r="U553" i="5" s="1"/>
  <c r="T774" i="5"/>
  <c r="U774" i="5" s="1"/>
  <c r="T465" i="5"/>
  <c r="U465" i="5" s="1"/>
  <c r="T209" i="5"/>
  <c r="U209" i="5" s="1"/>
  <c r="T967" i="5"/>
  <c r="U967" i="5" s="1"/>
  <c r="T449" i="5"/>
  <c r="U449" i="5" s="1"/>
  <c r="T232" i="5"/>
  <c r="U232" i="5" s="1"/>
  <c r="T615" i="5"/>
  <c r="U615" i="5" s="1"/>
  <c r="T77" i="5"/>
  <c r="U77" i="5" s="1"/>
  <c r="T9" i="5"/>
  <c r="U9" i="5" s="1"/>
  <c r="T816" i="5"/>
  <c r="U816" i="5" s="1"/>
  <c r="T179" i="5"/>
  <c r="U179" i="5" s="1"/>
  <c r="T859" i="5"/>
  <c r="U859" i="5" s="1"/>
  <c r="T181" i="5"/>
  <c r="U181" i="5" s="1"/>
  <c r="T312" i="5"/>
  <c r="U312" i="5" s="1"/>
  <c r="T507" i="5"/>
  <c r="U507" i="5" s="1"/>
  <c r="T525" i="5"/>
  <c r="U525" i="5" s="1"/>
  <c r="T406" i="5"/>
  <c r="U406" i="5" s="1"/>
  <c r="T932" i="5"/>
  <c r="U932" i="5" s="1"/>
  <c r="T289" i="5"/>
  <c r="U289" i="5" s="1"/>
  <c r="T841" i="5"/>
  <c r="U841" i="5" s="1"/>
  <c r="T205" i="5"/>
  <c r="U205" i="5" s="1"/>
  <c r="T331" i="5"/>
  <c r="U331" i="5" s="1"/>
  <c r="T483" i="5"/>
  <c r="U483" i="5" s="1"/>
  <c r="T782" i="5"/>
  <c r="U782" i="5" s="1"/>
  <c r="T834" i="5"/>
  <c r="U834" i="5" s="1"/>
  <c r="T184" i="5"/>
  <c r="U184" i="5" s="1"/>
  <c r="T892" i="5"/>
  <c r="U892" i="5" s="1"/>
  <c r="T851" i="5"/>
  <c r="U851" i="5" s="1"/>
  <c r="T520" i="5"/>
  <c r="U520" i="5" s="1"/>
  <c r="T231" i="5"/>
  <c r="U231" i="5" s="1"/>
  <c r="T674" i="5"/>
  <c r="U674" i="5" s="1"/>
  <c r="T367" i="5"/>
  <c r="U367" i="5" s="1"/>
  <c r="T78" i="5"/>
  <c r="U78" i="5" s="1"/>
  <c r="T891" i="5"/>
  <c r="U891" i="5" s="1"/>
  <c r="T521" i="5"/>
  <c r="U521" i="5" s="1"/>
  <c r="T58" i="5"/>
  <c r="U58" i="5" s="1"/>
  <c r="T365" i="5"/>
  <c r="U365" i="5" s="1"/>
  <c r="T352" i="5"/>
  <c r="U352" i="5" s="1"/>
  <c r="T588" i="5"/>
  <c r="U588" i="5" s="1"/>
  <c r="T207" i="5"/>
  <c r="U207" i="5" s="1"/>
  <c r="T660" i="5"/>
  <c r="U660" i="5" s="1"/>
  <c r="T917" i="5"/>
  <c r="U917" i="5" s="1"/>
  <c r="T526" i="5"/>
  <c r="U526" i="5" s="1"/>
  <c r="T1001" i="5"/>
  <c r="U1001" i="5" s="1"/>
  <c r="T895" i="5"/>
  <c r="U895" i="5" s="1"/>
  <c r="T905" i="5"/>
  <c r="U905" i="5" s="1"/>
  <c r="T679" i="5"/>
  <c r="U679" i="5" s="1"/>
  <c r="T970" i="5"/>
  <c r="U970" i="5" s="1"/>
  <c r="T182" i="5"/>
  <c r="U182" i="5" s="1"/>
  <c r="T14" i="5"/>
  <c r="U14" i="5" s="1"/>
  <c r="T626" i="5"/>
  <c r="U626" i="5" s="1"/>
  <c r="T455" i="5"/>
  <c r="U455" i="5" s="1"/>
  <c r="T976" i="5"/>
  <c r="U976" i="5" s="1"/>
  <c r="T359" i="5"/>
  <c r="U359" i="5" s="1"/>
  <c r="T401" i="5"/>
  <c r="U401" i="5" s="1"/>
  <c r="T216" i="5"/>
  <c r="U216" i="5" s="1"/>
  <c r="T113" i="5"/>
  <c r="U113" i="5" s="1"/>
  <c r="T26" i="5"/>
  <c r="U26" i="5" s="1"/>
  <c r="T716" i="5"/>
  <c r="U716" i="5" s="1"/>
  <c r="T262" i="5"/>
  <c r="U262" i="5" s="1"/>
  <c r="T234" i="5"/>
  <c r="U234" i="5" s="1"/>
  <c r="T643" i="5"/>
  <c r="U643" i="5" s="1"/>
  <c r="T276" i="5"/>
  <c r="U276" i="5" s="1"/>
  <c r="T431" i="5"/>
  <c r="U431" i="5" s="1"/>
  <c r="T874" i="5"/>
  <c r="U874" i="5" s="1"/>
  <c r="T39" i="5"/>
  <c r="U39" i="5" s="1"/>
  <c r="T220" i="5"/>
  <c r="U220" i="5" s="1"/>
  <c r="T935" i="5"/>
  <c r="U935" i="5" s="1"/>
  <c r="T97" i="5"/>
  <c r="U97" i="5" s="1"/>
  <c r="T805" i="5"/>
  <c r="U805" i="5" s="1"/>
  <c r="T67" i="5"/>
  <c r="U67" i="5" s="1"/>
  <c r="T725" i="5"/>
  <c r="U725" i="5" s="1"/>
  <c r="T940" i="5"/>
  <c r="U940" i="5" s="1"/>
  <c r="T380" i="5"/>
  <c r="U380" i="5" s="1"/>
  <c r="T13" i="5"/>
  <c r="U13" i="5" s="1"/>
  <c r="T744" i="5"/>
  <c r="U744" i="5" s="1"/>
  <c r="T968" i="5"/>
  <c r="U968" i="5" s="1"/>
  <c r="T642" i="5"/>
  <c r="U642" i="5" s="1"/>
  <c r="T288" i="5"/>
  <c r="U288" i="5" s="1"/>
  <c r="T80" i="5"/>
  <c r="U80" i="5" s="1"/>
  <c r="T562" i="5"/>
  <c r="U562" i="5" s="1"/>
  <c r="T656" i="5"/>
  <c r="U656" i="5" s="1"/>
  <c r="T702" i="5"/>
  <c r="U702" i="5" s="1"/>
  <c r="T975" i="5"/>
  <c r="U975" i="5" s="1"/>
  <c r="T471" i="5"/>
  <c r="U471" i="5" s="1"/>
  <c r="T177" i="5"/>
  <c r="U177" i="5" s="1"/>
  <c r="T605" i="5"/>
  <c r="U605" i="5" s="1"/>
  <c r="T762" i="5"/>
  <c r="U762" i="5" s="1"/>
  <c r="T125" i="5"/>
  <c r="U125" i="5" s="1"/>
  <c r="T710" i="5"/>
  <c r="U710" i="5" s="1"/>
  <c r="T747" i="5"/>
  <c r="U747" i="5" s="1"/>
  <c r="T500" i="5"/>
  <c r="U500" i="5" s="1"/>
  <c r="T277" i="5"/>
  <c r="U277" i="5" s="1"/>
  <c r="T138" i="5"/>
  <c r="U138" i="5" s="1"/>
  <c r="T256" i="5"/>
  <c r="U256" i="5" s="1"/>
  <c r="T74" i="5"/>
  <c r="U74" i="5" s="1"/>
  <c r="T432" i="5"/>
  <c r="U432" i="5" s="1"/>
  <c r="T377" i="5"/>
  <c r="U377" i="5" s="1"/>
  <c r="T160" i="5"/>
  <c r="U160" i="5" s="1"/>
  <c r="T821" i="5"/>
  <c r="U821" i="5" s="1"/>
  <c r="T176" i="5"/>
  <c r="U176" i="5" s="1"/>
  <c r="T789" i="5"/>
  <c r="U789" i="5" s="1"/>
  <c r="T370" i="5"/>
  <c r="U370" i="5" s="1"/>
  <c r="T785" i="5"/>
  <c r="U785" i="5" s="1"/>
  <c r="T305" i="5"/>
  <c r="U305" i="5" s="1"/>
  <c r="T739" i="5"/>
  <c r="U739" i="5" s="1"/>
  <c r="D4" i="4"/>
  <c r="D3" i="4"/>
  <c r="D2" i="4"/>
  <c r="T587" i="5" l="1"/>
  <c r="U587" i="5" s="1"/>
  <c r="AA41" i="5"/>
  <c r="AB41" i="5" s="1"/>
  <c r="AA747" i="5"/>
  <c r="AB747" i="5" s="1"/>
  <c r="AA263" i="5"/>
  <c r="AB263" i="5" s="1"/>
  <c r="AA867" i="5"/>
  <c r="AB867" i="5" s="1"/>
  <c r="AA635" i="5"/>
  <c r="AB635" i="5" s="1"/>
  <c r="T654" i="5"/>
  <c r="U654" i="5" s="1"/>
  <c r="T657" i="5"/>
  <c r="U657" i="5" s="1"/>
  <c r="AA167" i="5"/>
  <c r="AB167" i="5" s="1"/>
  <c r="AA999" i="5"/>
  <c r="AB999" i="5" s="1"/>
  <c r="T539" i="5"/>
  <c r="U539" i="5" s="1"/>
  <c r="AA158" i="5"/>
  <c r="AB158" i="5" s="1"/>
  <c r="AA854" i="5"/>
  <c r="AB854" i="5" s="1"/>
  <c r="T395" i="5"/>
  <c r="U395" i="5" s="1"/>
  <c r="AA718" i="5"/>
  <c r="AB718" i="5" s="1"/>
  <c r="T322" i="5"/>
  <c r="U322" i="5" s="1"/>
  <c r="AA684" i="5"/>
  <c r="AB684" i="5" s="1"/>
  <c r="AA703" i="5"/>
  <c r="AB703" i="5" s="1"/>
  <c r="AA575" i="5"/>
  <c r="AB575" i="5" s="1"/>
  <c r="T983" i="5"/>
  <c r="U983" i="5" s="1"/>
  <c r="T758" i="5"/>
  <c r="U758" i="5" s="1"/>
  <c r="AA590" i="5"/>
  <c r="AB590" i="5" s="1"/>
  <c r="T448" i="5"/>
  <c r="U448" i="5" s="1"/>
  <c r="T246" i="5"/>
  <c r="U246" i="5" s="1"/>
  <c r="AA27" i="5"/>
  <c r="AB27" i="5" s="1"/>
  <c r="AA269" i="5"/>
  <c r="AB269" i="5" s="1"/>
  <c r="AA748" i="5"/>
  <c r="AB748" i="5" s="1"/>
  <c r="T682" i="5"/>
  <c r="U682" i="5" s="1"/>
  <c r="AA407" i="5"/>
  <c r="AB407" i="5" s="1"/>
  <c r="T918" i="5"/>
  <c r="U918" i="5" s="1"/>
  <c r="AA528" i="5"/>
  <c r="AB528" i="5" s="1"/>
  <c r="AA254" i="5"/>
  <c r="AB254" i="5" s="1"/>
  <c r="AA155" i="5"/>
  <c r="AB155" i="5" s="1"/>
  <c r="AA135" i="5"/>
  <c r="AB135" i="5" s="1"/>
  <c r="AA591" i="5"/>
  <c r="AB591" i="5" s="1"/>
  <c r="AA842" i="5"/>
  <c r="AB842" i="5" s="1"/>
  <c r="AA36" i="5"/>
  <c r="AB36" i="5" s="1"/>
  <c r="AA941" i="5"/>
  <c r="AB941" i="5" s="1"/>
  <c r="AA989" i="5"/>
  <c r="AB989" i="5" s="1"/>
  <c r="AA701" i="5"/>
  <c r="AB701" i="5" s="1"/>
  <c r="AA527" i="5"/>
  <c r="AB527" i="5" s="1"/>
  <c r="AA279" i="5"/>
  <c r="AB279" i="5" s="1"/>
  <c r="AA317" i="5"/>
  <c r="AB317" i="5" s="1"/>
  <c r="AA241" i="5"/>
  <c r="AB241" i="5" s="1"/>
  <c r="AA545" i="5"/>
  <c r="AB545" i="5" s="1"/>
  <c r="T646" i="5"/>
  <c r="U646" i="5" s="1"/>
  <c r="AA141" i="5"/>
  <c r="AB141" i="5" s="1"/>
  <c r="AA911" i="5"/>
  <c r="AB911" i="5" s="1"/>
  <c r="AA621" i="5"/>
  <c r="AB621" i="5" s="1"/>
  <c r="AA86" i="5"/>
  <c r="AB86" i="5" s="1"/>
  <c r="AA358" i="5"/>
  <c r="AB358" i="5" s="1"/>
  <c r="AA579" i="5"/>
  <c r="AB579" i="5" s="1"/>
  <c r="T938" i="5"/>
  <c r="U938" i="5" s="1"/>
  <c r="AA532" i="5"/>
  <c r="AB532" i="5" s="1"/>
  <c r="T576" i="5"/>
  <c r="U576" i="5" s="1"/>
  <c r="AA835" i="5"/>
  <c r="AB835" i="5" s="1"/>
  <c r="T847" i="5"/>
  <c r="U847" i="5" s="1"/>
  <c r="T705" i="5"/>
  <c r="U705" i="5" s="1"/>
  <c r="AA323" i="5"/>
  <c r="AB323" i="5" s="1"/>
  <c r="AA243" i="5"/>
  <c r="AB243" i="5" s="1"/>
  <c r="AA599" i="5"/>
  <c r="AB599" i="5" s="1"/>
  <c r="T822" i="5"/>
  <c r="U822" i="5" s="1"/>
  <c r="T552" i="5"/>
  <c r="U552" i="5" s="1"/>
  <c r="AA514" i="5"/>
  <c r="AB514" i="5" s="1"/>
  <c r="AA71" i="5"/>
  <c r="AB71" i="5" s="1"/>
  <c r="AA157" i="5"/>
  <c r="AB157" i="5" s="1"/>
  <c r="AA221" i="5"/>
  <c r="AB221" i="5" s="1"/>
  <c r="T930" i="5"/>
  <c r="U930" i="5" s="1"/>
  <c r="T746" i="5"/>
  <c r="U746" i="5" s="1"/>
  <c r="T214" i="5"/>
  <c r="U214" i="5" s="1"/>
  <c r="AA434" i="5"/>
  <c r="AB434" i="5" s="1"/>
  <c r="T993" i="5"/>
  <c r="U993" i="5" s="1"/>
  <c r="AA542" i="5"/>
  <c r="AB542" i="5" s="1"/>
  <c r="AA764" i="5"/>
  <c r="AB764" i="5" s="1"/>
  <c r="AA396" i="5"/>
  <c r="AB396" i="5" s="1"/>
  <c r="AA540" i="5"/>
  <c r="AB540" i="5" s="1"/>
  <c r="AA112" i="5"/>
  <c r="AB112" i="5" s="1"/>
  <c r="AA529" i="5"/>
  <c r="AB529" i="5" s="1"/>
  <c r="AA42" i="5"/>
  <c r="AB42" i="5" s="1"/>
  <c r="AA402" i="5"/>
  <c r="AB402" i="5" s="1"/>
  <c r="T151" i="5"/>
  <c r="U151" i="5" s="1"/>
  <c r="T911" i="5"/>
  <c r="U911" i="5" s="1"/>
  <c r="T813" i="5"/>
  <c r="U813" i="5" s="1"/>
  <c r="T664" i="5"/>
  <c r="U664" i="5" s="1"/>
  <c r="T453" i="5"/>
  <c r="U453" i="5" s="1"/>
  <c r="AA698" i="5"/>
  <c r="AB698" i="5" s="1"/>
  <c r="AA869" i="5"/>
  <c r="AB869" i="5" s="1"/>
  <c r="T583" i="5"/>
  <c r="U583" i="5" s="1"/>
  <c r="AA340" i="5"/>
  <c r="AB340" i="5" s="1"/>
  <c r="AA121" i="5"/>
  <c r="AB121" i="5" s="1"/>
  <c r="AA963" i="5"/>
  <c r="AB963" i="5" s="1"/>
  <c r="AA1001" i="5"/>
  <c r="AB1001" i="5" s="1"/>
  <c r="AA362" i="5"/>
  <c r="AB362" i="5" s="1"/>
  <c r="AA132" i="5"/>
  <c r="AB132" i="5" s="1"/>
  <c r="AA231" i="5"/>
  <c r="AB231" i="5" s="1"/>
  <c r="AA405" i="5"/>
  <c r="AB405" i="5" s="1"/>
  <c r="AA4" i="5"/>
  <c r="AB4" i="5" s="1"/>
  <c r="AA971" i="5"/>
  <c r="AB971" i="5" s="1"/>
  <c r="AA391" i="5"/>
  <c r="AB391" i="5" s="1"/>
  <c r="T690" i="5"/>
  <c r="U690" i="5" s="1"/>
  <c r="T226" i="5"/>
  <c r="U226" i="5" s="1"/>
  <c r="T162" i="5"/>
  <c r="U162" i="5" s="1"/>
  <c r="AA73" i="5"/>
  <c r="AB73" i="5" s="1"/>
  <c r="AA367" i="5"/>
  <c r="AB367" i="5" s="1"/>
  <c r="AA100" i="5"/>
  <c r="AB100" i="5" s="1"/>
  <c r="AA949" i="5"/>
  <c r="AB949" i="5" s="1"/>
  <c r="T530" i="5"/>
  <c r="U530" i="5" s="1"/>
  <c r="T150" i="5"/>
  <c r="U150" i="5" s="1"/>
  <c r="T266" i="5"/>
  <c r="U266" i="5" s="1"/>
  <c r="T531" i="5"/>
  <c r="U531" i="5" s="1"/>
  <c r="T555" i="5"/>
  <c r="U555" i="5" s="1"/>
  <c r="T571" i="5"/>
  <c r="U571" i="5" s="1"/>
  <c r="AA411" i="5"/>
  <c r="AB411" i="5" s="1"/>
  <c r="AA280" i="5"/>
  <c r="AB280" i="5" s="1"/>
  <c r="AA281" i="5"/>
  <c r="AB281" i="5" s="1"/>
  <c r="AA451" i="5"/>
  <c r="AB451" i="5" s="1"/>
  <c r="AA356" i="5"/>
  <c r="AB356" i="5" s="1"/>
  <c r="AA307" i="5"/>
  <c r="AB307" i="5" s="1"/>
  <c r="T96" i="5"/>
  <c r="U96" i="5" s="1"/>
  <c r="T356" i="5"/>
  <c r="U356" i="5" s="1"/>
  <c r="T204" i="5"/>
  <c r="U204" i="5" s="1"/>
  <c r="T737" i="5"/>
  <c r="U737" i="5" s="1"/>
  <c r="AA823" i="5"/>
  <c r="AB823" i="5" s="1"/>
  <c r="AA452" i="5"/>
  <c r="AB452" i="5" s="1"/>
  <c r="AA654" i="5"/>
  <c r="AB654" i="5" s="1"/>
  <c r="AA582" i="5"/>
  <c r="AB582" i="5" s="1"/>
  <c r="AA904" i="5"/>
  <c r="AB904" i="5" s="1"/>
  <c r="AA109" i="5"/>
  <c r="AB109" i="5" s="1"/>
  <c r="AA539" i="5"/>
  <c r="AB539" i="5" s="1"/>
  <c r="AA245" i="5"/>
  <c r="AB245" i="5" s="1"/>
  <c r="AA595" i="5"/>
  <c r="AB595" i="5" s="1"/>
  <c r="T72" i="5"/>
  <c r="U72" i="5" s="1"/>
  <c r="T582" i="5"/>
  <c r="U582" i="5" s="1"/>
  <c r="T534" i="5"/>
  <c r="U534" i="5" s="1"/>
  <c r="AA546" i="5"/>
  <c r="AB546" i="5" s="1"/>
  <c r="AA430" i="5"/>
  <c r="AB430" i="5" s="1"/>
  <c r="AA577" i="5"/>
  <c r="AB577" i="5" s="1"/>
  <c r="AA219" i="5"/>
  <c r="AB219" i="5" s="1"/>
  <c r="T145" i="5"/>
  <c r="U145" i="5" s="1"/>
  <c r="AA114" i="5"/>
  <c r="AB114" i="5" s="1"/>
  <c r="T239" i="5"/>
  <c r="U239" i="5" s="1"/>
  <c r="T590" i="5"/>
  <c r="U590" i="5" s="1"/>
  <c r="T317" i="5"/>
  <c r="U317" i="5" s="1"/>
  <c r="AA363" i="5"/>
  <c r="AB363" i="5" s="1"/>
  <c r="T624" i="5"/>
  <c r="U624" i="5" s="1"/>
  <c r="AA859" i="5"/>
  <c r="AB859" i="5" s="1"/>
  <c r="AA611" i="5"/>
  <c r="AB611" i="5" s="1"/>
  <c r="AA571" i="5"/>
  <c r="AB571" i="5" s="1"/>
  <c r="AA486" i="5"/>
  <c r="AB486" i="5" s="1"/>
  <c r="AA274" i="5"/>
  <c r="AB274" i="5" s="1"/>
  <c r="AA488" i="5"/>
  <c r="AB488" i="5" s="1"/>
  <c r="AA770" i="5"/>
  <c r="AB770" i="5" s="1"/>
  <c r="AA674" i="5"/>
  <c r="AB674" i="5" s="1"/>
  <c r="AA724" i="5"/>
  <c r="AB724" i="5" s="1"/>
  <c r="AA818" i="5"/>
  <c r="AB818" i="5" s="1"/>
  <c r="AA213" i="5"/>
  <c r="AB213" i="5" s="1"/>
  <c r="AA224" i="5"/>
  <c r="AB224" i="5" s="1"/>
  <c r="AA378" i="5"/>
  <c r="AB378" i="5" s="1"/>
  <c r="AA801" i="5"/>
  <c r="AB801" i="5" s="1"/>
  <c r="AA881" i="5"/>
  <c r="AB881" i="5" s="1"/>
  <c r="AA249" i="5"/>
  <c r="AB249" i="5" s="1"/>
  <c r="AA846" i="5"/>
  <c r="AB846" i="5" s="1"/>
  <c r="AA208" i="5"/>
  <c r="AB208" i="5" s="1"/>
  <c r="T27" i="5"/>
  <c r="U27" i="5" s="1"/>
  <c r="AA572" i="5"/>
  <c r="AB572" i="5" s="1"/>
  <c r="AA772" i="5"/>
  <c r="AB772" i="5" s="1"/>
  <c r="AA790" i="5"/>
  <c r="AB790" i="5" s="1"/>
  <c r="AA969" i="5"/>
  <c r="AB969" i="5" s="1"/>
  <c r="AA788" i="5"/>
  <c r="AB788" i="5" s="1"/>
  <c r="T629" i="5"/>
  <c r="U629" i="5" s="1"/>
  <c r="AA726" i="5"/>
  <c r="AB726" i="5" s="1"/>
  <c r="AA133" i="5"/>
  <c r="AB133" i="5" s="1"/>
  <c r="AA920" i="5"/>
  <c r="AB920" i="5" s="1"/>
  <c r="AA727" i="5"/>
  <c r="AB727" i="5" s="1"/>
  <c r="AA594" i="5"/>
  <c r="AB594" i="5" s="1"/>
  <c r="T269" i="5"/>
  <c r="U269" i="5" s="1"/>
  <c r="T345" i="5"/>
  <c r="U345" i="5" s="1"/>
  <c r="AA424" i="5"/>
  <c r="AB424" i="5" s="1"/>
  <c r="AA980" i="5"/>
  <c r="AB980" i="5" s="1"/>
  <c r="AA321" i="5"/>
  <c r="AB321" i="5" s="1"/>
  <c r="AA448" i="5"/>
  <c r="AB448" i="5" s="1"/>
  <c r="T633" i="5"/>
  <c r="U633" i="5" s="1"/>
  <c r="T344" i="5"/>
  <c r="U344" i="5" s="1"/>
  <c r="T280" i="5"/>
  <c r="U280" i="5" s="1"/>
  <c r="AA806" i="5"/>
  <c r="AB806" i="5" s="1"/>
  <c r="AA125" i="5"/>
  <c r="AB125" i="5" s="1"/>
  <c r="T896" i="5"/>
  <c r="U896" i="5" s="1"/>
  <c r="AA882" i="5"/>
  <c r="AB882" i="5" s="1"/>
  <c r="AA890" i="5"/>
  <c r="AB890" i="5" s="1"/>
  <c r="AA429" i="5"/>
  <c r="AB429" i="5" s="1"/>
  <c r="AA924" i="5"/>
  <c r="AB924" i="5" s="1"/>
  <c r="AA7" i="5"/>
  <c r="AB7" i="5" s="1"/>
  <c r="T668" i="5"/>
  <c r="U668" i="5" s="1"/>
  <c r="AA559" i="5"/>
  <c r="AB559" i="5" s="1"/>
  <c r="AA552" i="5"/>
  <c r="AB552" i="5" s="1"/>
  <c r="AA557" i="5"/>
  <c r="AB557" i="5" s="1"/>
  <c r="AA786" i="5"/>
  <c r="AB786" i="5" s="1"/>
  <c r="AA440" i="5"/>
  <c r="AB440" i="5" s="1"/>
  <c r="AA646" i="5"/>
  <c r="AB646" i="5" s="1"/>
  <c r="AA777" i="5"/>
  <c r="AB777" i="5" s="1"/>
  <c r="AA554" i="5"/>
  <c r="AB554" i="5" s="1"/>
  <c r="AA624" i="5"/>
  <c r="AB624" i="5" s="1"/>
  <c r="AA191" i="5"/>
  <c r="AB191" i="5" s="1"/>
  <c r="AA851" i="5"/>
  <c r="AB851" i="5" s="1"/>
  <c r="AA111" i="5"/>
  <c r="AB111" i="5" s="1"/>
  <c r="T872" i="5"/>
  <c r="U872" i="5" s="1"/>
  <c r="T722" i="5"/>
  <c r="U722" i="5" s="1"/>
  <c r="AA628" i="5"/>
  <c r="AB628" i="5" s="1"/>
  <c r="AA807" i="5"/>
  <c r="AB807" i="5" s="1"/>
  <c r="T964" i="5"/>
  <c r="U964" i="5" s="1"/>
  <c r="AA740" i="5"/>
  <c r="AB740" i="5" s="1"/>
  <c r="AA209" i="5"/>
  <c r="AB209" i="5" s="1"/>
  <c r="AA541" i="5"/>
  <c r="AB541" i="5" s="1"/>
  <c r="AA824" i="5"/>
  <c r="AB824" i="5" s="1"/>
  <c r="AA637" i="5"/>
  <c r="AB637" i="5" s="1"/>
  <c r="AA797" i="5"/>
  <c r="AB797" i="5" s="1"/>
  <c r="AA677" i="5"/>
  <c r="AB677" i="5" s="1"/>
  <c r="AA812" i="5"/>
  <c r="AB812" i="5" s="1"/>
  <c r="AA62" i="5"/>
  <c r="AB62" i="5" s="1"/>
  <c r="AA722" i="5"/>
  <c r="AB722" i="5" s="1"/>
  <c r="AA657" i="5"/>
  <c r="AB657" i="5" s="1"/>
  <c r="AA96" i="5"/>
  <c r="AB96" i="5" s="1"/>
  <c r="T999" i="5"/>
  <c r="U999" i="5" s="1"/>
  <c r="AA139" i="5"/>
  <c r="AB139" i="5" s="1"/>
  <c r="AA242" i="5"/>
  <c r="AB242" i="5" s="1"/>
  <c r="AA633" i="5"/>
  <c r="AB633" i="5" s="1"/>
  <c r="T755" i="5"/>
  <c r="U755" i="5" s="1"/>
  <c r="T105" i="5"/>
  <c r="U105" i="5" s="1"/>
  <c r="AA469" i="5"/>
  <c r="AB469" i="5" s="1"/>
  <c r="AA585" i="5"/>
  <c r="AB585" i="5" s="1"/>
  <c r="AA119" i="5"/>
  <c r="AB119" i="5" s="1"/>
  <c r="AA481" i="5"/>
  <c r="AB481" i="5" s="1"/>
  <c r="AA183" i="5"/>
  <c r="AB183" i="5" s="1"/>
  <c r="AA916" i="5"/>
  <c r="AB916" i="5" s="1"/>
  <c r="AA922" i="5"/>
  <c r="AB922" i="5" s="1"/>
  <c r="T715" i="5"/>
  <c r="U715" i="5" s="1"/>
  <c r="AA458" i="5"/>
  <c r="AB458" i="5" s="1"/>
  <c r="AA18" i="5"/>
  <c r="AB18" i="5" s="1"/>
  <c r="AA732" i="5"/>
  <c r="AB732" i="5" s="1"/>
  <c r="AA810" i="5"/>
  <c r="AB810" i="5" s="1"/>
  <c r="AA587" i="5"/>
  <c r="AB587" i="5" s="1"/>
  <c r="AA193" i="5"/>
  <c r="AB193" i="5" s="1"/>
  <c r="AA169" i="5"/>
  <c r="AB169" i="5" s="1"/>
  <c r="AA444" i="5"/>
  <c r="AB444" i="5" s="1"/>
  <c r="T434" i="5"/>
  <c r="U434" i="5" s="1"/>
  <c r="T416" i="5"/>
  <c r="U416" i="5" s="1"/>
  <c r="AA290" i="5"/>
  <c r="AB290" i="5" s="1"/>
  <c r="AA808" i="5"/>
  <c r="AB808" i="5" s="1"/>
  <c r="AA961" i="5"/>
  <c r="AB961" i="5" s="1"/>
  <c r="AA314" i="5"/>
  <c r="AB314" i="5" s="1"/>
  <c r="AA512" i="5"/>
  <c r="AB512" i="5" s="1"/>
  <c r="AA161" i="5"/>
  <c r="AB161" i="5" s="1"/>
  <c r="AA683" i="5"/>
  <c r="AB683" i="5" s="1"/>
  <c r="AA602" i="5"/>
  <c r="AB602" i="5" s="1"/>
  <c r="AA145" i="5"/>
  <c r="AB145" i="5" s="1"/>
  <c r="AA450" i="5"/>
  <c r="AB450" i="5" s="1"/>
  <c r="AA238" i="5"/>
  <c r="AB238" i="5" s="1"/>
  <c r="AA477" i="5"/>
  <c r="AB477" i="5" s="1"/>
  <c r="AA433" i="5"/>
  <c r="AB433" i="5" s="1"/>
  <c r="AA729" i="5"/>
  <c r="AB729" i="5" s="1"/>
  <c r="AA629" i="5"/>
  <c r="AB629" i="5" s="1"/>
  <c r="AA98" i="5"/>
  <c r="AB98" i="5" s="1"/>
  <c r="AA345" i="5"/>
  <c r="AB345" i="5" s="1"/>
  <c r="AA350" i="5"/>
  <c r="AB350" i="5" s="1"/>
  <c r="AA723" i="5"/>
  <c r="AB723" i="5" s="1"/>
  <c r="AA886" i="5"/>
  <c r="AB886" i="5" s="1"/>
  <c r="AA498" i="5"/>
  <c r="AB498" i="5" s="1"/>
  <c r="AA547" i="5"/>
  <c r="AB547" i="5" s="1"/>
  <c r="AA395" i="5"/>
  <c r="AB395" i="5" s="1"/>
  <c r="AA909" i="5"/>
  <c r="AB909" i="5" s="1"/>
  <c r="AA34" i="5"/>
  <c r="AB34" i="5" s="1"/>
  <c r="AA384" i="5"/>
  <c r="AB384" i="5" s="1"/>
  <c r="AA346" i="5"/>
  <c r="AB346" i="5" s="1"/>
  <c r="AA240" i="5"/>
  <c r="AB240" i="5" s="1"/>
  <c r="AA154" i="5"/>
  <c r="AB154" i="5" s="1"/>
  <c r="AA494" i="5"/>
  <c r="AB494" i="5" s="1"/>
  <c r="AA719" i="5"/>
  <c r="AB719" i="5" s="1"/>
  <c r="AA741" i="5"/>
  <c r="AB741" i="5" s="1"/>
  <c r="AA523" i="5"/>
  <c r="AB523" i="5" s="1"/>
  <c r="AA8" i="5"/>
  <c r="AB8" i="5" s="1"/>
  <c r="AA446" i="5"/>
  <c r="AB446" i="5" s="1"/>
  <c r="AA1000" i="5"/>
  <c r="AB1000" i="5" s="1"/>
  <c r="AA456" i="5"/>
  <c r="AB456" i="5" s="1"/>
  <c r="AA931" i="5"/>
  <c r="AB931" i="5" s="1"/>
  <c r="AA738" i="5"/>
  <c r="AB738" i="5" s="1"/>
  <c r="AA555" i="5"/>
  <c r="AB555" i="5" s="1"/>
  <c r="T303" i="5"/>
  <c r="U303" i="5" s="1"/>
  <c r="AA79" i="5"/>
  <c r="AB79" i="5" s="1"/>
  <c r="AA482" i="5"/>
  <c r="AB482" i="5" s="1"/>
  <c r="AA373" i="5"/>
  <c r="AB373" i="5" s="1"/>
  <c r="AA137" i="5"/>
  <c r="AB137" i="5" s="1"/>
  <c r="AA473" i="5"/>
  <c r="AB473" i="5" s="1"/>
  <c r="AA383" i="5"/>
  <c r="AB383" i="5" s="1"/>
  <c r="AA217" i="5"/>
  <c r="AB217" i="5" s="1"/>
  <c r="AA944" i="5"/>
  <c r="AB944" i="5" s="1"/>
  <c r="AA303" i="5"/>
  <c r="AB303" i="5" s="1"/>
  <c r="AA246" i="5"/>
  <c r="AB246" i="5" s="1"/>
  <c r="AA277" i="5"/>
  <c r="AB277" i="5" s="1"/>
  <c r="AA896" i="5"/>
  <c r="AB896" i="5" s="1"/>
  <c r="AA694" i="5"/>
  <c r="AB694" i="5" s="1"/>
  <c r="AA675" i="5"/>
  <c r="AB675" i="5" s="1"/>
  <c r="AA930" i="5"/>
  <c r="AB930" i="5" s="1"/>
  <c r="T927" i="5"/>
  <c r="U927" i="5" s="1"/>
  <c r="U5" i="5"/>
  <c r="P4" i="6"/>
  <c r="AA2" i="5"/>
  <c r="AB2" i="5" s="1"/>
  <c r="T479" i="5"/>
  <c r="U479" i="5" s="1"/>
  <c r="T255" i="5"/>
  <c r="U255" i="5" s="1"/>
  <c r="T770" i="5"/>
  <c r="U770" i="5" s="1"/>
  <c r="T575" i="5"/>
  <c r="U575" i="5" s="1"/>
  <c r="T823" i="5"/>
  <c r="U823" i="5" s="1"/>
  <c r="T15" i="5"/>
  <c r="U15" i="5" s="1"/>
  <c r="T222" i="5"/>
  <c r="U222" i="5" s="1"/>
  <c r="T740" i="5"/>
  <c r="U740" i="5" s="1"/>
  <c r="T292" i="5"/>
  <c r="U292" i="5" s="1"/>
  <c r="T136" i="5"/>
  <c r="U136" i="5" s="1"/>
  <c r="T369" i="5"/>
  <c r="U369" i="5" s="1"/>
  <c r="T563" i="5"/>
  <c r="U563" i="5" s="1"/>
  <c r="T120" i="5"/>
  <c r="U120" i="5" s="1"/>
  <c r="T486" i="5"/>
  <c r="U486" i="5" s="1"/>
  <c r="T529" i="5"/>
  <c r="U529" i="5" s="1"/>
  <c r="T21" i="5"/>
  <c r="U21" i="5" s="1"/>
  <c r="T622" i="5"/>
  <c r="U622" i="5" s="1"/>
  <c r="T435" i="5"/>
  <c r="U435" i="5" s="1"/>
  <c r="T610" i="5"/>
  <c r="U610" i="5" s="1"/>
  <c r="T506" i="5"/>
  <c r="U506" i="5" s="1"/>
  <c r="T584" i="5"/>
  <c r="U584" i="5" s="1"/>
  <c r="T153" i="5"/>
  <c r="U153" i="5" s="1"/>
  <c r="T484" i="5"/>
  <c r="U484" i="5" s="1"/>
  <c r="T339" i="5"/>
  <c r="U339" i="5" s="1"/>
  <c r="T51" i="5"/>
  <c r="U51" i="5" s="1"/>
  <c r="T83" i="5"/>
  <c r="U83" i="5" s="1"/>
  <c r="T190" i="5"/>
  <c r="U190" i="5" s="1"/>
  <c r="T118" i="5"/>
  <c r="U118" i="5" s="1"/>
  <c r="T308" i="5"/>
  <c r="U308" i="5" s="1"/>
  <c r="T404" i="5"/>
  <c r="U404" i="5" s="1"/>
  <c r="T594" i="5"/>
  <c r="U594" i="5" s="1"/>
  <c r="T492" i="5"/>
  <c r="U492" i="5" s="1"/>
  <c r="T415" i="5"/>
  <c r="U415" i="5" s="1"/>
  <c r="T607" i="5"/>
  <c r="U607" i="5" s="1"/>
  <c r="T251" i="5"/>
  <c r="U251" i="5" s="1"/>
  <c r="T101" i="5"/>
  <c r="U101" i="5" s="1"/>
  <c r="T53" i="5"/>
  <c r="U53" i="5" s="1"/>
  <c r="T808" i="5"/>
  <c r="U808" i="5" s="1"/>
  <c r="T671" i="5"/>
  <c r="U671" i="5" s="1"/>
  <c r="T298" i="5"/>
  <c r="U298" i="5" s="1"/>
  <c r="T519" i="5"/>
  <c r="U519" i="5" s="1"/>
  <c r="T691" i="5"/>
  <c r="U691" i="5" s="1"/>
  <c r="T124" i="5"/>
  <c r="U124" i="5" s="1"/>
  <c r="T93" i="5"/>
  <c r="U93" i="5" s="1"/>
  <c r="T961" i="5"/>
  <c r="U961" i="5" s="1"/>
  <c r="T88" i="5"/>
  <c r="U88" i="5" s="1"/>
  <c r="T24" i="5"/>
  <c r="U24" i="5" s="1"/>
  <c r="T252" i="5"/>
  <c r="U252" i="5" s="1"/>
  <c r="T109" i="5"/>
  <c r="U109" i="5" s="1"/>
  <c r="T695" i="5"/>
  <c r="U695" i="5" s="1"/>
  <c r="T236" i="5"/>
  <c r="U236" i="5" s="1"/>
  <c r="T966" i="5"/>
  <c r="U966" i="5" s="1"/>
  <c r="T843" i="5"/>
  <c r="U843" i="5" s="1"/>
  <c r="T803" i="5"/>
  <c r="U803" i="5" s="1"/>
  <c r="T180" i="5"/>
  <c r="U180" i="5" s="1"/>
  <c r="T173" i="5"/>
  <c r="U173" i="5" s="1"/>
  <c r="T673" i="5"/>
  <c r="U673" i="5" s="1"/>
  <c r="T450" i="5"/>
  <c r="U450" i="5" s="1"/>
  <c r="T104" i="5"/>
  <c r="U104" i="5" s="1"/>
  <c r="T729" i="5"/>
  <c r="U729" i="5" s="1"/>
  <c r="T764" i="5"/>
  <c r="U764" i="5" s="1"/>
  <c r="T877" i="5"/>
  <c r="U877" i="5" s="1"/>
  <c r="T535" i="5"/>
  <c r="U535" i="5" s="1"/>
  <c r="T334" i="5"/>
  <c r="U334" i="5" s="1"/>
  <c r="T376" i="5"/>
  <c r="U376" i="5" s="1"/>
  <c r="T784" i="5"/>
  <c r="U784" i="5" s="1"/>
  <c r="T206" i="5"/>
  <c r="U206" i="5" s="1"/>
  <c r="T475" i="5"/>
  <c r="U475" i="5" s="1"/>
  <c r="T223" i="5"/>
  <c r="U223" i="5" s="1"/>
  <c r="T556" i="5"/>
  <c r="U556" i="5" s="1"/>
  <c r="T242" i="5"/>
  <c r="U242" i="5" s="1"/>
  <c r="T360" i="5"/>
  <c r="U360" i="5" s="1"/>
  <c r="T890" i="5"/>
  <c r="U890" i="5" s="1"/>
  <c r="T617" i="5"/>
  <c r="U617" i="5" s="1"/>
  <c r="T830" i="5"/>
  <c r="U830" i="5" s="1"/>
  <c r="T411" i="5"/>
  <c r="U411" i="5" s="1"/>
  <c r="T442" i="5"/>
  <c r="U442" i="5" s="1"/>
  <c r="T111" i="5"/>
  <c r="U111" i="5" s="1"/>
  <c r="T550" i="5"/>
  <c r="U550" i="5" s="1"/>
  <c r="T396" i="5"/>
  <c r="U396" i="5" s="1"/>
  <c r="N9" i="6"/>
  <c r="N7" i="6"/>
  <c r="N6" i="6"/>
  <c r="T461" i="5"/>
  <c r="U461" i="5" s="1"/>
  <c r="T947" i="5"/>
  <c r="U947" i="5" s="1"/>
  <c r="T675" i="5"/>
  <c r="U675" i="5" s="1"/>
  <c r="T861" i="5"/>
  <c r="U861" i="5" s="1"/>
  <c r="T572" i="5"/>
  <c r="U572" i="5" s="1"/>
  <c r="T693" i="5"/>
  <c r="U693" i="5" s="1"/>
  <c r="T957" i="5"/>
  <c r="U957" i="5" s="1"/>
  <c r="T115" i="5"/>
  <c r="U115" i="5" s="1"/>
  <c r="T543" i="5"/>
  <c r="U543" i="5" s="1"/>
  <c r="T107" i="5"/>
  <c r="U107" i="5" s="1"/>
  <c r="T951" i="5"/>
  <c r="U951" i="5" s="1"/>
  <c r="P9" i="6"/>
  <c r="T718" i="5"/>
  <c r="U718" i="5" s="1"/>
  <c r="T502" i="5"/>
  <c r="U502" i="5" s="1"/>
  <c r="N8" i="6"/>
  <c r="P8" i="6"/>
  <c r="T875" i="5"/>
  <c r="U875" i="5" s="1"/>
  <c r="T245" i="5"/>
  <c r="U245" i="5" s="1"/>
  <c r="T578" i="5"/>
  <c r="U578" i="5" s="1"/>
  <c r="T346" i="5"/>
  <c r="U346" i="5" s="1"/>
  <c r="T676" i="5"/>
  <c r="U676" i="5" s="1"/>
  <c r="T490" i="5"/>
  <c r="U490" i="5" s="1"/>
  <c r="T157" i="5"/>
  <c r="U157" i="5" s="1"/>
  <c r="T636" i="5"/>
  <c r="U636" i="5" s="1"/>
  <c r="T604" i="5"/>
  <c r="U604" i="5" s="1"/>
  <c r="T198" i="5"/>
  <c r="U198" i="5" s="1"/>
  <c r="T408" i="5"/>
  <c r="U408" i="5" s="1"/>
  <c r="T19" i="5"/>
  <c r="U19" i="5" s="1"/>
  <c r="T730" i="5"/>
  <c r="U730" i="5" s="1"/>
  <c r="T357" i="5"/>
  <c r="U357" i="5" s="1"/>
  <c r="T195" i="5"/>
  <c r="U195" i="5" s="1"/>
  <c r="T748" i="5"/>
  <c r="U748" i="5" s="1"/>
  <c r="T270" i="5"/>
  <c r="U270" i="5" s="1"/>
  <c r="T388" i="5"/>
  <c r="U388" i="5" s="1"/>
  <c r="T692" i="5"/>
  <c r="U692" i="5" s="1"/>
  <c r="T650" i="5"/>
  <c r="U650" i="5" s="1"/>
  <c r="T623" i="5"/>
  <c r="U623" i="5" s="1"/>
  <c r="T798" i="5"/>
  <c r="U798" i="5" s="1"/>
  <c r="T225" i="5"/>
  <c r="U225" i="5" s="1"/>
  <c r="T55" i="5"/>
  <c r="U55" i="5" s="1"/>
  <c r="T221" i="5"/>
  <c r="U221" i="5" s="1"/>
  <c r="T778" i="5"/>
  <c r="U778" i="5" s="1"/>
  <c r="T726" i="5"/>
  <c r="U726" i="5" s="1"/>
  <c r="T38" i="5"/>
  <c r="U38" i="5" s="1"/>
  <c r="T719" i="5"/>
  <c r="U719" i="5" s="1"/>
  <c r="T545" i="5"/>
  <c r="U545" i="5" s="1"/>
  <c r="T599" i="5"/>
  <c r="U599" i="5" s="1"/>
  <c r="T139" i="5"/>
  <c r="U139" i="5" s="1"/>
  <c r="T386" i="5"/>
  <c r="U386" i="5" s="1"/>
  <c r="T933" i="5"/>
  <c r="U933" i="5" s="1"/>
  <c r="T116" i="5"/>
  <c r="U116" i="5" s="1"/>
  <c r="T504" i="5"/>
  <c r="U504" i="5" s="1"/>
  <c r="T66" i="5"/>
  <c r="U66" i="5" s="1"/>
  <c r="T22" i="5"/>
  <c r="U22" i="5" s="1"/>
  <c r="T659" i="5"/>
  <c r="U659" i="5" s="1"/>
  <c r="T158" i="5"/>
  <c r="U158" i="5" s="1"/>
  <c r="T327" i="5"/>
  <c r="U327" i="5" s="1"/>
  <c r="T314" i="5"/>
  <c r="U314" i="5" s="1"/>
  <c r="T437" i="5"/>
  <c r="U437" i="5" s="1"/>
  <c r="T681" i="5"/>
  <c r="U681" i="5" s="1"/>
  <c r="T249" i="5"/>
  <c r="U249" i="5" s="1"/>
  <c r="T974" i="5"/>
  <c r="U974" i="5" s="1"/>
  <c r="T261" i="5"/>
  <c r="U261" i="5" s="1"/>
  <c r="T375" i="5"/>
  <c r="U375" i="5" s="1"/>
  <c r="T95" i="5"/>
  <c r="U95" i="5" s="1"/>
  <c r="T425" i="5"/>
  <c r="U425" i="5" s="1"/>
  <c r="T663" i="5"/>
  <c r="U663" i="5" s="1"/>
  <c r="T287" i="5"/>
  <c r="U287" i="5" s="1"/>
  <c r="T90" i="5"/>
  <c r="U90" i="5" s="1"/>
  <c r="T364" i="5"/>
  <c r="U364" i="5" s="1"/>
  <c r="T908" i="5"/>
  <c r="U908" i="5" s="1"/>
  <c r="T635" i="5"/>
  <c r="U635" i="5" s="1"/>
  <c r="T123" i="5"/>
  <c r="U123" i="5" s="1"/>
  <c r="T390" i="5"/>
  <c r="U390" i="5" s="1"/>
  <c r="T995" i="5"/>
  <c r="U995" i="5" s="1"/>
  <c r="T168" i="5"/>
  <c r="U168" i="5" s="1"/>
  <c r="T407" i="5"/>
  <c r="U407" i="5" s="1"/>
  <c r="T641" i="5"/>
  <c r="U641" i="5" s="1"/>
  <c r="T931" i="5"/>
  <c r="U931" i="5" s="1"/>
  <c r="T156" i="5"/>
  <c r="U156" i="5" s="1"/>
  <c r="T358" i="5"/>
  <c r="U358" i="5" s="1"/>
  <c r="T952" i="5"/>
  <c r="U952" i="5" s="1"/>
  <c r="T736" i="5"/>
  <c r="U736" i="5" s="1"/>
  <c r="T862" i="5"/>
  <c r="U862" i="5" s="1"/>
  <c r="T795" i="5"/>
  <c r="U795" i="5" s="1"/>
  <c r="T36" i="5"/>
  <c r="U36" i="5" s="1"/>
  <c r="T554" i="5"/>
  <c r="U554" i="5" s="1"/>
  <c r="T824" i="5"/>
  <c r="U824" i="5" s="1"/>
  <c r="T611" i="5"/>
  <c r="U611" i="5" s="1"/>
  <c r="T196" i="5"/>
  <c r="U196" i="5" s="1"/>
  <c r="T541" i="5"/>
  <c r="U541" i="5" s="1"/>
  <c r="T373" i="5"/>
  <c r="U373" i="5" s="1"/>
  <c r="T363" i="5"/>
  <c r="U363" i="5" s="1"/>
  <c r="T962" i="5"/>
  <c r="U962" i="5" s="1"/>
  <c r="T238" i="5"/>
  <c r="U238" i="5" s="1"/>
  <c r="T422" i="5"/>
  <c r="U422" i="5" s="1"/>
  <c r="T768" i="5"/>
  <c r="U768" i="5" s="1"/>
  <c r="T480" i="5"/>
  <c r="U480" i="5" s="1"/>
  <c r="T916" i="5"/>
  <c r="U916" i="5" s="1"/>
  <c r="T194" i="5"/>
  <c r="U194" i="5" s="1"/>
  <c r="T574" i="5"/>
  <c r="U574" i="5" s="1"/>
  <c r="T802" i="5"/>
  <c r="U802" i="5" s="1"/>
  <c r="T86" i="5"/>
  <c r="U86" i="5" s="1"/>
  <c r="T790" i="5"/>
  <c r="U790" i="5" s="1"/>
  <c r="T818" i="5"/>
  <c r="U818" i="5" s="1"/>
  <c r="T698" i="5"/>
  <c r="U698" i="5" s="1"/>
  <c r="T398" i="5"/>
  <c r="U398" i="5" s="1"/>
  <c r="T846" i="5"/>
  <c r="U846" i="5" s="1"/>
  <c r="T106" i="5"/>
  <c r="U106" i="5" s="1"/>
  <c r="T132" i="5"/>
  <c r="U132" i="5" s="1"/>
  <c r="T977" i="5"/>
  <c r="U977" i="5" s="1"/>
  <c r="T4" i="5"/>
  <c r="U4" i="5" s="1"/>
  <c r="T166" i="5"/>
  <c r="U166" i="5" s="1"/>
  <c r="T949" i="5"/>
  <c r="U949" i="5" s="1"/>
  <c r="T680" i="5"/>
  <c r="U680" i="5" s="1"/>
  <c r="T281" i="5"/>
  <c r="U281" i="5" s="1"/>
  <c r="T807" i="5"/>
  <c r="U807" i="5" s="1"/>
  <c r="T963" i="5"/>
  <c r="U963" i="5" s="1"/>
  <c r="T829" i="5"/>
  <c r="U829" i="5" s="1"/>
  <c r="T959" i="5"/>
  <c r="U959" i="5" s="1"/>
  <c r="T18" i="5"/>
  <c r="U18" i="5" s="1"/>
  <c r="T658" i="5"/>
  <c r="U658" i="5" s="1"/>
  <c r="T42" i="5"/>
  <c r="U42" i="5" s="1"/>
  <c r="T640" i="5"/>
  <c r="U640" i="5" s="1"/>
  <c r="T669" i="5"/>
  <c r="U669" i="5" s="1"/>
  <c r="T616" i="5"/>
  <c r="U616" i="5" s="1"/>
  <c r="T400" i="5"/>
  <c r="U400" i="5" s="1"/>
  <c r="T866" i="5"/>
  <c r="U866" i="5" s="1"/>
  <c r="T254" i="5"/>
  <c r="U254" i="5" s="1"/>
  <c r="T788" i="5"/>
  <c r="U788" i="5" s="1"/>
  <c r="T837" i="5"/>
  <c r="U837" i="5" s="1"/>
  <c r="T141" i="5"/>
  <c r="U141" i="5" s="1"/>
  <c r="T699" i="5"/>
  <c r="U699" i="5" s="1"/>
  <c r="T451" i="5"/>
  <c r="U451" i="5" s="1"/>
  <c r="T706" i="5"/>
  <c r="U706" i="5" s="1"/>
  <c r="T742" i="5"/>
  <c r="U742" i="5" s="1"/>
  <c r="T498" i="5"/>
  <c r="U498" i="5" s="1"/>
  <c r="T342" i="5"/>
  <c r="U342" i="5" s="1"/>
  <c r="T414" i="5"/>
  <c r="U414" i="5" s="1"/>
  <c r="T69" i="5"/>
  <c r="U69" i="5" s="1"/>
  <c r="T460" i="5"/>
  <c r="U460" i="5" s="1"/>
  <c r="T240" i="5"/>
  <c r="U240" i="5" s="1"/>
  <c r="T988" i="5"/>
  <c r="U988" i="5" s="1"/>
  <c r="T335" i="5"/>
  <c r="U335" i="5" s="1"/>
  <c r="T212" i="5"/>
  <c r="U212" i="5" s="1"/>
  <c r="T325" i="5"/>
  <c r="U325" i="5" s="1"/>
  <c r="T631" i="5"/>
  <c r="U631" i="5" s="1"/>
  <c r="T2" i="5"/>
  <c r="T258" i="5"/>
  <c r="U258" i="5" s="1"/>
  <c r="T608" i="5"/>
  <c r="U608" i="5" s="1"/>
  <c r="T817" i="5"/>
  <c r="U817" i="5" s="1"/>
  <c r="T108" i="5"/>
  <c r="U108" i="5" s="1"/>
  <c r="T456" i="5"/>
  <c r="U456" i="5" s="1"/>
  <c r="T81" i="5"/>
  <c r="U81" i="5" s="1"/>
  <c r="T527" i="5"/>
  <c r="U527" i="5" s="1"/>
  <c r="T579" i="5"/>
  <c r="T458" i="5"/>
  <c r="U458" i="5" s="1"/>
  <c r="T753" i="5"/>
  <c r="U753" i="5" s="1"/>
  <c r="T201" i="5"/>
  <c r="U201" i="5" s="1"/>
  <c r="T595" i="5"/>
  <c r="U595" i="5" s="1"/>
  <c r="T971" i="5"/>
  <c r="U971" i="5" s="1"/>
  <c r="T981" i="5"/>
  <c r="U981" i="5" s="1"/>
  <c r="T297" i="5"/>
  <c r="U297" i="5" s="1"/>
  <c r="T882" i="5"/>
  <c r="U882" i="5" s="1"/>
  <c r="T338" i="5"/>
  <c r="U338" i="5" s="1"/>
  <c r="T589" i="5"/>
  <c r="U589" i="5" s="1"/>
  <c r="T469" i="5"/>
  <c r="U469" i="5" s="1"/>
  <c r="T914" i="5"/>
  <c r="U914" i="5" s="1"/>
  <c r="T939" i="5"/>
  <c r="U939" i="5" s="1"/>
  <c r="T452" i="5"/>
  <c r="U452" i="5" s="1"/>
  <c r="T923" i="5"/>
  <c r="U923" i="5" s="1"/>
  <c r="T728" i="5"/>
  <c r="U728" i="5" s="1"/>
  <c r="T70" i="5"/>
  <c r="U70" i="5" s="1"/>
  <c r="T148" i="5"/>
  <c r="U148" i="5" s="1"/>
  <c r="T549" i="5"/>
  <c r="U549" i="5" s="1"/>
  <c r="T496" i="5"/>
  <c r="U496" i="5" s="1"/>
  <c r="T417" i="5"/>
  <c r="T902" i="5"/>
  <c r="U902" i="5" s="1"/>
  <c r="T117" i="5"/>
  <c r="U117" i="5" s="1"/>
  <c r="T540" i="5"/>
  <c r="U540" i="5" s="1"/>
  <c r="T481" i="5"/>
  <c r="U481" i="5" s="1"/>
  <c r="T564" i="5"/>
  <c r="U564" i="5" s="1"/>
  <c r="T315" i="5"/>
  <c r="U315" i="5" s="1"/>
  <c r="T873" i="5"/>
  <c r="U873" i="5" s="1"/>
  <c r="T293" i="5"/>
  <c r="U293" i="5" s="1"/>
  <c r="T670" i="5"/>
  <c r="U670" i="5" s="1"/>
  <c r="T384" i="5"/>
  <c r="U384" i="5" s="1"/>
  <c r="T68" i="5"/>
  <c r="U68" i="5" s="1"/>
  <c r="T44" i="5"/>
  <c r="U44" i="5" s="1"/>
  <c r="T340" i="5"/>
  <c r="U340" i="5" s="1"/>
  <c r="T284" i="5"/>
  <c r="U284" i="5" s="1"/>
  <c r="T929" i="5"/>
  <c r="U929" i="5" s="1"/>
  <c r="T211" i="5"/>
  <c r="U211" i="5" s="1"/>
  <c r="T268" i="5"/>
  <c r="U268" i="5" s="1"/>
  <c r="T381" i="5"/>
  <c r="U381" i="5" s="1"/>
  <c r="T786" i="5"/>
  <c r="U786" i="5" s="1"/>
  <c r="T925" i="5"/>
  <c r="U925" i="5" s="1"/>
  <c r="T235" i="5"/>
  <c r="U235" i="5" s="1"/>
  <c r="T943" i="5"/>
  <c r="U943" i="5" s="1"/>
  <c r="T446" i="5"/>
  <c r="U446" i="5" s="1"/>
  <c r="T630" i="5"/>
  <c r="U630" i="5" s="1"/>
  <c r="T577" i="5"/>
  <c r="U577" i="5" s="1"/>
  <c r="T155" i="5"/>
  <c r="U155" i="5" s="1"/>
  <c r="T62" i="5"/>
  <c r="U62" i="5" s="1"/>
  <c r="T645" i="5"/>
  <c r="U645" i="5" s="1"/>
  <c r="T361" i="5"/>
  <c r="U361" i="5" s="1"/>
  <c r="T332" i="5"/>
  <c r="U332" i="5" s="1"/>
  <c r="T121" i="5"/>
  <c r="U121" i="5" s="1"/>
  <c r="T765" i="5"/>
  <c r="U765" i="5" s="1"/>
  <c r="T477" i="5"/>
  <c r="U477" i="5" s="1"/>
  <c r="T75" i="5"/>
  <c r="U75" i="5" s="1"/>
  <c r="T614" i="5"/>
  <c r="U614" i="5" s="1"/>
  <c r="T514" i="5"/>
  <c r="U514" i="5" s="1"/>
  <c r="T649" i="5"/>
  <c r="U649" i="5" s="1"/>
  <c r="T37" i="5"/>
  <c r="U37" i="5" s="1"/>
  <c r="T904" i="5"/>
  <c r="U904" i="5" s="1"/>
  <c r="T428" i="5"/>
  <c r="U428" i="5" s="1"/>
  <c r="T903" i="5"/>
  <c r="U903" i="5" s="1"/>
  <c r="T174" i="5"/>
  <c r="U174" i="5" s="1"/>
  <c r="T378" i="5"/>
  <c r="U378" i="5" s="1"/>
  <c r="T825" i="5"/>
  <c r="U825" i="5" s="1"/>
  <c r="T362" i="5"/>
  <c r="U362" i="5" s="1"/>
  <c r="T653" i="5"/>
  <c r="U653" i="5" s="1"/>
  <c r="T12" i="5"/>
  <c r="U12" i="5" s="1"/>
  <c r="T34" i="5"/>
  <c r="U34" i="5" s="1"/>
  <c r="T683" i="5"/>
  <c r="U683" i="5" s="1"/>
  <c r="T832" i="5"/>
  <c r="U832" i="5" s="1"/>
  <c r="T237" i="5"/>
  <c r="U237" i="5" s="1"/>
  <c r="T402" i="5"/>
  <c r="U402" i="5" s="1"/>
  <c r="T323" i="5"/>
  <c r="U323" i="5" s="1"/>
  <c r="T593" i="5"/>
  <c r="U593" i="5" s="1"/>
  <c r="T858" i="5"/>
  <c r="U858" i="5" s="1"/>
  <c r="T122" i="5"/>
  <c r="U122" i="5" s="1"/>
  <c r="T709" i="5"/>
  <c r="U709" i="5" s="1"/>
  <c r="T45" i="5"/>
  <c r="U45" i="5" s="1"/>
  <c r="T568" i="5"/>
  <c r="U568" i="5" s="1"/>
  <c r="T279" i="5"/>
  <c r="U279" i="5" s="1"/>
  <c r="T405" i="5"/>
  <c r="U405" i="5" s="1"/>
  <c r="T662" i="5"/>
  <c r="U662" i="5" s="1"/>
  <c r="T250" i="5"/>
  <c r="U250" i="5" s="1"/>
  <c r="T429" i="5"/>
  <c r="U429" i="5" s="1"/>
  <c r="T385" i="5"/>
  <c r="U385" i="5" s="1"/>
  <c r="T87" i="5"/>
  <c r="U87" i="5" s="1"/>
  <c r="T868" i="5"/>
  <c r="U868" i="5" s="1"/>
  <c r="T986" i="5"/>
  <c r="U986" i="5" s="1"/>
  <c r="T199" i="5"/>
  <c r="U199" i="5" s="1"/>
  <c r="T701" i="5"/>
  <c r="U701" i="5" s="1"/>
  <c r="T8" i="5"/>
  <c r="U8" i="5" s="1"/>
  <c r="T178" i="5"/>
  <c r="U178" i="5" s="1"/>
  <c r="T1000" i="5"/>
  <c r="U1000" i="5" s="1"/>
  <c r="T886" i="5"/>
  <c r="U886" i="5" s="1"/>
  <c r="T313" i="5"/>
  <c r="U313" i="5" s="1"/>
  <c r="T723" i="5"/>
  <c r="U723" i="5" s="1"/>
  <c r="T285" i="5"/>
  <c r="U285" i="5" s="1"/>
  <c r="T696" i="5"/>
  <c r="U696" i="5" s="1"/>
  <c r="T299" i="5"/>
  <c r="U299" i="5" s="1"/>
  <c r="T570" i="5"/>
  <c r="U570" i="5" s="1"/>
  <c r="T652" i="5"/>
  <c r="U652" i="5" s="1"/>
  <c r="T73" i="5"/>
  <c r="U73" i="5" s="1"/>
  <c r="T482" i="5"/>
  <c r="U482" i="5" s="1"/>
  <c r="T806" i="5"/>
  <c r="U806" i="5" s="1"/>
  <c r="T684" i="5"/>
  <c r="U684" i="5" s="1"/>
  <c r="T982" i="5"/>
  <c r="U982" i="5" s="1"/>
  <c r="T536" i="5"/>
  <c r="U536" i="5" s="1"/>
  <c r="T403" i="5"/>
  <c r="U403" i="5" s="1"/>
  <c r="T936" i="5"/>
  <c r="U936" i="5" s="1"/>
  <c r="T756" i="5"/>
  <c r="U756" i="5" s="1"/>
  <c r="T48" i="5"/>
  <c r="U48" i="5" s="1"/>
  <c r="T267" i="5"/>
  <c r="U267" i="5" s="1"/>
  <c r="T112" i="5"/>
  <c r="U112" i="5" s="1"/>
  <c r="T306" i="5"/>
  <c r="U306" i="5" s="1"/>
  <c r="T463" i="5"/>
  <c r="U463" i="5" s="1"/>
  <c r="T565" i="5"/>
  <c r="U565" i="5" s="1"/>
  <c r="T33" i="5"/>
  <c r="U33" i="5" s="1"/>
  <c r="T979" i="5"/>
  <c r="U979" i="5" s="1"/>
  <c r="T810" i="5"/>
  <c r="U810" i="5" s="1"/>
  <c r="T894" i="5"/>
  <c r="U894" i="5" s="1"/>
  <c r="T374" i="5"/>
  <c r="U374" i="5" s="1"/>
  <c r="T341" i="5"/>
  <c r="U341" i="5" s="1"/>
  <c r="T430" i="5"/>
  <c r="U430" i="5" s="1"/>
  <c r="T518" i="5"/>
  <c r="U518" i="5" s="1"/>
  <c r="T849" i="5"/>
  <c r="U849" i="5" s="1"/>
  <c r="T749" i="5"/>
  <c r="U749" i="5" s="1"/>
  <c r="T561" i="5"/>
  <c r="U561" i="5" s="1"/>
  <c r="T989" i="5"/>
  <c r="U989" i="5" s="1"/>
  <c r="T76" i="5"/>
  <c r="U76" i="5" s="1"/>
  <c r="T667" i="5"/>
  <c r="U667" i="5" s="1"/>
  <c r="T766" i="5"/>
  <c r="U766" i="5" s="1"/>
  <c r="T835" i="5"/>
  <c r="U835" i="5" s="1"/>
  <c r="T721" i="5"/>
  <c r="U721" i="5" s="1"/>
  <c r="T368" i="5"/>
  <c r="U368" i="5" s="1"/>
  <c r="T143" i="5"/>
  <c r="U143" i="5" s="1"/>
  <c r="T343" i="5"/>
  <c r="U343" i="5" s="1"/>
  <c r="T260" i="5"/>
  <c r="U260" i="5" s="1"/>
  <c r="T738" i="5"/>
  <c r="U738" i="5" s="1"/>
  <c r="T638" i="5"/>
  <c r="U638" i="5" s="1"/>
  <c r="T991" i="5"/>
  <c r="U991" i="5" s="1"/>
  <c r="T924" i="5"/>
  <c r="U924" i="5" s="1"/>
  <c r="T291" i="5"/>
  <c r="U291" i="5" s="1"/>
  <c r="T98" i="5"/>
  <c r="U98" i="5" s="1"/>
  <c r="T661" i="5"/>
  <c r="U661" i="5" s="1"/>
  <c r="T876" i="5"/>
  <c r="U876" i="5" s="1"/>
  <c r="T528" i="5"/>
  <c r="U528" i="5" s="1"/>
  <c r="T265" i="5"/>
  <c r="U265" i="5" s="1"/>
  <c r="T913" i="5"/>
  <c r="U913" i="5" s="1"/>
  <c r="T392" i="5"/>
  <c r="U392" i="5" s="1"/>
  <c r="T992" i="5"/>
  <c r="U992" i="5" s="1"/>
  <c r="T102" i="5"/>
  <c r="U102" i="5" s="1"/>
  <c r="T734" i="5"/>
  <c r="U734" i="5" s="1"/>
  <c r="T259" i="5"/>
  <c r="U259" i="5" s="1"/>
  <c r="T937" i="5"/>
  <c r="U937" i="5" s="1"/>
  <c r="T191" i="5"/>
  <c r="U191" i="5" s="1"/>
  <c r="T3" i="5"/>
  <c r="U3" i="5" s="1"/>
  <c r="T909" i="5"/>
  <c r="U909" i="5" s="1"/>
  <c r="T497" i="5"/>
  <c r="U497" i="5" s="1"/>
  <c r="T243" i="5"/>
  <c r="U243" i="5" s="1"/>
  <c r="T208" i="5"/>
  <c r="U208" i="5" s="1"/>
  <c r="T510" i="5"/>
  <c r="U510" i="5" s="1"/>
  <c r="T119" i="5"/>
  <c r="U119" i="5" s="1"/>
  <c r="T987" i="5"/>
  <c r="U987" i="5" s="1"/>
  <c r="T444" i="5"/>
  <c r="U444" i="5" s="1"/>
  <c r="T542" i="5"/>
  <c r="U542" i="5" s="1"/>
  <c r="T152" i="5"/>
  <c r="U152" i="5" s="1"/>
  <c r="T300" i="5"/>
  <c r="U300" i="5" s="1"/>
  <c r="T760" i="5"/>
  <c r="U760" i="5" s="1"/>
  <c r="T954" i="5"/>
  <c r="U954" i="5" s="1"/>
  <c r="T333" i="5"/>
  <c r="U333" i="5" s="1"/>
  <c r="T852" i="5"/>
  <c r="U852" i="5" s="1"/>
  <c r="T436" i="5"/>
  <c r="U436" i="5" s="1"/>
  <c r="T146" i="5"/>
  <c r="U146" i="5" s="1"/>
  <c r="T791" i="5"/>
  <c r="U791" i="5" s="1"/>
  <c r="T275" i="5"/>
  <c r="U275" i="5" s="1"/>
  <c r="T893" i="5"/>
  <c r="U893" i="5" s="1"/>
  <c r="T557" i="5"/>
  <c r="U557" i="5" s="1"/>
  <c r="T996" i="5"/>
  <c r="U996" i="5" s="1"/>
  <c r="T883" i="5"/>
  <c r="U883" i="5" s="1"/>
  <c r="T321" i="5"/>
  <c r="U321" i="5" s="1"/>
  <c r="T301" i="5"/>
  <c r="U301" i="5" s="1"/>
  <c r="T387" i="5"/>
  <c r="U387" i="5" s="1"/>
  <c r="T772" i="5"/>
  <c r="U772" i="5" s="1"/>
  <c r="T516" i="5"/>
  <c r="U516" i="5" s="1"/>
  <c r="T412" i="5"/>
  <c r="U412" i="5" s="1"/>
  <c r="T897" i="5"/>
  <c r="U897" i="5" s="1"/>
  <c r="T290" i="5"/>
  <c r="U290" i="5" s="1"/>
  <c r="T499" i="5"/>
  <c r="U499" i="5" s="1"/>
  <c r="T46" i="5"/>
  <c r="U46" i="5" s="1"/>
  <c r="T91" i="5"/>
  <c r="U91" i="5" s="1"/>
  <c r="T551" i="5"/>
  <c r="U551" i="5" s="1"/>
  <c r="T489" i="5"/>
  <c r="U489" i="5" s="1"/>
  <c r="T169" i="5"/>
  <c r="U169" i="5" s="1"/>
  <c r="T906" i="5"/>
  <c r="U906" i="5" s="1"/>
  <c r="T304" i="5"/>
  <c r="U304" i="5" s="1"/>
  <c r="T915" i="5"/>
  <c r="U915" i="5" s="1"/>
  <c r="T135" i="5"/>
  <c r="U135" i="5" s="1"/>
  <c r="T383" i="5"/>
  <c r="U383" i="5" s="1"/>
  <c r="T114" i="5"/>
  <c r="U114" i="5" s="1"/>
  <c r="T447" i="5"/>
  <c r="U447" i="5" s="1"/>
  <c r="T922" i="5"/>
  <c r="U922" i="5" s="1"/>
  <c r="T294" i="5"/>
  <c r="U294" i="5" s="1"/>
  <c r="T64" i="5"/>
  <c r="U64" i="5" s="1"/>
  <c r="T912" i="5"/>
  <c r="U912" i="5" s="1"/>
  <c r="T355" i="5"/>
  <c r="U355" i="5" s="1"/>
  <c r="T639" i="5"/>
  <c r="U639" i="5" s="1"/>
  <c r="T573" i="5"/>
  <c r="U573" i="5" s="1"/>
  <c r="T219" i="5"/>
  <c r="U219" i="5" s="1"/>
  <c r="T724" i="5"/>
  <c r="U724" i="5" s="1"/>
  <c r="T137" i="5"/>
  <c r="U137" i="5" s="1"/>
  <c r="T271" i="5"/>
  <c r="U271" i="5" s="1"/>
  <c r="T689" i="5"/>
  <c r="U689" i="5" s="1"/>
  <c r="T732" i="5"/>
  <c r="U732" i="5" s="1"/>
  <c r="T336" i="5"/>
  <c r="U336" i="5" s="1"/>
  <c r="T757" i="5"/>
  <c r="U757" i="5" s="1"/>
  <c r="T602" i="5"/>
  <c r="U602" i="5" s="1"/>
  <c r="T831" i="5"/>
  <c r="U831" i="5" s="1"/>
  <c r="T320" i="5"/>
  <c r="U320" i="5" s="1"/>
  <c r="T282" i="5"/>
  <c r="U282" i="5" s="1"/>
  <c r="T741" i="5"/>
  <c r="U741" i="5" s="1"/>
  <c r="T677" i="5"/>
  <c r="U677" i="5" s="1"/>
  <c r="T296" i="5"/>
  <c r="U296" i="5" s="1"/>
  <c r="T278" i="5"/>
  <c r="U278" i="5" s="1"/>
  <c r="T980" i="5"/>
  <c r="U980" i="5" s="1"/>
  <c r="T603" i="5"/>
  <c r="U603" i="5" s="1"/>
  <c r="T621" i="5"/>
  <c r="U621" i="5" s="1"/>
  <c r="T423" i="5"/>
  <c r="U423" i="5" s="1"/>
  <c r="T41" i="5"/>
  <c r="U41" i="5" s="1"/>
  <c r="T637" i="5"/>
  <c r="U637" i="5" s="1"/>
  <c r="T777" i="5"/>
  <c r="U777" i="5" s="1"/>
  <c r="T704" i="5"/>
  <c r="U704" i="5" s="1"/>
  <c r="T183" i="5"/>
  <c r="U183" i="5" s="1"/>
  <c r="T523" i="5"/>
  <c r="U523" i="5" s="1"/>
  <c r="T391" i="5"/>
  <c r="U391" i="5" s="1"/>
  <c r="T418" i="5"/>
  <c r="U418" i="5" s="1"/>
  <c r="T7" i="5"/>
  <c r="U7" i="5" s="1"/>
  <c r="T307" i="5"/>
  <c r="U307" i="5" s="1"/>
  <c r="T193" i="5"/>
  <c r="U193" i="5" s="1"/>
  <c r="T328" i="5"/>
  <c r="U328" i="5" s="1"/>
  <c r="T801" i="5"/>
  <c r="U801" i="5" s="1"/>
  <c r="T433" i="5"/>
  <c r="U433" i="5" s="1"/>
  <c r="T812" i="5"/>
  <c r="U812" i="5" s="1"/>
  <c r="T860" i="5"/>
  <c r="U860" i="5" s="1"/>
  <c r="T546" i="5"/>
  <c r="U546" i="5" s="1"/>
  <c r="P19" i="6" l="1"/>
  <c r="U2" i="5"/>
  <c r="M12" i="6"/>
  <c r="U579" i="5"/>
  <c r="P7" i="6"/>
  <c r="Q7" i="6" s="1"/>
  <c r="P6" i="6"/>
  <c r="O12" i="6"/>
  <c r="U417" i="5"/>
  <c r="M22" i="3"/>
  <c r="O4" i="6" l="1"/>
  <c r="Q4" i="6"/>
  <c r="O13" i="6"/>
  <c r="O14" i="6"/>
  <c r="M13" i="6"/>
  <c r="M14" i="6"/>
  <c r="M16" i="6" s="1"/>
  <c r="M17" i="6" s="1"/>
  <c r="M23" i="3"/>
  <c r="M24" i="3"/>
  <c r="M26" i="3" s="1"/>
  <c r="M27" i="3" s="1"/>
  <c r="Q19" i="6" l="1"/>
  <c r="O19" i="6"/>
  <c r="O6" i="6"/>
  <c r="O16" i="6"/>
  <c r="O17" i="6" s="1"/>
  <c r="O9" i="6"/>
  <c r="O8" i="6"/>
  <c r="Q13" i="6"/>
  <c r="Q12" i="6" s="1"/>
  <c r="Q14" i="6" s="1"/>
  <c r="Q16" i="6" s="1"/>
  <c r="Q17" i="6" s="1"/>
  <c r="P12" i="6"/>
  <c r="P14" i="6" s="1"/>
  <c r="P16" i="6" s="1"/>
  <c r="P17" i="6" s="1"/>
  <c r="P13" i="6"/>
  <c r="N13" i="6"/>
  <c r="N12" i="6"/>
  <c r="N14" i="6" s="1"/>
  <c r="N16" i="6" s="1"/>
  <c r="N17" i="6" s="1"/>
  <c r="Q6" i="6"/>
  <c r="Q9" i="6"/>
  <c r="Q8" i="6"/>
</calcChain>
</file>

<file path=xl/sharedStrings.xml><?xml version="1.0" encoding="utf-8"?>
<sst xmlns="http://schemas.openxmlformats.org/spreadsheetml/2006/main" count="47207" uniqueCount="23405">
  <si>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</si>
  <si>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</si>
  <si>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</si>
  <si>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</si>
  <si>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</si>
  <si>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</si>
  <si>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</si>
  <si>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</si>
  <si>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</si>
  <si>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</si>
  <si>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</si>
  <si>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</si>
  <si>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</si>
  <si>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</si>
  <si>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</si>
  <si>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</si>
  <si>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</si>
  <si>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</si>
  <si>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</si>
  <si>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</si>
  <si>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</si>
  <si>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</si>
  <si>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</si>
  <si>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</si>
  <si>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</si>
  <si>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</si>
  <si>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</si>
  <si>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</si>
  <si>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</si>
  <si>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</si>
  <si>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</si>
  <si>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</si>
  <si>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</si>
  <si>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</si>
  <si>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</si>
  <si>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</si>
  <si>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</si>
  <si>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</si>
  <si>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</si>
  <si>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</si>
  <si>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</si>
  <si>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</si>
  <si>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</si>
  <si>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</si>
  <si>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</si>
  <si>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</si>
  <si>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</si>
  <si>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</si>
  <si>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</si>
  <si>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</si>
  <si>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</si>
  <si>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</si>
  <si>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</si>
  <si>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</si>
  <si>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</si>
  <si>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</si>
  <si>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</si>
  <si>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</si>
  <si>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</si>
  <si>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</si>
  <si>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</si>
  <si>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</si>
  <si>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</si>
  <si>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</si>
  <si>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</si>
  <si>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</si>
  <si>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</si>
  <si>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</si>
  <si>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</si>
  <si>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</si>
  <si>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</si>
  <si>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</si>
  <si>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</si>
  <si>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</si>
  <si>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</si>
  <si>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</si>
  <si>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</si>
  <si>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</si>
  <si>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</si>
  <si>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</si>
  <si>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</si>
  <si>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</si>
  <si>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</si>
  <si>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</si>
  <si>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</si>
  <si>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</si>
  <si>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</si>
  <si>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</si>
  <si>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</si>
  <si>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</si>
  <si>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</si>
  <si>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</si>
  <si>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</si>
  <si>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</si>
  <si>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</si>
  <si>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</si>
  <si>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</si>
  <si>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</si>
  <si>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</si>
  <si>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</si>
  <si>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</si>
  <si>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</si>
  <si>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</si>
  <si>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</si>
  <si>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</si>
  <si>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</si>
  <si>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</si>
  <si>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</si>
  <si>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</si>
  <si>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</si>
  <si>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</si>
  <si>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</si>
  <si>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</si>
  <si>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</si>
  <si>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</si>
  <si>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</si>
  <si>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</si>
  <si>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</si>
  <si>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</si>
  <si>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</si>
  <si>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</si>
  <si>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</si>
  <si>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</si>
  <si>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</si>
  <si>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</si>
  <si>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</si>
  <si>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</si>
  <si>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</si>
  <si>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</si>
  <si>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</si>
  <si>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</si>
  <si>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</si>
  <si>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</si>
  <si>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</si>
  <si>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</si>
  <si>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</si>
  <si>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</si>
  <si>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</si>
  <si>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</si>
  <si>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</si>
  <si>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</si>
  <si>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</si>
  <si>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</si>
  <si>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</si>
  <si>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</si>
  <si>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</si>
  <si>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</si>
  <si>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</si>
  <si>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</si>
  <si>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</si>
  <si>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</si>
  <si>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</si>
  <si>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</si>
  <si>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</si>
  <si>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</si>
  <si>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</si>
  <si>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</si>
  <si>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</si>
  <si>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</si>
  <si>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</si>
  <si>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</si>
  <si>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</si>
  <si>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</si>
  <si>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</si>
  <si>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</si>
  <si>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</si>
  <si>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</si>
  <si>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</si>
  <si>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</si>
  <si>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</si>
  <si>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</si>
  <si>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</si>
  <si>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</si>
  <si>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</si>
  <si>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</si>
  <si>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</si>
  <si>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</si>
  <si>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</si>
  <si>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</si>
  <si>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</si>
  <si>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</si>
  <si>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</si>
  <si>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</si>
  <si>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</si>
  <si>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</si>
  <si>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</si>
  <si>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</si>
  <si>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</si>
  <si>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</si>
  <si>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</si>
  <si>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</si>
  <si>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</si>
  <si>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</si>
  <si>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</si>
  <si>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</si>
  <si>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</si>
  <si>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</si>
  <si>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</si>
  <si>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</si>
  <si>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</si>
  <si>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</si>
  <si>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</si>
  <si>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</si>
  <si>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</si>
  <si>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</si>
  <si>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</si>
  <si>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</si>
  <si>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</si>
  <si>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</si>
  <si>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</si>
  <si>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</si>
  <si>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</si>
  <si>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</si>
  <si>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</si>
  <si>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</si>
  <si>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</si>
  <si>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</si>
  <si>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</si>
  <si>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</si>
  <si>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</si>
  <si>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</si>
  <si>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</si>
  <si>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</si>
  <si>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</si>
  <si>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</si>
  <si>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</si>
  <si>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</si>
  <si>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</si>
  <si>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</si>
  <si>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</si>
  <si>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</si>
  <si>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</si>
  <si>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</si>
  <si>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</si>
  <si>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</si>
  <si>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</si>
  <si>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</si>
  <si>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</si>
  <si>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</si>
  <si>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</si>
  <si>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</si>
  <si>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</si>
  <si>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</si>
  <si>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</si>
  <si>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</si>
  <si>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</si>
  <si>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</si>
  <si>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</si>
  <si>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</si>
  <si>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</si>
  <si>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</si>
  <si>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</si>
  <si>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</si>
  <si>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</si>
  <si>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</si>
  <si>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</si>
  <si>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</si>
  <si>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</si>
  <si>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</si>
  <si>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</si>
  <si>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</si>
  <si>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</si>
  <si>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</si>
  <si>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</si>
  <si>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</si>
  <si>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</si>
  <si>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</si>
  <si>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</si>
  <si>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</si>
  <si>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</si>
  <si>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</si>
  <si>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</si>
  <si>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</si>
  <si>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</si>
  <si>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</si>
  <si>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</si>
  <si>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</si>
  <si>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</si>
  <si>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</si>
  <si>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</si>
  <si>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</si>
  <si>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</si>
  <si>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</si>
  <si>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</si>
  <si>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</si>
  <si>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</si>
  <si>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</si>
  <si>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</si>
  <si>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</si>
  <si>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</si>
  <si>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</si>
  <si>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</si>
  <si>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</si>
  <si>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</si>
  <si>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</si>
  <si>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</si>
  <si>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</si>
  <si>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</si>
  <si>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</si>
  <si>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</si>
  <si>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</si>
  <si>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</si>
  <si>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</si>
  <si>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</si>
  <si>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</si>
  <si>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</si>
  <si>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</si>
  <si>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</si>
  <si>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</si>
  <si>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</si>
  <si>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</si>
  <si>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</si>
  <si>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</si>
  <si>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</si>
  <si>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</si>
  <si>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</si>
  <si>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</si>
  <si>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</si>
  <si>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</si>
  <si>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</si>
  <si>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</si>
  <si>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</si>
  <si>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</si>
  <si>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</si>
  <si>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</si>
  <si>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</si>
  <si>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</si>
  <si>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</si>
  <si>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</si>
  <si>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</si>
  <si>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</si>
  <si>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</si>
  <si>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</si>
  <si>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</si>
  <si>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</si>
  <si>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</si>
  <si>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</si>
  <si>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</si>
  <si>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</si>
  <si>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</si>
  <si>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</si>
  <si>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</si>
  <si>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</si>
  <si>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</si>
  <si>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</si>
  <si>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</si>
  <si>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</si>
  <si>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</si>
  <si>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</si>
  <si>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</si>
  <si>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</si>
  <si>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</si>
  <si>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</si>
  <si>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</si>
  <si>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</si>
  <si>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</si>
  <si>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</si>
  <si>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</si>
  <si>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</si>
  <si>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</si>
  <si>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</si>
  <si>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</si>
  <si>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</si>
  <si>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</si>
  <si>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</si>
  <si>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</si>
  <si>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</si>
  <si>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</si>
  <si>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</si>
  <si>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</si>
  <si>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</si>
  <si>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</si>
  <si>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</si>
  <si>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</si>
  <si>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</si>
  <si>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</si>
  <si>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</si>
  <si>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</si>
  <si>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</si>
  <si>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</si>
  <si>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</si>
  <si>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</si>
  <si>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</si>
  <si>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</si>
  <si>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</si>
  <si>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</si>
  <si>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</si>
  <si>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</si>
  <si>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</si>
  <si>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</si>
  <si>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</si>
  <si>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</si>
  <si>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</si>
  <si>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</si>
  <si>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</si>
  <si>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</si>
  <si>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</si>
  <si>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</si>
  <si>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</si>
  <si>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</si>
  <si>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</si>
  <si>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</si>
  <si>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</si>
  <si>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</si>
  <si>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</si>
  <si>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</si>
  <si>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</si>
  <si>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</si>
  <si>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</si>
  <si>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</si>
  <si>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</si>
  <si>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</si>
  <si>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</si>
  <si>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</si>
  <si>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</si>
  <si>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</si>
  <si>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</si>
  <si>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</si>
  <si>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</si>
  <si>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</si>
  <si>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</si>
  <si>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</si>
  <si>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</si>
  <si>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</si>
  <si>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</si>
  <si>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</si>
  <si>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</si>
  <si>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</si>
  <si>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</si>
  <si>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</si>
  <si>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</si>
  <si>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</si>
  <si>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</si>
  <si>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</si>
  <si>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</si>
  <si>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</si>
  <si>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</si>
  <si>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</si>
  <si>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</si>
  <si>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</si>
  <si>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</si>
  <si>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</si>
  <si>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</si>
  <si>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</si>
  <si>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</si>
  <si>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</si>
  <si>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</si>
  <si>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</si>
  <si>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</si>
  <si>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</si>
  <si>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</si>
  <si>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</si>
  <si>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</si>
  <si>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</si>
  <si>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</si>
  <si>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</si>
  <si>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</si>
  <si>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</si>
  <si>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</si>
  <si>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</si>
  <si>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</si>
  <si>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</si>
  <si>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</si>
  <si>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</si>
  <si>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</si>
  <si>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</si>
  <si>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</si>
  <si>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</si>
  <si>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</si>
  <si>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</si>
  <si>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</si>
  <si>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</si>
  <si>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</si>
  <si>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</si>
  <si>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</si>
  <si>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</si>
  <si>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</si>
  <si>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</si>
  <si>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</si>
  <si>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</si>
  <si>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</si>
  <si>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</si>
  <si>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</si>
  <si>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</si>
  <si>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</si>
  <si>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</si>
  <si>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</si>
  <si>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</si>
  <si>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</si>
  <si>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</si>
  <si>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</si>
  <si>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</si>
  <si>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</si>
  <si>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</si>
  <si>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</si>
  <si>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</si>
  <si>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</si>
  <si>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</si>
  <si>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</si>
  <si>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</si>
  <si>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</si>
  <si>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</si>
  <si>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</si>
  <si>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</si>
  <si>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</si>
  <si>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</si>
  <si>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</si>
  <si>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</si>
  <si>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</si>
  <si>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</si>
  <si>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</si>
  <si>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</si>
  <si>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</si>
  <si>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</si>
  <si>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</si>
  <si>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</si>
  <si>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</si>
  <si>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</si>
  <si>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</si>
  <si>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</si>
  <si>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</si>
  <si>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</si>
  <si>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</si>
  <si>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</si>
  <si>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</si>
  <si>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</si>
  <si>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</si>
  <si>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</si>
  <si>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</si>
  <si>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</si>
  <si>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</si>
  <si>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</si>
  <si>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</si>
  <si>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</si>
  <si>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</si>
  <si>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</si>
  <si>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</si>
  <si>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</si>
  <si>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</si>
  <si>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</si>
  <si>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</si>
  <si>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</si>
  <si>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</si>
  <si>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</si>
  <si>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</si>
  <si>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</si>
  <si>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</si>
  <si>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</si>
  <si>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</si>
  <si>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</si>
  <si>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</si>
  <si>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</si>
  <si>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</si>
  <si>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</si>
  <si>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</si>
  <si>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</si>
  <si>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</si>
  <si>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</si>
  <si>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</si>
  <si>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</si>
  <si>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</si>
  <si>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</si>
  <si>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</si>
  <si>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</si>
  <si>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</si>
  <si>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</si>
  <si>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</si>
  <si>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</si>
  <si>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</si>
  <si>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</si>
  <si>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</si>
  <si>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</si>
  <si>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</si>
  <si>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</si>
  <si>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</si>
  <si>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</si>
  <si>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</si>
  <si>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</si>
  <si>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</si>
  <si>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</si>
  <si>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</si>
  <si>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</si>
  <si>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</si>
  <si>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</si>
  <si>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</si>
  <si>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</si>
  <si>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</si>
  <si>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</si>
  <si>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</si>
  <si>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</si>
  <si>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</si>
  <si>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</si>
  <si>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</si>
  <si>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</si>
  <si>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</si>
  <si>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</si>
  <si>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</si>
  <si>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</si>
  <si>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</si>
  <si>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</si>
  <si>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</si>
  <si>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</si>
  <si>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</si>
  <si>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</si>
  <si>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</si>
  <si>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</si>
  <si>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</si>
  <si>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</si>
  <si>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</si>
  <si>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</si>
  <si>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</si>
  <si>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</si>
  <si>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</si>
  <si>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</si>
  <si>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</si>
  <si>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</si>
  <si>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</si>
  <si>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</si>
  <si>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</si>
  <si>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</si>
  <si>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</si>
  <si>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</si>
  <si>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</si>
  <si>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</si>
  <si>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</si>
  <si>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</si>
  <si>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</si>
  <si>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</si>
  <si>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</si>
  <si>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</si>
  <si>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</si>
  <si>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</si>
  <si>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</si>
  <si>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</si>
  <si>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</si>
  <si>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</si>
  <si>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</si>
  <si>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</si>
  <si>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</si>
  <si>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</si>
  <si>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</si>
  <si>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</si>
  <si>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</si>
  <si>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</si>
  <si>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</si>
  <si>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</si>
  <si>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</si>
  <si>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</si>
  <si>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</si>
  <si>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</si>
  <si>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</si>
  <si>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</si>
  <si>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</si>
  <si>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</si>
  <si>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</si>
  <si>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</si>
  <si>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</si>
  <si>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</si>
  <si>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</si>
  <si>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</si>
  <si>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</si>
  <si>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</si>
  <si>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</si>
  <si>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</si>
  <si>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</si>
  <si>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</si>
  <si>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</si>
  <si>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</si>
  <si>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</si>
  <si>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</si>
  <si>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</si>
  <si>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</si>
  <si>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</si>
  <si>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</si>
  <si>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</si>
  <si>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</si>
  <si>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</si>
  <si>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</si>
  <si>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</si>
  <si>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</si>
  <si>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</si>
  <si>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</si>
  <si>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</si>
  <si>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</si>
  <si>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</si>
  <si>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</si>
  <si>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</si>
  <si>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</si>
  <si>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</si>
  <si>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</si>
  <si>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</si>
  <si>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</si>
  <si>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</si>
  <si>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</si>
  <si>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</si>
  <si>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</si>
  <si>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</si>
  <si>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</si>
  <si>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</si>
  <si>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</si>
  <si>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</si>
  <si>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</si>
  <si>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</si>
  <si>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</si>
  <si>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</si>
  <si>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</si>
  <si>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</si>
  <si>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</si>
  <si>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</si>
  <si>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</si>
  <si>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</si>
  <si>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</si>
  <si>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</si>
  <si>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</si>
  <si>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</si>
  <si>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</si>
  <si>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</si>
  <si>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</si>
  <si>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</si>
  <si>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</si>
  <si>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</si>
  <si>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</si>
  <si>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</si>
  <si>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</si>
  <si>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</si>
  <si>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</si>
  <si>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</si>
  <si>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</si>
  <si>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</si>
  <si>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</si>
  <si>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</si>
  <si>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</si>
  <si>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</si>
  <si>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</si>
  <si>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</si>
  <si>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</si>
  <si>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</si>
  <si>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</si>
  <si>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</si>
  <si>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</si>
  <si>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</si>
  <si>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</si>
  <si>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</si>
  <si>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</si>
  <si>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</si>
  <si>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</si>
  <si>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</si>
  <si>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</si>
  <si>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</si>
  <si>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</si>
  <si>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</si>
  <si>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</si>
  <si>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</si>
  <si>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</si>
  <si>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</si>
  <si>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</si>
  <si>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</si>
  <si>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</si>
  <si>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</si>
  <si>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</si>
  <si>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</si>
  <si>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</si>
  <si>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</si>
  <si>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</si>
  <si>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</si>
  <si>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</si>
  <si>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</si>
  <si>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</si>
  <si>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</si>
  <si>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</si>
  <si>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</si>
  <si>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</si>
  <si>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</si>
  <si>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</si>
  <si>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</si>
  <si>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</si>
  <si>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</si>
  <si>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</si>
  <si>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</si>
  <si>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</si>
  <si>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</si>
  <si>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</si>
  <si>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</si>
  <si>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</si>
  <si>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</si>
  <si>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</si>
  <si>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</si>
  <si>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</si>
  <si>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</si>
  <si>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</si>
  <si>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</si>
  <si>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</si>
  <si>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</si>
  <si>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</si>
  <si>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</si>
  <si>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</si>
  <si>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</si>
  <si>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</si>
  <si>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</si>
  <si>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</si>
  <si>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</si>
  <si>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</si>
  <si>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</si>
  <si>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</si>
  <si>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</si>
  <si>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</si>
  <si>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</si>
  <si>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</si>
  <si>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</si>
  <si>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</si>
  <si>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</si>
  <si>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</si>
  <si>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</si>
  <si>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</si>
  <si>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</si>
  <si>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</si>
  <si>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</si>
  <si>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</si>
  <si>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</si>
  <si>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</si>
  <si>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</si>
  <si>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</si>
  <si>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</si>
  <si>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</si>
  <si>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</si>
  <si>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</si>
  <si>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</si>
  <si>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</si>
  <si>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</si>
  <si>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</si>
  <si>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</si>
  <si>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</si>
  <si>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</si>
  <si>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</si>
  <si>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</si>
  <si>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</si>
  <si>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</si>
  <si>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</si>
  <si>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</si>
  <si>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</si>
  <si>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</si>
  <si>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</si>
  <si>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</si>
  <si>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</si>
  <si>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</si>
  <si>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</si>
  <si>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</si>
  <si>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</si>
  <si>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</si>
  <si>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</si>
  <si>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</si>
  <si>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</si>
  <si>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</si>
  <si>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</si>
  <si>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</si>
  <si>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</si>
  <si>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</si>
  <si>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</si>
  <si>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</si>
  <si>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</si>
  <si>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</si>
  <si>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</si>
  <si>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</si>
  <si>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</si>
  <si>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</si>
  <si>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</si>
  <si>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</si>
  <si>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</si>
  <si>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</si>
  <si>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</si>
  <si>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</si>
  <si>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</si>
  <si>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</si>
  <si>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</si>
  <si>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</si>
  <si>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</si>
  <si>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</si>
  <si>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</si>
  <si>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</si>
  <si>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</si>
  <si>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</si>
  <si>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</si>
  <si>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</si>
  <si>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</si>
  <si>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</si>
  <si>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</si>
  <si>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</si>
  <si>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</si>
  <si>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</si>
  <si>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</si>
  <si>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</si>
  <si>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</si>
  <si>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</si>
  <si>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</si>
  <si>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</si>
  <si>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</si>
  <si>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</si>
  <si>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</si>
  <si>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</si>
  <si>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</si>
  <si>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</si>
  <si>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</si>
  <si>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</si>
  <si>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</si>
  <si>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</si>
  <si>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</si>
  <si>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</si>
  <si>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</si>
  <si>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</si>
  <si>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</si>
  <si>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</si>
  <si>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</si>
  <si>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</si>
  <si>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</si>
  <si>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</si>
  <si>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</si>
  <si>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</si>
  <si>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</si>
  <si>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</si>
  <si>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</si>
  <si>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</si>
  <si>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</si>
  <si>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</si>
  <si>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</si>
  <si>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</si>
  <si>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</si>
  <si>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</si>
  <si>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</si>
  <si>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</si>
  <si>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</si>
  <si>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</si>
  <si>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</si>
  <si>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</si>
  <si>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</si>
  <si>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</si>
  <si>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</si>
  <si>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</si>
  <si>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</si>
  <si>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</si>
  <si>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</si>
  <si>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</si>
  <si>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</si>
  <si>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</si>
  <si>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</si>
  <si>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</si>
  <si>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</si>
  <si>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</si>
  <si>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</si>
  <si>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</si>
  <si>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</si>
  <si>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</si>
  <si>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</si>
  <si>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</si>
  <si>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</si>
  <si>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</si>
  <si>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</si>
  <si>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</si>
  <si>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</si>
  <si>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</si>
  <si>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</si>
  <si>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</si>
  <si>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</si>
  <si>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</si>
  <si>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</si>
  <si>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</si>
  <si>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</si>
  <si>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</si>
  <si>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</si>
  <si>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</si>
  <si>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</si>
  <si>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</si>
  <si>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</si>
  <si>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</si>
  <si>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</si>
  <si>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</si>
  <si>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</si>
  <si>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</si>
  <si>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</si>
  <si>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</si>
  <si>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</si>
  <si>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</si>
  <si>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</si>
  <si>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</si>
  <si>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</si>
  <si>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</si>
  <si>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</si>
  <si>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</si>
  <si>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</si>
  <si>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</si>
  <si>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</si>
  <si>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</si>
  <si>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</si>
  <si>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</si>
  <si>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</si>
  <si>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</si>
  <si>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</si>
  <si>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</si>
  <si>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</si>
  <si>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</si>
  <si>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</si>
  <si>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</si>
  <si>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</si>
  <si>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</si>
  <si>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</si>
  <si>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</si>
  <si>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</si>
  <si>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</si>
  <si>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</si>
  <si>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</si>
  <si>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</si>
  <si>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</si>
  <si>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</si>
  <si>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</si>
  <si>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</si>
  <si>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</si>
  <si>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</si>
  <si>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</si>
  <si>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</si>
  <si>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</si>
  <si>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</si>
  <si>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</si>
  <si>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</si>
  <si>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</si>
  <si>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</si>
  <si>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</si>
  <si>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</si>
  <si>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</si>
  <si>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</si>
  <si>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</si>
  <si>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</si>
  <si>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</si>
  <si>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</si>
  <si>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</si>
  <si>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</si>
  <si>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</si>
  <si>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</si>
  <si>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</si>
  <si>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</si>
  <si>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</si>
  <si>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</si>
  <si>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</si>
  <si>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</si>
  <si>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</si>
  <si>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</si>
  <si>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</si>
  <si>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</si>
  <si>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</si>
  <si>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</si>
  <si>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</si>
  <si>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</si>
  <si>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</si>
  <si>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</si>
  <si>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</si>
  <si>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</si>
  <si>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</si>
  <si>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</si>
  <si>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</si>
  <si>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</si>
  <si>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</si>
  <si>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</si>
  <si>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</si>
  <si>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</si>
  <si>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</si>
  <si>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</si>
  <si>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</si>
  <si>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</si>
  <si>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</si>
  <si>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</si>
  <si>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</si>
  <si>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</si>
  <si>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</si>
  <si>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</si>
  <si>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</si>
  <si>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</si>
  <si>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</si>
  <si>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</si>
  <si>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</si>
  <si>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</si>
  <si>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</si>
  <si>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</si>
  <si>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</si>
  <si>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</si>
  <si>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</si>
  <si>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</si>
  <si>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</si>
  <si>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</si>
  <si>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</si>
  <si>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</si>
  <si>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</si>
  <si>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</si>
  <si>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</si>
  <si>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</si>
  <si>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</si>
  <si>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</si>
  <si>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</si>
  <si>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</si>
  <si>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</si>
  <si>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</si>
  <si>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</si>
  <si>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</si>
  <si>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</si>
  <si>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</si>
  <si>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</si>
  <si>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</si>
  <si>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</si>
  <si>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</si>
  <si>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</si>
  <si>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</si>
  <si>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</si>
  <si>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</si>
  <si>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</si>
  <si>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</si>
  <si>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</si>
  <si>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</si>
  <si>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</si>
  <si>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</si>
  <si>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</si>
  <si>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</si>
  <si>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</si>
  <si>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</si>
  <si>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</si>
  <si>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</si>
  <si>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</si>
  <si>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</si>
  <si>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</si>
  <si>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</si>
  <si>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</si>
  <si>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</si>
  <si>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</si>
  <si>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</si>
  <si>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</si>
  <si>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</si>
  <si>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</si>
  <si>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</si>
  <si>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</si>
  <si>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</si>
  <si>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</si>
  <si>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</si>
  <si>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</si>
  <si>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</si>
  <si>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</si>
  <si>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</si>
  <si>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</si>
  <si>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</si>
  <si>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</si>
  <si>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</si>
  <si>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</si>
  <si>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</si>
  <si>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</si>
  <si>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</si>
  <si>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</si>
  <si>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</si>
  <si>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</si>
  <si>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</si>
  <si>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</si>
  <si>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</si>
  <si>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</si>
  <si>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</si>
  <si>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</si>
  <si>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</si>
  <si>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</si>
  <si>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</si>
  <si>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</si>
  <si>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</si>
  <si>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</si>
  <si>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</si>
  <si>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</si>
  <si>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</si>
  <si>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</si>
  <si>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</si>
  <si>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</si>
  <si>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</si>
  <si>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</si>
  <si>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</si>
  <si>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</si>
  <si>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</si>
  <si>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</si>
  <si>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</si>
  <si>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</si>
  <si>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</si>
  <si>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</si>
  <si>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</si>
  <si>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</si>
  <si>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</si>
  <si>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</si>
  <si>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</si>
  <si>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</si>
  <si>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</si>
  <si>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</si>
  <si>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</si>
  <si>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</si>
  <si>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</si>
  <si>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</si>
  <si>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</si>
  <si>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</si>
  <si>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</si>
  <si>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</si>
  <si>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</si>
  <si>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</si>
  <si>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</si>
  <si>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</si>
  <si>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</si>
  <si>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</si>
  <si>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</si>
  <si>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</si>
  <si>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</si>
  <si>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</si>
  <si>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</si>
  <si>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</si>
  <si>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</si>
  <si>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</si>
  <si>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</si>
  <si>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</si>
  <si>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</si>
  <si>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</si>
  <si>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</si>
  <si>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</si>
  <si>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</si>
  <si>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</si>
  <si>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</si>
  <si>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</si>
  <si>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</si>
  <si>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</si>
  <si>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</si>
  <si>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</si>
  <si>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</si>
  <si>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</si>
  <si>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</si>
  <si>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</si>
  <si>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</si>
  <si>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</si>
  <si>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</si>
  <si>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</si>
  <si>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</si>
  <si>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</si>
  <si>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</si>
  <si>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</si>
  <si>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</si>
  <si>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</si>
  <si>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</si>
  <si>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</si>
  <si>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</si>
  <si>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</si>
  <si>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</si>
  <si>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</si>
  <si>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</si>
  <si>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</si>
  <si>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</si>
  <si>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</si>
  <si>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</si>
  <si>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</si>
  <si>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</si>
  <si>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</si>
  <si>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</si>
  <si>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</si>
  <si>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</si>
  <si>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</si>
  <si>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</si>
  <si>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</si>
  <si>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</si>
  <si>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</si>
  <si>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</si>
  <si>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</si>
  <si>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</si>
  <si>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</si>
  <si>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</si>
  <si>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</si>
  <si>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</si>
  <si>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</si>
  <si>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</si>
  <si>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</si>
  <si>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</si>
  <si>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</si>
  <si>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</si>
  <si>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</si>
  <si>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</si>
  <si>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</si>
  <si>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</si>
  <si>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</si>
  <si>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</si>
  <si>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</si>
  <si>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</si>
  <si>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</si>
  <si>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</si>
  <si>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</si>
  <si>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</si>
  <si>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</si>
  <si>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</si>
  <si>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</si>
  <si>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</si>
  <si>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</si>
  <si>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</si>
  <si>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</si>
  <si>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</si>
  <si>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</si>
  <si>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</si>
  <si>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</si>
  <si>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</si>
  <si>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</si>
  <si>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</si>
  <si>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</si>
  <si>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</si>
  <si>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</si>
  <si>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</si>
  <si>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</si>
  <si>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</si>
  <si>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</si>
  <si>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</si>
  <si>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</si>
  <si>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</si>
  <si>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</si>
  <si>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</si>
  <si>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</si>
  <si>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</si>
  <si>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</si>
  <si>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</si>
  <si>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</si>
  <si>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</si>
  <si>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</si>
  <si>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</si>
  <si>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</si>
  <si>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</si>
  <si>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</si>
  <si>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</si>
  <si>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</si>
  <si>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</si>
  <si>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</si>
  <si>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</si>
  <si>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</si>
  <si>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</si>
  <si>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</si>
  <si>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</si>
  <si>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</si>
  <si>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</si>
  <si>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</si>
  <si>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</si>
  <si>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</si>
  <si>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</si>
  <si>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</si>
  <si>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</si>
  <si>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</si>
  <si>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</si>
  <si>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</si>
  <si>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</si>
  <si>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</si>
  <si>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</si>
  <si>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</si>
  <si>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</si>
  <si>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</si>
  <si>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</si>
  <si>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</si>
  <si>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</si>
  <si>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</si>
  <si>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</si>
  <si>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</si>
  <si>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</si>
  <si>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</si>
  <si>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</si>
  <si>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</si>
  <si>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</si>
  <si>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</si>
  <si>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</si>
  <si>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</si>
  <si>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</si>
  <si>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</si>
  <si>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</si>
  <si>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</si>
  <si>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</si>
  <si>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</si>
  <si>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</si>
  <si>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</si>
  <si>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</si>
  <si>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</si>
  <si>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</si>
  <si>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</si>
  <si>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</si>
  <si>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</si>
  <si>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</si>
  <si>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</si>
  <si>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</si>
  <si>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</si>
  <si>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</si>
  <si>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</si>
  <si>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</si>
  <si>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</si>
  <si>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</si>
  <si>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</si>
  <si>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</si>
  <si>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</si>
  <si>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</si>
  <si>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</si>
  <si>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</si>
  <si>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</si>
  <si>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</si>
  <si>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</si>
  <si>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</si>
  <si>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</si>
  <si>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</si>
  <si>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</si>
  <si>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</si>
  <si>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</si>
  <si>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</si>
  <si>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</si>
  <si>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</si>
  <si>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</si>
  <si>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</si>
  <si>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</si>
  <si>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</si>
  <si>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</si>
  <si>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</si>
  <si>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</si>
  <si>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</si>
  <si>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</si>
  <si>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</si>
  <si>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</si>
  <si>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</si>
  <si>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</si>
  <si>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</si>
  <si>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</si>
  <si>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</si>
  <si>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</si>
  <si>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</si>
  <si>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</si>
  <si>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</si>
  <si>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</si>
  <si>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</si>
  <si>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</si>
  <si>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</si>
  <si>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</si>
  <si>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</si>
  <si>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</si>
  <si>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</si>
  <si>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</si>
  <si>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</si>
  <si>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</si>
  <si>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</si>
  <si>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</si>
  <si>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</si>
  <si>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</si>
  <si>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</si>
  <si>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</si>
  <si>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</si>
  <si>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</si>
  <si>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</si>
  <si>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</si>
  <si>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</si>
  <si>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</si>
  <si>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</si>
  <si>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</si>
  <si>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</si>
  <si>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</si>
  <si>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</si>
  <si>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</si>
  <si>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</si>
  <si>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</si>
  <si>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</si>
  <si>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</si>
  <si>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</si>
  <si>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</si>
  <si>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</si>
  <si>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</si>
  <si>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</si>
  <si>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</si>
  <si>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</si>
  <si>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</si>
  <si>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</si>
  <si>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</si>
  <si>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</si>
  <si>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</si>
  <si>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</si>
  <si>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</si>
  <si>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</si>
  <si>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</si>
  <si>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</si>
  <si>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</si>
  <si>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</si>
  <si>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</si>
  <si>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</si>
  <si>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</si>
  <si>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</si>
  <si>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</si>
  <si>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</si>
  <si>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</si>
  <si>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</si>
  <si>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</si>
  <si>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</si>
  <si>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</si>
  <si>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</si>
  <si>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</si>
  <si>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</si>
  <si>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</si>
  <si>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</si>
  <si>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</si>
  <si>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</si>
  <si>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</si>
  <si>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</si>
  <si>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</si>
  <si>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</si>
  <si>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</si>
  <si>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</si>
  <si>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</si>
  <si>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</si>
  <si>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</si>
  <si>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</si>
  <si>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</si>
  <si>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</si>
  <si>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</si>
  <si>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</si>
  <si>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</si>
  <si>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</si>
  <si>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</si>
  <si>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</si>
  <si>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</si>
  <si>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</si>
  <si>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</si>
  <si>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</si>
  <si>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</si>
  <si>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</si>
  <si>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</si>
  <si>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</si>
  <si>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</si>
  <si>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</si>
  <si>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</si>
  <si>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</si>
  <si>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</si>
  <si>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</si>
  <si>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</si>
  <si>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</si>
  <si>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</si>
  <si>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</si>
  <si>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</si>
  <si>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</si>
  <si>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</si>
  <si>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</si>
  <si>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</si>
  <si>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</si>
  <si>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</si>
  <si>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</si>
  <si>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</si>
  <si>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</si>
  <si>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</si>
  <si>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</si>
  <si>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</si>
  <si>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</si>
  <si>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</si>
  <si>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</si>
  <si>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</si>
  <si>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</si>
  <si>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</si>
  <si>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</si>
  <si>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</si>
  <si>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</si>
  <si>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</si>
  <si>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</si>
  <si>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</si>
  <si>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</si>
  <si>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</si>
  <si>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</si>
  <si>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</si>
  <si>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</si>
  <si>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</si>
  <si>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</si>
  <si>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</si>
  <si>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</si>
  <si>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</si>
  <si>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</si>
  <si>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</si>
  <si>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</si>
  <si>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</si>
  <si>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</si>
  <si>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</si>
  <si>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</si>
  <si>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</si>
  <si>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</si>
  <si>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</si>
  <si>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</si>
  <si>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</si>
  <si>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</si>
  <si>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</si>
  <si>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</si>
  <si>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</si>
  <si>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</si>
  <si>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</si>
  <si>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</si>
  <si>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</si>
  <si>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</si>
  <si>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</si>
  <si>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</si>
  <si>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</si>
  <si>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</si>
  <si>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</si>
  <si>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</si>
  <si>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</si>
  <si>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</si>
  <si>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</si>
  <si>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</si>
  <si>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</si>
  <si>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</si>
  <si>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</si>
  <si>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</si>
  <si>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</si>
  <si>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</si>
  <si>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</si>
  <si>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</si>
  <si>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</si>
  <si>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</si>
  <si>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</si>
  <si>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</si>
  <si>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</si>
  <si>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</si>
  <si>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</si>
  <si>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</si>
  <si>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</si>
  <si>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</si>
  <si>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</si>
  <si>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</si>
  <si>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</si>
  <si>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</si>
  <si>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</si>
  <si>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</si>
  <si>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</si>
  <si>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</si>
  <si>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</si>
  <si>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</si>
  <si>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</si>
  <si>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</si>
  <si>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</si>
  <si>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</si>
  <si>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</si>
  <si>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</si>
  <si>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</si>
  <si>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</si>
  <si>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</si>
  <si>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</si>
  <si>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</si>
  <si>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</si>
  <si>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</si>
  <si>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</si>
  <si>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</si>
  <si>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</si>
  <si>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</si>
  <si>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</si>
  <si>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</si>
  <si>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</si>
  <si>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</si>
  <si>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</si>
  <si>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</si>
  <si>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</si>
  <si>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</si>
  <si>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</si>
  <si>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</si>
  <si>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</si>
  <si>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</si>
  <si>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</si>
  <si>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</si>
  <si>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</si>
  <si>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</si>
  <si>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</si>
  <si>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</si>
  <si>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</si>
  <si>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</si>
  <si>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</si>
  <si>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</si>
  <si>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</si>
  <si>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</si>
  <si>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</si>
  <si>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</si>
  <si>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</si>
  <si>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</si>
  <si>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</si>
  <si>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</si>
  <si>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</si>
  <si>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</si>
  <si>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</si>
  <si>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</si>
  <si>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</si>
  <si>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</si>
  <si>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</si>
  <si>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</si>
  <si>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</si>
  <si>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</si>
  <si>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</si>
  <si>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</si>
  <si>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</si>
  <si>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</si>
  <si>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</si>
  <si>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</si>
  <si>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</si>
  <si>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</si>
  <si>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</si>
  <si>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</si>
  <si>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</si>
  <si>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</si>
  <si>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</si>
  <si>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</si>
  <si>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</si>
  <si>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</si>
  <si>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</si>
  <si>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</si>
  <si>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</si>
  <si>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</si>
  <si>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</si>
  <si>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</si>
  <si>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</si>
  <si>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</si>
  <si>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</si>
  <si>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</si>
  <si>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</si>
  <si>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</si>
  <si>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</si>
  <si>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</si>
  <si>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</si>
  <si>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</si>
  <si>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</si>
  <si>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</si>
  <si>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</si>
  <si>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</si>
  <si>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</si>
  <si>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</si>
  <si>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</si>
  <si>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</si>
  <si>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</si>
  <si>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</si>
  <si>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</si>
  <si>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</si>
  <si>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</si>
  <si>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</si>
  <si>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</si>
  <si>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</si>
  <si>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</si>
  <si>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</si>
  <si>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</si>
  <si>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</si>
  <si>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</si>
  <si>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</si>
  <si>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</si>
  <si>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</si>
  <si>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</si>
  <si>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</si>
  <si>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</si>
  <si>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</si>
  <si>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</si>
  <si>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</si>
  <si>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</si>
  <si>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</si>
  <si>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</si>
  <si>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</si>
  <si>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</si>
  <si>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</si>
  <si>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</si>
  <si>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</si>
  <si>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</si>
  <si>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</si>
  <si>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</si>
  <si>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</si>
  <si>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</si>
  <si>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</si>
  <si>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</si>
  <si>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</si>
  <si>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</si>
  <si>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</si>
  <si>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</si>
  <si>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</si>
  <si>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</si>
  <si>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</si>
  <si>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</si>
  <si>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</si>
  <si>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</si>
  <si>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</si>
  <si>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</si>
  <si>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</si>
  <si>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</si>
  <si>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</si>
  <si>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</si>
  <si>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</si>
  <si>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</si>
  <si>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</si>
  <si>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</si>
  <si>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</si>
  <si>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</si>
  <si>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</si>
  <si>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</si>
  <si>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</si>
  <si>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</si>
  <si>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</si>
  <si>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</si>
  <si>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</si>
  <si>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</si>
  <si>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</si>
  <si>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</si>
  <si>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</si>
  <si>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</si>
  <si>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</si>
  <si>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</si>
  <si>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</si>
  <si>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</si>
  <si>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</si>
  <si>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</si>
  <si>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</si>
  <si>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</si>
  <si>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</si>
  <si>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</si>
  <si>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</si>
  <si>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</si>
  <si>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</si>
  <si>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</si>
  <si>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</si>
  <si>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</si>
  <si>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</si>
  <si>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</si>
  <si>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</si>
  <si>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</si>
  <si>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</si>
  <si>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</si>
  <si>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</si>
  <si>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</si>
  <si>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</si>
  <si>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</si>
  <si>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</si>
  <si>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</si>
  <si>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</si>
  <si>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</si>
  <si>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</si>
  <si>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</si>
  <si>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</si>
  <si>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</si>
  <si>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</si>
  <si>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</si>
  <si>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</si>
  <si>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</si>
  <si>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</si>
  <si>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</si>
  <si>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</si>
  <si>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</si>
  <si>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</si>
  <si>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</si>
  <si>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</si>
  <si>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</si>
  <si>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</si>
  <si>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</si>
  <si>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</si>
  <si>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</si>
  <si>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</si>
  <si>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</si>
  <si>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</si>
  <si>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</si>
  <si>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</si>
  <si>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</si>
  <si>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</si>
  <si>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</si>
  <si>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</si>
  <si>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</si>
  <si>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</si>
  <si>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</si>
  <si>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</si>
  <si>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</si>
  <si>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</si>
  <si>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</si>
  <si>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</si>
  <si>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</si>
  <si>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</si>
  <si>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</si>
  <si>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</si>
  <si>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</si>
  <si>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</si>
  <si>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</si>
  <si>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</si>
  <si>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</si>
  <si>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</si>
  <si>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</si>
  <si>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</si>
  <si>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</si>
  <si>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</si>
  <si>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</si>
  <si>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</si>
  <si>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</si>
  <si>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</si>
  <si>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</si>
  <si>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</si>
  <si>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</si>
  <si>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</si>
  <si>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</si>
  <si>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</si>
  <si>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</si>
  <si>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</si>
  <si>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</si>
  <si>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</si>
  <si>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</si>
  <si>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</si>
  <si>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</si>
  <si>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</si>
  <si>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</si>
  <si>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</si>
  <si>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</si>
  <si>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</si>
  <si>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</si>
  <si>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</si>
  <si>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</si>
  <si>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</si>
  <si>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</si>
  <si>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</si>
  <si>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</si>
  <si>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</si>
  <si>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</si>
  <si>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</si>
  <si>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</si>
  <si>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</si>
  <si>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</si>
  <si>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</si>
  <si>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</si>
  <si>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</si>
  <si>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</si>
  <si>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</si>
  <si>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</si>
  <si>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</si>
  <si>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</si>
  <si>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</si>
  <si>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</si>
  <si>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</si>
  <si>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</si>
  <si>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</si>
  <si>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</si>
  <si>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</si>
  <si>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</si>
  <si>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</si>
  <si>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</si>
  <si>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</si>
  <si>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</si>
  <si>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</si>
  <si>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</si>
  <si>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</si>
  <si>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</si>
  <si>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</si>
  <si>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</si>
  <si>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</si>
  <si>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</si>
  <si>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</si>
  <si>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</si>
  <si>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</si>
  <si>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</si>
  <si>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</si>
  <si>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</si>
  <si>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</si>
  <si>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</si>
  <si>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</si>
  <si>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</si>
  <si>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</si>
  <si>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</si>
  <si>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</si>
  <si>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</si>
  <si>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</si>
  <si>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</si>
  <si>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</si>
  <si>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</si>
  <si>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</si>
  <si>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</si>
  <si>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</si>
  <si>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</si>
  <si>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</si>
  <si>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</si>
  <si>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</si>
  <si>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</si>
  <si>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</si>
  <si>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</si>
  <si>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</si>
  <si>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</si>
  <si>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</si>
  <si>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</si>
  <si>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</si>
  <si>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</si>
  <si>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</si>
  <si>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</si>
  <si>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</si>
  <si>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</si>
  <si>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</si>
  <si>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</si>
  <si>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</si>
  <si>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</si>
  <si>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</si>
  <si>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</si>
  <si>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</si>
  <si>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</si>
  <si>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</si>
  <si>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</si>
  <si>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</si>
  <si>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</si>
  <si>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</si>
  <si>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</si>
  <si>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</si>
  <si>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</si>
  <si>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</si>
  <si>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</si>
  <si>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</si>
  <si>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</si>
  <si>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</si>
  <si>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</si>
  <si>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</si>
  <si>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</si>
  <si>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</si>
  <si>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</si>
  <si>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</si>
  <si>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</si>
  <si>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</si>
  <si>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</si>
  <si>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</si>
  <si>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</si>
  <si>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</si>
  <si>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</si>
  <si>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</si>
  <si>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</si>
  <si>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</si>
  <si>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</si>
  <si>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</si>
  <si>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</si>
  <si>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</si>
  <si>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</si>
  <si>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</si>
  <si>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</si>
  <si>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</si>
  <si>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</si>
  <si>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</si>
  <si>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</si>
  <si>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</si>
  <si>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</si>
  <si>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</si>
  <si>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</si>
  <si>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</si>
  <si>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</si>
  <si>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</si>
  <si>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</si>
  <si>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</si>
  <si>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</si>
  <si>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</si>
  <si>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</si>
  <si>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</si>
  <si>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</si>
  <si>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</si>
  <si>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</si>
  <si>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</si>
  <si>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</si>
  <si>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</si>
  <si>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</si>
  <si>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</si>
  <si>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</si>
  <si>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</si>
  <si>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</si>
  <si>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</si>
  <si>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</si>
  <si>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</si>
  <si>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</si>
  <si>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</si>
  <si>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</si>
  <si>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</si>
  <si>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</si>
  <si>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</si>
  <si>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</si>
  <si>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</si>
  <si>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</si>
  <si>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</si>
  <si>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</si>
  <si>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</si>
  <si>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</si>
  <si>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</si>
  <si>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</si>
  <si>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</si>
  <si>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</si>
  <si>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</si>
  <si>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</si>
  <si>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</si>
  <si>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</si>
  <si>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</si>
  <si>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</si>
  <si>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</si>
  <si>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</si>
  <si>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</si>
  <si>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</si>
  <si>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</si>
  <si>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</si>
  <si>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</si>
  <si>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</si>
  <si>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</si>
  <si>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</si>
  <si>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</si>
  <si>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</si>
  <si>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</si>
  <si>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</si>
  <si>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</si>
  <si>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</si>
  <si>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</si>
  <si>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</si>
  <si>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</si>
  <si>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</si>
  <si>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</si>
  <si>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</si>
  <si>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</si>
  <si>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</si>
  <si>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</si>
  <si>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</si>
  <si>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</si>
  <si>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</si>
  <si>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</si>
  <si>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</si>
  <si>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</si>
  <si>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</si>
  <si>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</si>
  <si>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</si>
  <si>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</si>
  <si>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</si>
  <si>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</si>
  <si>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</si>
  <si>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</si>
  <si>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</si>
  <si>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</si>
  <si>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</si>
  <si>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</si>
  <si>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</si>
  <si>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</si>
  <si>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</si>
  <si>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</si>
  <si>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</si>
  <si>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</si>
  <si>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</si>
  <si>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</si>
  <si>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</si>
  <si>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</si>
  <si>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</si>
  <si>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</si>
  <si>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</si>
  <si>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</si>
  <si>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</si>
  <si>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</si>
  <si>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</si>
  <si>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</si>
  <si>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</si>
  <si>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</si>
  <si>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</si>
  <si>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</si>
  <si>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</si>
  <si>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</si>
  <si>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</si>
  <si>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</si>
  <si>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</si>
  <si>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</si>
  <si>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</si>
  <si>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</si>
  <si>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</si>
  <si>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</si>
  <si>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</si>
  <si>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</si>
  <si>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</si>
  <si>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</si>
  <si>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</si>
  <si>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</si>
  <si>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</si>
  <si>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</si>
  <si>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</si>
  <si>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</si>
  <si>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</si>
  <si>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</si>
  <si>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</si>
  <si>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</si>
  <si>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</si>
  <si>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</si>
  <si>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</si>
  <si>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</si>
  <si>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</si>
  <si>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</si>
  <si>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</si>
  <si>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</si>
  <si>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</si>
  <si>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</si>
  <si>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</si>
  <si>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</si>
  <si>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</si>
  <si>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</si>
  <si>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</si>
  <si>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</si>
  <si>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</si>
  <si>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</si>
  <si>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</si>
  <si>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</si>
  <si>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</si>
  <si>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</si>
  <si>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</si>
  <si>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</si>
  <si>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</si>
  <si>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</si>
  <si>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</si>
  <si>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</si>
  <si>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</si>
  <si>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</si>
  <si>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</si>
  <si>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</si>
  <si>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</si>
  <si>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</si>
  <si>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</si>
  <si>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</si>
  <si>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</si>
  <si>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</si>
  <si>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</si>
  <si>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</si>
  <si>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</si>
  <si>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</si>
  <si>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</si>
  <si>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</si>
  <si>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</si>
  <si>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</si>
  <si>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</si>
  <si>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</si>
  <si>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</si>
  <si>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</si>
  <si>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</si>
  <si>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</si>
  <si>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</si>
  <si>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</si>
  <si>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</si>
  <si>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</si>
  <si>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</si>
  <si>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</si>
  <si>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</si>
  <si>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</si>
  <si>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</si>
  <si>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</si>
  <si>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</si>
  <si>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</si>
  <si>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</si>
  <si>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</si>
  <si>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</si>
  <si>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</si>
  <si>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</si>
  <si>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</si>
  <si>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</si>
  <si>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</si>
  <si>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</si>
  <si>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</si>
  <si>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</si>
  <si>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</si>
  <si>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</si>
  <si>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</si>
  <si>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</si>
  <si>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</si>
  <si>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</si>
  <si>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</si>
  <si>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</si>
  <si>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</si>
  <si>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</si>
  <si>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</si>
  <si>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</si>
  <si>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</si>
  <si>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</si>
  <si>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</si>
  <si>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</si>
  <si>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</si>
  <si>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</si>
  <si>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</si>
  <si>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</si>
  <si>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</si>
  <si>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</si>
  <si>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</si>
  <si>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</si>
  <si>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</si>
  <si>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</si>
  <si>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</si>
  <si>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</si>
  <si>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</si>
  <si>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</si>
  <si>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</si>
  <si>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</si>
  <si>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</si>
  <si>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</si>
  <si>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</si>
  <si>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</si>
  <si>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</si>
  <si>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</si>
  <si>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</si>
  <si>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</si>
  <si>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</si>
  <si>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</si>
  <si>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</si>
  <si>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</si>
  <si>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</si>
  <si>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</si>
  <si>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</si>
  <si>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</si>
  <si>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</si>
  <si>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</si>
  <si>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</si>
  <si>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</si>
  <si>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</si>
  <si>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</si>
  <si>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</si>
  <si>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</si>
  <si>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</si>
  <si>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</si>
  <si>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</si>
  <si>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</si>
  <si>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</si>
  <si>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</si>
  <si>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</si>
  <si>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</si>
  <si>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</si>
  <si>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</si>
  <si>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</si>
  <si>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</si>
  <si>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</si>
  <si>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</si>
  <si>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</si>
  <si>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</si>
  <si>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</si>
  <si>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</si>
  <si>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</si>
  <si>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</si>
  <si>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</si>
  <si>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</si>
  <si>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</si>
  <si>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</si>
  <si>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</si>
  <si>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</si>
  <si>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</si>
  <si>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</si>
  <si>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</si>
  <si>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</si>
  <si>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</si>
  <si>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</si>
  <si>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</si>
  <si>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</si>
  <si>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</si>
  <si>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</si>
  <si>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</si>
  <si>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</si>
  <si>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</si>
  <si>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</si>
  <si>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</si>
  <si>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</si>
  <si>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</si>
  <si>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</si>
  <si>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</si>
  <si>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</si>
  <si>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</si>
  <si>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</si>
  <si>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</si>
  <si>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</si>
  <si>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</si>
  <si>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</si>
  <si>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</si>
  <si>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</si>
  <si>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</si>
  <si>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</si>
  <si>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</si>
  <si>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</si>
  <si>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</si>
  <si>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</si>
  <si>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</si>
  <si>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</si>
  <si>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</si>
  <si>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</si>
  <si>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</si>
  <si>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</si>
  <si>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</si>
  <si>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</si>
  <si>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</si>
  <si>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</si>
  <si>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</si>
  <si>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</si>
  <si>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</si>
  <si>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</si>
  <si>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</si>
  <si>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</si>
  <si>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</si>
  <si>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</si>
  <si>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</si>
  <si>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</si>
  <si>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</si>
  <si>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</si>
  <si>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</si>
  <si>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</si>
  <si>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</si>
  <si>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</si>
  <si>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</si>
  <si>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</si>
  <si>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</si>
  <si>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</si>
  <si>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</si>
  <si>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</si>
  <si>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</si>
  <si>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</si>
  <si>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</si>
  <si>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</si>
  <si>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</si>
  <si>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</si>
  <si>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</si>
  <si>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</si>
  <si>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</si>
  <si>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</si>
  <si>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</si>
  <si>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</si>
  <si>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</si>
  <si>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</si>
  <si>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</si>
  <si>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</si>
  <si>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</si>
  <si>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</si>
  <si>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</si>
  <si>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</si>
  <si>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</si>
  <si>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</si>
  <si>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</si>
  <si>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</si>
  <si>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</si>
  <si>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</si>
  <si>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</si>
  <si>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</si>
  <si>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</si>
  <si>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</si>
  <si>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</si>
  <si>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</si>
  <si>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</si>
  <si>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</si>
  <si>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</si>
  <si>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</si>
  <si>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</si>
  <si>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</si>
  <si>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</si>
  <si>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</si>
  <si>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</si>
  <si>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</si>
  <si>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</si>
  <si>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</si>
  <si>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</si>
  <si>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</si>
  <si>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</si>
  <si>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</si>
  <si>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</si>
  <si>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</si>
  <si>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</si>
  <si>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</si>
  <si>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</si>
  <si>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</si>
  <si>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</si>
  <si>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</si>
  <si>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</si>
  <si>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</si>
  <si>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</si>
  <si>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</si>
  <si>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</si>
  <si>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</si>
  <si>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</si>
  <si>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</si>
  <si>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</si>
  <si>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</si>
  <si>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</si>
  <si>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</si>
  <si>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</si>
  <si>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</si>
  <si>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</si>
  <si>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</si>
  <si>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</si>
  <si>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</si>
  <si>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</si>
  <si>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</si>
  <si>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</si>
  <si>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</si>
  <si>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</si>
  <si>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</si>
  <si>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</si>
  <si>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</si>
  <si>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</si>
  <si>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</si>
  <si>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</si>
  <si>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</si>
  <si>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</si>
  <si>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</si>
  <si>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</si>
  <si>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</si>
  <si>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</si>
  <si>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</si>
  <si>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</si>
  <si>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</si>
  <si>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</si>
  <si>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</si>
  <si>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</si>
  <si>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</si>
  <si>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</si>
  <si>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</si>
  <si>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</si>
  <si>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</si>
  <si>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</si>
  <si>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</si>
  <si>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</si>
  <si>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</si>
  <si>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</si>
  <si>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</si>
  <si>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</si>
  <si>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</si>
  <si>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</si>
  <si>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</si>
  <si>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</si>
  <si>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</si>
  <si>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</si>
  <si>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</si>
  <si>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</si>
  <si>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</si>
  <si>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</si>
  <si>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</si>
  <si>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</si>
  <si>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</si>
  <si>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</si>
  <si>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</si>
  <si>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</si>
  <si>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</si>
  <si>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</si>
  <si>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</si>
  <si>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</si>
  <si>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</si>
  <si>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</si>
  <si>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</si>
  <si>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</si>
  <si>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</si>
  <si>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</si>
  <si>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</si>
  <si>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</si>
  <si>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</si>
  <si>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</si>
  <si>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</si>
  <si>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</si>
  <si>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</si>
  <si>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</si>
  <si>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</si>
  <si>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</si>
  <si>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</si>
  <si>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</si>
  <si>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</si>
  <si>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</si>
  <si>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</si>
  <si>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</si>
  <si>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</si>
  <si>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</si>
  <si>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</si>
  <si>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</si>
  <si>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</si>
  <si>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</si>
  <si>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</si>
  <si>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</si>
  <si>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</si>
  <si>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</si>
  <si>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</si>
  <si>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</si>
  <si>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</si>
  <si>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</si>
  <si>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</si>
  <si>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</si>
  <si>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</si>
  <si>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</si>
  <si>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</si>
  <si>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</si>
  <si>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</si>
  <si>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</si>
  <si>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</si>
  <si>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</si>
  <si>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</si>
  <si>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</si>
  <si>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</si>
  <si>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</si>
  <si>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</si>
  <si>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</si>
  <si>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</si>
  <si>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</si>
  <si>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</si>
  <si>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</si>
  <si>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</si>
  <si>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</si>
  <si>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</si>
  <si>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</si>
  <si>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</si>
  <si>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</si>
  <si>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</si>
  <si>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</si>
  <si>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</si>
  <si>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</si>
  <si>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</si>
  <si>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</si>
  <si>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</si>
  <si>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</si>
  <si>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</si>
  <si>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</si>
  <si>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</si>
  <si>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</si>
  <si>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</si>
  <si>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</si>
  <si>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</si>
  <si>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</si>
  <si>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</si>
  <si>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</si>
  <si>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</si>
  <si>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</si>
  <si>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</si>
  <si>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</si>
  <si>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</si>
  <si>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</si>
  <si>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</si>
  <si>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</si>
  <si>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</si>
  <si>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</si>
  <si>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</si>
  <si>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</si>
  <si>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</si>
  <si>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</si>
  <si>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</si>
  <si>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</si>
  <si>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</si>
  <si>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</si>
  <si>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</si>
  <si>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</si>
  <si>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</si>
  <si>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</si>
  <si>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</si>
  <si>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</si>
  <si>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</si>
  <si>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</si>
  <si>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</si>
  <si>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</si>
  <si>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</si>
  <si>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</si>
  <si>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</si>
  <si>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</si>
  <si>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</si>
  <si>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</si>
  <si>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</si>
  <si>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</si>
  <si>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</si>
  <si>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</si>
  <si>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</si>
  <si>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</si>
  <si>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</si>
  <si>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</si>
  <si>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</si>
  <si>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</si>
  <si>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</si>
  <si>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</si>
  <si>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</si>
  <si>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</si>
  <si>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</si>
  <si>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</si>
  <si>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</si>
  <si>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</si>
  <si>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</si>
  <si>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</si>
  <si>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</si>
  <si>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</si>
  <si>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</si>
  <si>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</si>
  <si>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</si>
  <si>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</si>
  <si>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</si>
  <si>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</si>
  <si>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</si>
  <si>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</si>
  <si>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</si>
  <si>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</si>
  <si>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</si>
  <si>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</si>
  <si>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</si>
  <si>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</si>
  <si>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</si>
  <si>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</si>
  <si>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</si>
  <si>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</si>
  <si>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</si>
  <si>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</si>
  <si>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</si>
  <si>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</si>
  <si>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</si>
  <si>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</si>
  <si>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</si>
  <si>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</si>
  <si>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</si>
  <si>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</si>
  <si>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</si>
  <si>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</si>
  <si>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</si>
  <si>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</si>
  <si>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</si>
  <si>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</si>
  <si>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</si>
  <si>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</si>
  <si>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</si>
  <si>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</si>
  <si>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</si>
  <si>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</si>
  <si>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</si>
  <si>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</si>
  <si>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</si>
  <si>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</si>
  <si>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</si>
  <si>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</si>
  <si>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</si>
  <si>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</si>
  <si>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</si>
  <si>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</si>
  <si>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</si>
  <si>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</si>
  <si>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</si>
  <si>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</si>
  <si>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</si>
  <si>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</si>
  <si>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</si>
  <si>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</si>
  <si>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</si>
  <si>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</si>
  <si>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</si>
  <si>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</si>
  <si>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</si>
  <si>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</si>
  <si>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</si>
  <si>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</si>
  <si>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</si>
  <si>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</si>
  <si>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</si>
  <si>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</si>
  <si>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</si>
  <si>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</si>
  <si>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</si>
  <si>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</si>
  <si>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</si>
  <si>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</si>
  <si>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</si>
  <si>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</si>
  <si>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</si>
  <si>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</si>
  <si>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</si>
  <si>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</si>
  <si>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</si>
  <si>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</si>
  <si>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</si>
  <si>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</si>
  <si>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</si>
  <si>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</si>
  <si>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</si>
  <si>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</si>
  <si>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</si>
  <si>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</si>
  <si>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</si>
  <si>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</si>
  <si>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</si>
  <si>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</si>
  <si>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</si>
  <si>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</si>
  <si>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</si>
  <si>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</si>
  <si>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</si>
  <si>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</si>
  <si>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</si>
  <si>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</si>
  <si>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</si>
  <si>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</si>
  <si>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</si>
  <si>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</si>
  <si>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</si>
  <si>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</si>
  <si>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</si>
  <si>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</si>
  <si>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</si>
  <si>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</si>
  <si>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</si>
  <si>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</si>
  <si>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</si>
  <si>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</si>
  <si>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</si>
  <si>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</si>
  <si>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</si>
  <si>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</si>
  <si>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</si>
  <si>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</si>
  <si>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</si>
  <si>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</si>
  <si>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</si>
  <si>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</si>
  <si>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</si>
  <si>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</si>
  <si>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</si>
  <si>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</si>
  <si>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</si>
  <si>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</si>
  <si>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</si>
  <si>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</si>
  <si>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</si>
  <si>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</si>
  <si>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</si>
  <si>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</si>
  <si>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</si>
  <si>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</si>
  <si>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</si>
  <si>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</si>
  <si>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</si>
  <si>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</si>
  <si>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</si>
  <si>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</si>
  <si>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</si>
  <si>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</si>
  <si>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</si>
  <si>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</si>
  <si>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</si>
  <si>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</si>
  <si>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</si>
  <si>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</si>
  <si>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</si>
  <si>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</si>
  <si>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</si>
  <si>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</si>
  <si>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</si>
  <si>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</si>
  <si>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</si>
  <si>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</si>
  <si>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</si>
  <si>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</si>
  <si>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</si>
  <si>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</si>
  <si>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</si>
  <si>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</si>
  <si>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</si>
  <si>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</si>
  <si>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</si>
  <si>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</si>
  <si>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</si>
  <si>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</si>
  <si>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</si>
  <si>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</si>
  <si>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</si>
  <si>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</si>
  <si>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</si>
  <si>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</si>
  <si>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</si>
  <si>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</si>
  <si>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</si>
  <si>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</si>
  <si>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</si>
  <si>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</si>
  <si>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</si>
  <si>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</si>
  <si>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</si>
  <si>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</si>
  <si>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</si>
  <si>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</si>
  <si>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</si>
  <si>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</si>
  <si>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</si>
  <si>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</si>
  <si>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</si>
  <si>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</si>
  <si>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</si>
  <si>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</si>
  <si>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</si>
  <si>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</si>
  <si>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</si>
  <si>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</si>
  <si>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</si>
  <si>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</si>
  <si>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</si>
  <si>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</si>
  <si>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</si>
  <si>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</si>
  <si>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</si>
  <si>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</si>
  <si>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</si>
  <si>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</si>
  <si>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</si>
  <si>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</si>
  <si>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</si>
  <si>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</si>
  <si>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</si>
  <si>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</si>
  <si>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</si>
  <si>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</si>
  <si>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</si>
  <si>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</si>
  <si>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</si>
  <si>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</si>
  <si>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</si>
  <si>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</si>
  <si>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</si>
  <si>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</si>
  <si>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</si>
  <si>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</si>
  <si>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</si>
  <si>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</si>
  <si>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</si>
  <si>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</si>
  <si>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</si>
  <si>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</si>
  <si>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</si>
  <si>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</si>
  <si>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</si>
  <si>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</si>
  <si>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</si>
  <si>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</si>
  <si>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</si>
  <si>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</si>
  <si>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</si>
  <si>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</si>
  <si>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</si>
  <si>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</si>
  <si>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</si>
  <si>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</si>
  <si>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</si>
  <si>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</si>
  <si>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</si>
  <si>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</si>
  <si>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</si>
  <si>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</si>
  <si>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</si>
  <si>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</si>
  <si>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</si>
  <si>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</si>
  <si>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</si>
  <si>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</si>
  <si>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</si>
  <si>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</si>
  <si>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</si>
  <si>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</si>
  <si>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</si>
  <si>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</si>
  <si>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</si>
  <si>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</si>
  <si>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</si>
  <si>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</si>
  <si>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</si>
  <si>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</si>
  <si>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</si>
  <si>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</si>
  <si>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</si>
  <si>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</si>
  <si>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</si>
  <si>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</si>
  <si>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</si>
  <si>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</si>
  <si>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</si>
  <si>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</si>
  <si>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</si>
  <si>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</si>
  <si>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</si>
  <si>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</si>
  <si>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</si>
  <si>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</si>
  <si>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</si>
  <si>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</si>
  <si>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</si>
  <si>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</si>
  <si>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</si>
  <si>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</si>
  <si>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</si>
  <si>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</si>
  <si>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</si>
  <si>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</si>
  <si>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</si>
  <si>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</si>
  <si>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</si>
  <si>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</si>
  <si>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</si>
  <si>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</si>
  <si>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</si>
  <si>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</si>
  <si>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</si>
  <si>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</si>
  <si>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</si>
  <si>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</si>
  <si>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</si>
  <si>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</si>
  <si>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</si>
  <si>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</si>
  <si>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</si>
  <si>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</si>
  <si>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</si>
  <si>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</si>
  <si>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</si>
  <si>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</si>
  <si>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</si>
  <si>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</si>
  <si>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</si>
  <si>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</si>
  <si>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</si>
  <si>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</si>
  <si>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</si>
  <si>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</si>
  <si>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</si>
  <si>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</si>
  <si>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</si>
  <si>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</si>
  <si>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</si>
  <si>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</si>
  <si>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</si>
  <si>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</si>
  <si>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</si>
  <si>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</si>
  <si>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</si>
  <si>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</si>
  <si>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</si>
  <si>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</si>
  <si>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</si>
  <si>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</si>
  <si>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</si>
  <si>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</si>
  <si>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</si>
  <si>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</si>
  <si>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</si>
  <si>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</si>
  <si>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</si>
  <si>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</si>
  <si>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</si>
  <si>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</si>
  <si>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</si>
  <si>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</si>
  <si>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</si>
  <si>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</si>
  <si>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</si>
  <si>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</si>
  <si>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</si>
  <si>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</si>
  <si>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</si>
  <si>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</si>
  <si>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</si>
  <si>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</si>
  <si>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</si>
  <si>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</si>
  <si>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</si>
  <si>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</si>
  <si>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</si>
  <si>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</si>
  <si>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</si>
  <si>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</si>
  <si>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</si>
  <si>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</si>
  <si>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</si>
  <si>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</si>
  <si>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</si>
  <si>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</si>
  <si>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</si>
  <si>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</si>
  <si>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</si>
  <si>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</si>
  <si>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</si>
  <si>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</si>
  <si>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</si>
  <si>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</si>
  <si>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</si>
  <si>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</si>
  <si>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</si>
  <si>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</si>
  <si>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</si>
  <si>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</si>
  <si>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</si>
  <si>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</si>
  <si>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</si>
  <si>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</si>
  <si>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</si>
  <si>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</si>
  <si>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</si>
  <si>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</si>
  <si>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</si>
  <si>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</si>
  <si>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</si>
  <si>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</si>
  <si>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</si>
  <si>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</si>
  <si>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</si>
  <si>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</si>
  <si>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</si>
  <si>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</si>
  <si>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</si>
  <si>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</si>
  <si>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</si>
  <si>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</si>
  <si>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</si>
  <si>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</si>
  <si>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</si>
  <si>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</si>
  <si>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</si>
  <si>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</si>
  <si>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</si>
  <si>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</si>
  <si>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</si>
  <si>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</si>
  <si>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</si>
  <si>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</si>
  <si>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</si>
  <si>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</si>
  <si>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</si>
  <si>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</si>
  <si>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</si>
  <si>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</si>
  <si>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</si>
  <si>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</si>
  <si>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</si>
  <si>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</si>
  <si>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</si>
  <si>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</si>
  <si>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</si>
  <si>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</si>
  <si>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</si>
  <si>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</si>
  <si>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</si>
  <si>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</si>
  <si>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</si>
  <si>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</si>
  <si>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</si>
  <si>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</si>
  <si>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</si>
  <si>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</si>
  <si>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</si>
  <si>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</si>
  <si>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</si>
  <si>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</si>
  <si>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</si>
  <si>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</si>
  <si>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</si>
  <si>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</si>
  <si>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</si>
  <si>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</si>
  <si>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</si>
  <si>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</si>
  <si>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</si>
  <si>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</si>
  <si>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</si>
  <si>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</si>
  <si>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</si>
  <si>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</si>
  <si>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</si>
  <si>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</si>
  <si>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</si>
  <si>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</si>
  <si>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</si>
  <si>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</si>
  <si>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</si>
  <si>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</si>
  <si>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</si>
  <si>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</si>
  <si>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</si>
  <si>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</si>
  <si>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</si>
  <si>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</si>
  <si>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</si>
  <si>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</si>
  <si>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</si>
  <si>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</si>
  <si>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</si>
  <si>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</si>
  <si>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</si>
  <si>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</si>
  <si>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</si>
  <si>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</si>
  <si>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</si>
  <si>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</si>
  <si>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</si>
  <si>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</si>
  <si>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</si>
  <si>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</si>
  <si>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</si>
  <si>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</si>
  <si>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</si>
  <si>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</si>
  <si>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</si>
  <si>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</si>
  <si>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</si>
  <si>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</si>
  <si>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</si>
  <si>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</si>
  <si>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</si>
  <si>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</si>
  <si>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</si>
  <si>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</si>
  <si>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</si>
  <si>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</si>
  <si>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</si>
  <si>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</si>
  <si>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</si>
  <si>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</si>
  <si>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</si>
  <si>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</si>
  <si>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</si>
  <si>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</si>
  <si>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</si>
  <si>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</si>
  <si>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</si>
  <si>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</si>
  <si>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</si>
  <si>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</si>
  <si>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</si>
  <si>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</si>
  <si>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</si>
  <si>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</si>
  <si>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</si>
  <si>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</si>
  <si>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</si>
  <si>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</si>
  <si>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</si>
  <si>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</si>
  <si>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</si>
  <si>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</si>
  <si>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</si>
  <si>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</si>
  <si>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</si>
  <si>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</si>
  <si>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</si>
  <si>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</si>
  <si>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</si>
  <si>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</si>
  <si>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</si>
  <si>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</si>
  <si>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</si>
  <si>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</si>
  <si>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</si>
  <si>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</si>
  <si>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</si>
  <si>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</si>
  <si>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</si>
  <si>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</si>
  <si>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</si>
  <si>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</si>
  <si>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</si>
  <si>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</si>
  <si>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</si>
  <si>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</si>
  <si>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</si>
  <si>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</si>
  <si>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</si>
  <si>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</si>
  <si>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</si>
  <si>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</si>
  <si>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</si>
  <si>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</si>
  <si>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</si>
  <si>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</si>
  <si>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</si>
  <si>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</si>
  <si>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</si>
  <si>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</si>
  <si>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</si>
  <si>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</si>
  <si>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</si>
  <si>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</si>
  <si>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</si>
  <si>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</si>
  <si>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</si>
  <si>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</si>
  <si>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</si>
  <si>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</si>
  <si>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</si>
  <si>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</si>
  <si>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</si>
  <si>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</si>
  <si>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</si>
  <si>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</si>
  <si>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</si>
  <si>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</si>
  <si>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</si>
  <si>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</si>
  <si>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</si>
  <si>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</si>
  <si>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</si>
  <si>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</si>
  <si>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</si>
  <si>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</si>
  <si>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</si>
  <si>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</si>
  <si>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</si>
  <si>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</si>
  <si>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</si>
  <si>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</si>
  <si>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</si>
  <si>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</si>
  <si>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</si>
  <si>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</si>
  <si>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</si>
  <si>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</si>
  <si>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</si>
  <si>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</si>
  <si>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</si>
  <si>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</si>
  <si>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</si>
  <si>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</si>
  <si>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</si>
  <si>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</si>
  <si>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</si>
  <si>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</si>
  <si>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</si>
  <si>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</si>
  <si>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</si>
  <si>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</si>
  <si>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</si>
  <si>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</si>
  <si>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</si>
  <si>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</si>
  <si>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</si>
  <si>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</si>
  <si>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</si>
  <si>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</si>
  <si>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</si>
  <si>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</si>
  <si>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</si>
  <si>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</si>
  <si>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</si>
  <si>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</si>
  <si>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</si>
  <si>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</si>
  <si>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</si>
  <si>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</si>
  <si>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</si>
  <si>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</si>
  <si>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</si>
  <si>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</si>
  <si>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</si>
  <si>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</si>
  <si>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</si>
  <si>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</si>
  <si>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</si>
  <si>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</si>
  <si>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</si>
  <si>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</si>
  <si>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</si>
  <si>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</si>
  <si>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</si>
  <si>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</si>
  <si>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</si>
  <si>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</si>
  <si>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</si>
  <si>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</si>
  <si>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</si>
  <si>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</si>
  <si>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</si>
  <si>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</si>
  <si>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</si>
  <si>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</si>
  <si>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</si>
  <si>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</si>
  <si>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</si>
  <si>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</si>
  <si>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</si>
  <si>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</si>
  <si>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</si>
  <si>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</si>
  <si>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</si>
  <si>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</si>
  <si>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</si>
  <si>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</si>
  <si>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</si>
  <si>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</si>
  <si>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</si>
  <si>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</si>
  <si>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</si>
  <si>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</si>
  <si>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</si>
  <si>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</si>
  <si>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</si>
  <si>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</si>
  <si>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</si>
  <si>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</si>
  <si>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</si>
  <si>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</si>
  <si>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</si>
  <si>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</si>
  <si>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</si>
  <si>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</si>
  <si>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</si>
  <si>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</si>
  <si>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</si>
  <si>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</si>
  <si>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</si>
  <si>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</si>
  <si>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</si>
  <si>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</si>
  <si>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</si>
  <si>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</si>
  <si>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</si>
  <si>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</si>
  <si>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</si>
  <si>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</si>
  <si>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</si>
  <si>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</si>
  <si>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</si>
  <si>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</si>
  <si>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</si>
  <si>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</si>
  <si>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</si>
  <si>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</si>
  <si>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</si>
  <si>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</si>
  <si>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</si>
  <si>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</si>
  <si>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</si>
  <si>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</si>
  <si>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</si>
  <si>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</si>
  <si>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</si>
  <si>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</si>
  <si>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</si>
  <si>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</si>
  <si>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</si>
  <si>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</si>
  <si>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</si>
  <si>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</si>
  <si>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</si>
  <si>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</si>
  <si>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</si>
  <si>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</si>
  <si>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</si>
  <si>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</si>
  <si>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</si>
  <si>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</si>
  <si>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</si>
  <si>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</si>
  <si>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</si>
  <si>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</si>
  <si>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</si>
  <si>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</si>
  <si>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</si>
  <si>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</si>
  <si>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</si>
  <si>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</si>
  <si>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</si>
  <si>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</si>
  <si>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</si>
  <si>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</si>
  <si>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</si>
  <si>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</si>
  <si>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</si>
  <si>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</si>
  <si>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</si>
  <si>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</si>
  <si>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</si>
  <si>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</si>
  <si>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</si>
  <si>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</si>
  <si>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</si>
  <si>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</si>
  <si>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</si>
  <si>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</si>
  <si>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</si>
  <si>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</si>
  <si>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</si>
  <si>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</si>
  <si>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</si>
  <si>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</si>
  <si>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</si>
  <si>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</si>
  <si>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</si>
  <si>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</si>
  <si>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</si>
  <si>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</si>
  <si>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</si>
  <si>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</si>
  <si>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</si>
  <si>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</si>
  <si>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</si>
  <si>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</si>
  <si>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</si>
  <si>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</si>
  <si>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</si>
  <si>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</si>
  <si>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</si>
  <si>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</si>
  <si>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</si>
  <si>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</si>
  <si>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</si>
  <si>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</si>
  <si>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</si>
  <si>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</si>
  <si>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</si>
  <si>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</si>
  <si>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</si>
  <si>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</si>
  <si>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</si>
  <si>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</si>
  <si>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</si>
  <si>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</si>
  <si>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</si>
  <si>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</si>
  <si>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</si>
  <si>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</si>
  <si>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</si>
  <si>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</si>
  <si>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</si>
  <si>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</si>
  <si>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</si>
  <si>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</si>
  <si>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</si>
  <si>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</si>
  <si>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</si>
  <si>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</si>
  <si>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</si>
  <si>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</si>
  <si>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</si>
  <si>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</si>
  <si>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</si>
  <si>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</si>
  <si>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</si>
  <si>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</si>
  <si>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</si>
  <si>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</si>
  <si>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</si>
  <si>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</si>
  <si>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</si>
  <si>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</si>
  <si>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</si>
  <si>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</si>
  <si>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</si>
  <si>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</si>
  <si>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</si>
  <si>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</si>
  <si>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</si>
  <si>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</si>
  <si>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</si>
  <si>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</si>
  <si>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</si>
  <si>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</si>
  <si>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</si>
  <si>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</si>
  <si>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</si>
  <si>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</si>
  <si>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</si>
  <si>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</si>
  <si>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</si>
  <si>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</si>
  <si>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</si>
  <si>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</si>
  <si>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</si>
  <si>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</si>
  <si>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</si>
  <si>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</si>
  <si>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</si>
  <si>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</si>
  <si>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</si>
  <si>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</si>
  <si>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</si>
  <si>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</si>
  <si>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</si>
  <si>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</si>
  <si>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</si>
  <si>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</si>
  <si>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</si>
  <si>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</si>
  <si>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</si>
  <si>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</si>
  <si>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</si>
  <si>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</si>
  <si>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</si>
  <si>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</si>
  <si>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</si>
  <si>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</si>
  <si>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</si>
  <si>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</si>
  <si>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</si>
  <si>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</si>
  <si>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</si>
  <si>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</si>
  <si>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</si>
  <si>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</si>
  <si>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</si>
  <si>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</si>
  <si>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</si>
  <si>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</si>
  <si>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</si>
  <si>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</si>
  <si>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</si>
  <si>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</si>
  <si>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</si>
  <si>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</si>
  <si>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</si>
  <si>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</si>
  <si>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</si>
  <si>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</si>
  <si>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</si>
  <si>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</si>
  <si>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</si>
  <si>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</si>
  <si>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</si>
  <si>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</si>
  <si>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</si>
  <si>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</si>
  <si>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</si>
  <si>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</si>
  <si>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</si>
  <si>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</si>
  <si>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</si>
  <si>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</si>
  <si>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</si>
  <si>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</si>
  <si>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</si>
  <si>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</si>
  <si>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</si>
  <si>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</si>
  <si>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</si>
  <si>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</si>
  <si>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</si>
  <si>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</si>
  <si>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</si>
  <si>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</si>
  <si>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</si>
  <si>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</si>
  <si>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</si>
  <si>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</si>
  <si>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</si>
  <si>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</si>
  <si>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</si>
  <si>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</si>
  <si>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</si>
  <si>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</si>
  <si>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</si>
  <si>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</si>
  <si>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</si>
  <si>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</si>
  <si>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</si>
  <si>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</si>
  <si>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</si>
  <si>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</si>
  <si>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</si>
  <si>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</si>
  <si>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</si>
  <si>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</si>
  <si>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</si>
  <si>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</si>
  <si>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</si>
  <si>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</si>
  <si>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</si>
  <si>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</si>
  <si>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</si>
  <si>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</si>
  <si>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</si>
  <si>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</si>
  <si>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</si>
  <si>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</si>
  <si>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</si>
  <si>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</si>
  <si>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</si>
  <si>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</si>
  <si>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</si>
  <si>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</si>
  <si>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</si>
  <si>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</si>
  <si>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</si>
  <si>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</si>
  <si>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</si>
  <si>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</si>
  <si>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</si>
  <si>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</si>
  <si>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</si>
  <si>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</si>
  <si>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</si>
  <si>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</si>
  <si>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</si>
  <si>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</si>
  <si>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</si>
  <si>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</si>
  <si>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</si>
  <si>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</si>
  <si>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</si>
  <si>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</si>
  <si>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</si>
  <si>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</si>
  <si>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</si>
  <si>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</si>
  <si>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</si>
  <si>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</si>
  <si>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</si>
  <si>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</si>
  <si>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</si>
  <si>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</si>
  <si>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</si>
  <si>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</si>
  <si>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</si>
  <si>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</si>
  <si>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</si>
  <si>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</si>
  <si>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</si>
  <si>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</si>
  <si>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</si>
  <si>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</si>
  <si>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</si>
  <si>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</si>
  <si>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</si>
  <si>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</si>
  <si>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</si>
  <si>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</si>
  <si>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</si>
  <si>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</si>
  <si>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</si>
  <si>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</si>
  <si>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</si>
  <si>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</si>
  <si>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</si>
  <si>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</si>
  <si>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</si>
  <si>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</si>
  <si>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</si>
  <si>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</si>
  <si>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</si>
  <si>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</si>
  <si>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</si>
  <si>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</si>
  <si>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</si>
  <si>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</si>
  <si>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</si>
  <si>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</si>
  <si>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</si>
  <si>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</si>
  <si>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</si>
  <si>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</si>
  <si>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</si>
  <si>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</si>
  <si>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</si>
  <si>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</si>
  <si>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</si>
  <si>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</si>
  <si>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</si>
  <si>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</si>
  <si>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</si>
  <si>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</si>
  <si>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</si>
  <si>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</si>
  <si>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</si>
  <si>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</si>
  <si>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</si>
  <si>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</si>
  <si>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</si>
  <si>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</si>
  <si>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</si>
  <si>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</si>
  <si>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</si>
  <si>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</si>
  <si>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</si>
  <si>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</si>
  <si>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</si>
  <si>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</si>
  <si>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</si>
  <si>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</si>
  <si>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</si>
  <si>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</si>
  <si>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</si>
  <si>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</si>
  <si>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</si>
  <si>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</si>
  <si>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</si>
  <si>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</si>
  <si>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</si>
  <si>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</si>
  <si>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</si>
  <si>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</si>
  <si>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</si>
  <si>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</si>
  <si>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</si>
  <si>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</si>
  <si>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</si>
  <si>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</si>
  <si>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</si>
  <si>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</si>
  <si>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</si>
  <si>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</si>
  <si>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</si>
  <si>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</si>
  <si>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</si>
  <si>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</si>
  <si>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</si>
  <si>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</si>
  <si>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</si>
  <si>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</si>
  <si>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</si>
  <si>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</si>
  <si>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</si>
  <si>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</si>
  <si>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</si>
  <si>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</si>
  <si>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</si>
  <si>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</si>
  <si>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</si>
  <si>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</si>
  <si>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</si>
  <si>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</si>
  <si>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</si>
  <si>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</si>
  <si>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</si>
  <si>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</si>
  <si>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</si>
  <si>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</si>
  <si>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</si>
  <si>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</si>
  <si>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</si>
  <si>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</si>
  <si>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</si>
  <si>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</si>
  <si>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</si>
  <si>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</si>
  <si>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</si>
  <si>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</si>
  <si>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</si>
  <si>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</si>
  <si>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</si>
  <si>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</si>
  <si>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</si>
  <si>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</si>
  <si>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</si>
  <si>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</si>
  <si>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</si>
  <si>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</si>
  <si>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</si>
  <si>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</si>
  <si>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</si>
  <si>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</si>
  <si>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</si>
  <si>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</si>
  <si>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</si>
  <si>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</si>
  <si>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</si>
  <si>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</si>
  <si>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</si>
  <si>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</si>
  <si>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</si>
  <si>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</si>
  <si>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</si>
  <si>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</si>
  <si>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</si>
  <si>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</si>
  <si>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</si>
  <si>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</si>
  <si>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</si>
  <si>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</si>
  <si>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</si>
  <si>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</si>
  <si>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</si>
  <si>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</si>
  <si>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</si>
  <si>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</si>
  <si>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</si>
  <si>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</si>
  <si>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</si>
  <si>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</si>
  <si>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</si>
  <si>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</si>
  <si>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</si>
  <si>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</si>
  <si>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</si>
  <si>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</si>
  <si>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</si>
  <si>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</si>
  <si>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</si>
  <si>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</si>
  <si>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</si>
  <si>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</si>
  <si>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</si>
  <si>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</si>
  <si>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</si>
  <si>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</si>
  <si>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</si>
  <si>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</si>
  <si>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</si>
  <si>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</si>
  <si>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</si>
  <si>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</si>
  <si>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</si>
  <si>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</si>
  <si>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</si>
  <si>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</si>
  <si>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</si>
  <si>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</si>
  <si>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</si>
  <si>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</si>
  <si>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</si>
  <si>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</si>
  <si>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</si>
  <si>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</si>
  <si>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</si>
  <si>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</si>
  <si>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</si>
  <si>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</si>
  <si>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</si>
  <si>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</si>
  <si>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</si>
  <si>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</si>
  <si>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</si>
  <si>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</si>
  <si>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</si>
  <si>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</si>
  <si>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</si>
  <si>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</si>
  <si>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</si>
  <si>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</si>
  <si>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</si>
  <si>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</si>
  <si>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</si>
  <si>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</si>
  <si>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</si>
  <si>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</si>
  <si>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</si>
  <si>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</si>
  <si>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</si>
  <si>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</si>
  <si>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</si>
  <si>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</si>
  <si>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</si>
  <si>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</si>
  <si>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</si>
  <si>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</si>
  <si>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</si>
  <si>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</si>
  <si>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</si>
  <si>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</si>
  <si>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</si>
  <si>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</si>
  <si>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</si>
  <si>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</si>
  <si>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</si>
  <si>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</si>
  <si>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</si>
  <si>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</si>
  <si>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</si>
  <si>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</si>
  <si>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</si>
  <si>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</si>
  <si>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</si>
  <si>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</si>
  <si>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</si>
  <si>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</si>
  <si>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</si>
  <si>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</si>
  <si>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</si>
  <si>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</si>
  <si>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</si>
  <si>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</si>
  <si>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</si>
  <si>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</si>
  <si>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</si>
  <si>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</si>
  <si>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</si>
  <si>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</si>
  <si>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</si>
  <si>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</si>
  <si>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</si>
  <si>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</si>
  <si>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</si>
  <si>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</si>
  <si>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</si>
  <si>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</si>
  <si>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</si>
  <si>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</si>
  <si>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</si>
  <si>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</si>
  <si>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</si>
  <si>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</si>
  <si>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</si>
  <si>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</si>
  <si>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</si>
  <si>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</si>
  <si>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</si>
  <si>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</si>
  <si>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</si>
  <si>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</si>
  <si>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</si>
  <si>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</si>
  <si>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</si>
  <si>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</si>
  <si>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</si>
  <si>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</si>
  <si>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</si>
  <si>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</si>
  <si>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</si>
  <si>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</si>
  <si>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</si>
  <si>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</si>
  <si>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</si>
  <si>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</si>
  <si>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</si>
  <si>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</si>
  <si>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</si>
  <si>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</si>
  <si>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</si>
  <si>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</si>
  <si>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</si>
  <si>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</si>
  <si>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</si>
  <si>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</si>
  <si>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</si>
  <si>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</si>
  <si>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</si>
  <si>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</si>
  <si>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</si>
  <si>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</si>
  <si>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</si>
  <si>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</si>
  <si>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</si>
  <si>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</si>
  <si>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</si>
  <si>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</si>
  <si>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</si>
  <si>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</si>
  <si>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</si>
  <si>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</si>
  <si>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</si>
  <si>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</si>
  <si>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</si>
  <si>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</si>
  <si>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</si>
  <si>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</si>
  <si>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</si>
  <si>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</si>
  <si>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</si>
  <si>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</si>
  <si>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</si>
  <si>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</si>
  <si>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</si>
  <si>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</si>
  <si>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</si>
  <si>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</si>
  <si>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</si>
  <si>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</si>
  <si>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</si>
  <si>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</si>
  <si>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</si>
  <si>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</si>
  <si>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</si>
  <si>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</si>
  <si>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</si>
  <si>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</si>
  <si>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</si>
  <si>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</si>
  <si>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</si>
  <si>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</si>
  <si>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</si>
  <si>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</si>
  <si>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</si>
  <si>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</si>
  <si>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</si>
  <si>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</si>
  <si>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</si>
  <si>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</si>
  <si>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</si>
  <si>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</si>
  <si>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</si>
  <si>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</si>
  <si>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</si>
  <si>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</si>
  <si>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</si>
  <si>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</si>
  <si>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</si>
  <si>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</si>
  <si>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</si>
  <si>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</si>
  <si>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</si>
  <si>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</si>
  <si>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</si>
  <si>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</si>
  <si>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</si>
  <si>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</si>
  <si>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</si>
  <si>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</si>
  <si>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</si>
  <si>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</si>
  <si>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</si>
  <si>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</si>
  <si>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</si>
  <si>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</si>
  <si>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</si>
  <si>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</si>
  <si>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</si>
  <si>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</si>
  <si>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</si>
  <si>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</si>
  <si>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</si>
  <si>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</si>
  <si>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</si>
  <si>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</si>
  <si>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</si>
  <si>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</si>
  <si>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</si>
  <si>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</si>
  <si>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</si>
  <si>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</si>
  <si>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</si>
  <si>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</si>
  <si>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</si>
  <si>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</si>
  <si>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</si>
  <si>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</si>
  <si>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</si>
  <si>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</si>
  <si>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</si>
  <si>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</si>
  <si>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</si>
  <si>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</si>
  <si>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</si>
  <si>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</si>
  <si>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</si>
  <si>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</si>
  <si>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</si>
  <si>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</si>
  <si>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</si>
  <si>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</si>
  <si>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</si>
  <si>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</si>
  <si>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</si>
  <si>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</si>
  <si>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</si>
  <si>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</si>
  <si>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</si>
  <si>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</si>
  <si>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</si>
  <si>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</si>
  <si>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</si>
  <si>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</si>
  <si>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</si>
  <si>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</si>
  <si>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</si>
  <si>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</si>
  <si>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</si>
  <si>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</si>
  <si>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</si>
  <si>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</si>
  <si>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</si>
  <si>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</si>
  <si>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</si>
  <si>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</si>
  <si>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</si>
  <si>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</si>
  <si>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</si>
  <si>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</si>
  <si>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</si>
  <si>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</si>
  <si>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</si>
  <si>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</si>
  <si>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</si>
  <si>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</si>
  <si>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</si>
  <si>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</si>
  <si>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</si>
  <si>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</si>
  <si>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</si>
  <si>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</si>
  <si>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</si>
  <si>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</si>
  <si>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</si>
  <si>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</si>
  <si>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</si>
  <si>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</si>
  <si>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</si>
  <si>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</si>
  <si>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</si>
  <si>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</si>
  <si>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</si>
  <si>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</si>
  <si>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</si>
  <si>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</si>
  <si>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</si>
  <si>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</si>
  <si>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</si>
  <si>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</si>
  <si>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</si>
  <si>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</si>
  <si>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</si>
  <si>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</si>
  <si>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</si>
  <si>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</si>
  <si>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</si>
  <si>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</si>
  <si>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</si>
  <si>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</si>
  <si>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</si>
  <si>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</si>
  <si>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</si>
  <si>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</si>
  <si>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</si>
  <si>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</si>
  <si>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</si>
  <si>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</si>
  <si>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</si>
  <si>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</si>
  <si>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</si>
  <si>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</si>
  <si>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</si>
  <si>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</si>
  <si>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</si>
  <si>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</si>
  <si>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</si>
  <si>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</si>
  <si>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</si>
  <si>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</si>
  <si>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</si>
  <si>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</si>
  <si>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</si>
  <si>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</si>
  <si>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</si>
  <si>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</si>
  <si>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</si>
  <si>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</si>
  <si>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</si>
  <si>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</si>
  <si>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</si>
  <si>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</si>
  <si>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</si>
  <si>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</si>
  <si>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</si>
  <si>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</si>
  <si>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</si>
  <si>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</si>
  <si>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</si>
  <si>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</si>
  <si>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</si>
  <si>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</si>
  <si>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</si>
  <si>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</si>
  <si>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</si>
  <si>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</si>
  <si>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</si>
  <si>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</si>
  <si>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</si>
  <si>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</si>
  <si>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</si>
  <si>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</si>
  <si>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</si>
  <si>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</si>
  <si>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</si>
  <si>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</si>
  <si>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</si>
  <si>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</si>
  <si>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</si>
  <si>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</si>
  <si>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</si>
  <si>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</si>
  <si>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</si>
  <si>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</si>
  <si>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</si>
  <si>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</si>
  <si>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</si>
  <si>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</si>
  <si>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</si>
  <si>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</si>
  <si>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</si>
  <si>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</si>
  <si>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</si>
  <si>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</si>
  <si>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</si>
  <si>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</si>
  <si>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</si>
  <si>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</si>
  <si>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</si>
  <si>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</si>
  <si>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</si>
  <si>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</si>
  <si>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</si>
  <si>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</si>
  <si>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</si>
  <si>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</si>
  <si>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</si>
  <si>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</si>
  <si>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</si>
  <si>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</si>
  <si>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</si>
  <si>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</si>
  <si>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</si>
  <si>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</si>
  <si>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</si>
  <si>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</si>
  <si>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</si>
  <si>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</si>
  <si>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</si>
  <si>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</si>
  <si>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</si>
  <si>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</si>
  <si>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</si>
  <si>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</si>
  <si>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</si>
  <si>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</si>
  <si>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</si>
  <si>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</si>
  <si>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</si>
  <si>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</si>
  <si>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</si>
  <si>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</si>
  <si>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</si>
  <si>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</si>
  <si>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</si>
  <si>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</si>
  <si>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</si>
  <si>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</si>
  <si>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</si>
  <si>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</si>
  <si>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</si>
  <si>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</si>
  <si>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</si>
  <si>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</si>
  <si>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</si>
  <si>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</si>
  <si>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</si>
  <si>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</si>
  <si>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</si>
  <si>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</si>
  <si>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</si>
  <si>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</si>
  <si>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</si>
  <si>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</si>
  <si>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</si>
  <si>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</si>
  <si>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</si>
  <si>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</si>
  <si>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</si>
  <si>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</si>
  <si>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</si>
  <si>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</si>
  <si>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</si>
  <si>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</si>
  <si>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</si>
  <si>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</si>
  <si>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</si>
  <si>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</si>
  <si>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</si>
  <si>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</si>
  <si>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</si>
  <si>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</si>
  <si>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</si>
  <si>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</si>
  <si>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</si>
  <si>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</si>
  <si>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</si>
  <si>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</si>
  <si>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</si>
  <si>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</si>
  <si>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</si>
  <si>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</si>
  <si>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</si>
  <si>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</si>
  <si>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</si>
  <si>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</si>
  <si>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</si>
  <si>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</si>
  <si>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</si>
  <si>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</si>
  <si>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</si>
  <si>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</si>
  <si>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</si>
  <si>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</si>
  <si>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</si>
  <si>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</si>
  <si>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</si>
  <si>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</si>
  <si>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</si>
  <si>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</si>
  <si>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</si>
  <si>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</si>
  <si>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</si>
  <si>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</si>
  <si>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</si>
  <si>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</si>
  <si>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</si>
  <si>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</si>
  <si>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</si>
  <si>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</si>
  <si>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</si>
  <si>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</si>
  <si>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</si>
  <si>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</si>
  <si>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</si>
  <si>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</si>
  <si>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</si>
  <si>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</si>
  <si>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</si>
  <si>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</si>
  <si>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</si>
  <si>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</si>
  <si>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</si>
  <si>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</si>
  <si>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</si>
  <si>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</si>
  <si>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</si>
  <si>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</si>
  <si>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</si>
  <si>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</si>
  <si>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</si>
  <si>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</si>
  <si>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</si>
  <si>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</si>
  <si>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</si>
  <si>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</si>
  <si>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</si>
  <si>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</si>
  <si>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</si>
  <si>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</si>
  <si>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</si>
  <si>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</si>
  <si>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</si>
  <si>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</si>
  <si>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</si>
  <si>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</si>
  <si>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</si>
  <si>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</si>
  <si>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</si>
  <si>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</si>
  <si>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</si>
  <si>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</si>
  <si>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</si>
  <si>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</si>
  <si>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</si>
  <si>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</si>
  <si>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</si>
  <si>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</si>
  <si>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</si>
  <si>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</si>
  <si>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</si>
  <si>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</si>
  <si>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</si>
  <si>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</si>
  <si>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</si>
  <si>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</si>
  <si>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</si>
  <si>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</si>
  <si>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</si>
  <si>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</si>
  <si>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</si>
  <si>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</si>
  <si>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</si>
  <si>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</si>
  <si>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</si>
  <si>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</si>
  <si>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</si>
  <si>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</si>
  <si>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</si>
  <si>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</si>
  <si>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</si>
  <si>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</si>
  <si>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</si>
  <si>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</si>
  <si>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</si>
  <si>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</si>
  <si>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</si>
  <si>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</si>
  <si>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</si>
  <si>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</si>
  <si>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</si>
  <si>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</si>
  <si>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</si>
  <si>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</si>
  <si>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</si>
  <si>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</si>
  <si>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</si>
  <si>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</si>
  <si>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</si>
  <si>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</si>
  <si>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</si>
  <si>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</si>
  <si>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</si>
  <si>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</si>
  <si>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</si>
  <si>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</si>
  <si>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</si>
  <si>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</si>
  <si>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</si>
  <si>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</si>
  <si>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</si>
  <si>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</si>
  <si>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</si>
  <si>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</si>
  <si>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</si>
  <si>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</si>
  <si>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</si>
  <si>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</si>
  <si>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</si>
  <si>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</si>
  <si>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</si>
  <si>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</si>
  <si>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</si>
  <si>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</si>
  <si>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</si>
  <si>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</si>
  <si>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</si>
  <si>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</si>
  <si>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</si>
  <si>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</si>
  <si>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</si>
  <si>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</si>
  <si>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</si>
  <si>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</si>
  <si>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</si>
  <si>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</si>
  <si>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</si>
  <si>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</si>
  <si>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</si>
  <si>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</si>
  <si>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</si>
  <si>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</si>
  <si>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</si>
  <si>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</si>
  <si>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</si>
  <si>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</si>
  <si>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</si>
  <si>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</si>
  <si>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</si>
  <si>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</si>
  <si>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</si>
  <si>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</si>
  <si>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</si>
  <si>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</si>
  <si>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</si>
  <si>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</si>
  <si>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</si>
  <si>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</si>
  <si>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</si>
  <si>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</si>
  <si>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</si>
  <si>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</si>
  <si>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</si>
  <si>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</si>
  <si>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</si>
  <si>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</si>
  <si>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</si>
  <si>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</si>
  <si>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</si>
  <si>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</si>
  <si>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</si>
  <si>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</si>
  <si>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</si>
  <si>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</si>
  <si>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</si>
  <si>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</si>
  <si>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</si>
  <si>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</si>
  <si>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</si>
  <si>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</si>
  <si>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</si>
  <si>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</si>
  <si>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</si>
  <si>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</si>
  <si>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</si>
  <si>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</si>
  <si>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</si>
  <si>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</si>
  <si>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</si>
  <si>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</si>
  <si>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</si>
  <si>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</si>
  <si>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</si>
  <si>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</si>
  <si>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</si>
  <si>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</si>
  <si>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</si>
  <si>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</si>
  <si>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</si>
  <si>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</si>
  <si>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</si>
  <si>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</si>
  <si>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</si>
  <si>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</si>
  <si>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</si>
  <si>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</si>
  <si>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</si>
  <si>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</si>
  <si>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</si>
  <si>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</si>
  <si>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</si>
  <si>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</si>
  <si>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</si>
  <si>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</si>
  <si>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</si>
  <si>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</si>
  <si>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</si>
  <si>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</si>
  <si>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</si>
  <si>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</si>
  <si>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</si>
  <si>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</si>
  <si>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</si>
  <si>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</si>
  <si>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</si>
  <si>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</si>
  <si>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</si>
  <si>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</si>
  <si>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</si>
  <si>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</si>
  <si>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</si>
  <si>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</si>
  <si>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</si>
  <si>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</si>
  <si>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</si>
  <si>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</si>
  <si>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</si>
  <si>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</si>
  <si>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</si>
  <si>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</si>
  <si>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</si>
  <si>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</si>
  <si>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</si>
  <si>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</si>
  <si>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</si>
  <si>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</si>
  <si>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</si>
  <si>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</si>
  <si>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</si>
  <si>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</si>
  <si>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</si>
  <si>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</si>
  <si>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</si>
  <si>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</si>
  <si>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</si>
  <si>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</si>
  <si>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</si>
  <si>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</si>
  <si>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</si>
  <si>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</si>
  <si>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</si>
  <si>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</si>
  <si>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</si>
  <si>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</si>
  <si>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</si>
  <si>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</si>
  <si>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</si>
  <si>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</si>
  <si>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</si>
  <si>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</si>
  <si>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</si>
  <si>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</si>
  <si>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</si>
  <si>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</si>
  <si>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</si>
  <si>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</si>
  <si>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</si>
  <si>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</si>
  <si>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</si>
  <si>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</si>
  <si>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</si>
  <si>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</si>
  <si>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</si>
  <si>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</si>
  <si>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</si>
  <si>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</si>
  <si>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</si>
  <si>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</si>
  <si>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</si>
  <si>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</si>
  <si>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</si>
  <si>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</si>
  <si>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</si>
  <si>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</si>
  <si>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</si>
  <si>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</si>
  <si>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</si>
  <si>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</si>
  <si>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</si>
  <si>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</si>
  <si>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</si>
  <si>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</si>
  <si>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</si>
  <si>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</si>
  <si>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</si>
  <si>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</si>
  <si>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</si>
  <si>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</si>
  <si>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</si>
  <si>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</si>
  <si>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</si>
  <si>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</si>
  <si>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</si>
  <si>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</si>
  <si>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</si>
  <si>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</si>
  <si>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</si>
  <si>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</si>
  <si>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</si>
  <si>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</si>
  <si>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</si>
  <si>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</si>
  <si>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</si>
  <si>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</si>
  <si>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</si>
  <si>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</si>
  <si>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</si>
  <si>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</si>
  <si>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</si>
  <si>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</si>
  <si>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</si>
  <si>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</si>
  <si>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</si>
  <si>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</si>
  <si>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</si>
  <si>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</si>
  <si>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</si>
  <si>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</si>
  <si>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</si>
  <si>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</si>
  <si>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</si>
  <si>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</si>
  <si>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</si>
  <si>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</si>
  <si>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</si>
  <si>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</si>
  <si>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</si>
  <si>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</si>
  <si>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</si>
  <si>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</si>
  <si>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</si>
  <si>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</si>
  <si>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</si>
  <si>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</si>
  <si>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</si>
  <si>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</si>
  <si>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</si>
  <si>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</si>
  <si>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</si>
  <si>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</si>
  <si>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</si>
  <si>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</si>
  <si>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</si>
  <si>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</si>
  <si>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</si>
  <si>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</si>
  <si>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</si>
  <si>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</si>
  <si>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</si>
  <si>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</si>
  <si>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</si>
  <si>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</si>
  <si>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</si>
  <si>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</si>
  <si>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</si>
  <si>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</si>
  <si>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</si>
  <si>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</si>
  <si>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</si>
  <si>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</si>
  <si>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</si>
  <si>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</si>
  <si>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</si>
  <si>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</si>
  <si>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</si>
  <si>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</si>
  <si>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</si>
  <si>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</si>
  <si>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</si>
  <si>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</si>
  <si>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</si>
  <si>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</si>
  <si>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</si>
  <si>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</si>
  <si>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</si>
  <si>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</si>
  <si>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</si>
  <si>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</si>
  <si>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</si>
  <si>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</si>
  <si>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</si>
  <si>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</si>
  <si>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</si>
  <si>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</si>
  <si>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</si>
  <si>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</si>
  <si>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</si>
  <si>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</si>
  <si>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</si>
  <si>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</si>
  <si>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</si>
  <si>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</si>
  <si>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</si>
  <si>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</si>
  <si>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</si>
  <si>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</si>
  <si>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</si>
  <si>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</si>
  <si>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</si>
  <si>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</si>
  <si>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</si>
  <si>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</si>
  <si>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</si>
  <si>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</si>
  <si>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</si>
  <si>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</si>
  <si>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</si>
  <si>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</si>
  <si>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</si>
  <si>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</si>
  <si>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</si>
  <si>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</si>
  <si>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</si>
  <si>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</si>
  <si>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</si>
  <si>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</si>
  <si>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</si>
  <si>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</si>
  <si>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</si>
  <si>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</si>
  <si>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</si>
  <si>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</si>
  <si>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</si>
  <si>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</si>
  <si>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</si>
  <si>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</si>
  <si>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</si>
  <si>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</si>
  <si>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</si>
  <si>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</si>
  <si>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</si>
  <si>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</si>
  <si>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</si>
  <si>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</si>
  <si>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</si>
  <si>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</si>
  <si>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</si>
  <si>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</si>
  <si>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</si>
  <si>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</si>
  <si>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</si>
  <si>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</si>
  <si>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</si>
  <si>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</si>
  <si>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</si>
  <si>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</si>
  <si>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</si>
  <si>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</si>
  <si>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</si>
  <si>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</si>
  <si>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</si>
  <si>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</si>
  <si>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</si>
  <si>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</si>
  <si>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</si>
  <si>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</si>
  <si>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</si>
  <si>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</si>
  <si>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</si>
  <si>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</si>
  <si>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</si>
  <si>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</si>
  <si>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</si>
  <si>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</si>
  <si>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</si>
  <si>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</si>
  <si>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</si>
  <si>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</si>
  <si>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</si>
  <si>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</si>
  <si>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</si>
  <si>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</si>
  <si>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</si>
  <si>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</si>
  <si>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</si>
  <si>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</si>
  <si>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</si>
  <si>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</si>
  <si>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</si>
  <si>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</si>
  <si>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</si>
  <si>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</si>
  <si>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</si>
  <si>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</si>
  <si>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</si>
  <si>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</si>
  <si>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</si>
  <si>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</si>
  <si>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</si>
  <si>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</si>
  <si>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</si>
  <si>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</si>
  <si>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</si>
  <si>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</si>
  <si>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</si>
  <si>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</si>
  <si>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</si>
  <si>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</si>
  <si>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</si>
  <si>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</si>
  <si>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</si>
  <si>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</si>
  <si>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</si>
  <si>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</si>
  <si>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</si>
  <si>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</si>
  <si>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</si>
  <si>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</si>
  <si>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</si>
  <si>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</si>
  <si>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</si>
  <si>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</si>
  <si>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</si>
  <si>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</si>
  <si>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</si>
  <si>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</si>
  <si>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</si>
  <si>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</si>
  <si>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</si>
  <si>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</si>
  <si>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</si>
  <si>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</si>
  <si>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</si>
  <si>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</si>
  <si>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</si>
  <si>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</si>
  <si>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</si>
  <si>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</si>
  <si>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</si>
  <si>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</si>
  <si>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</si>
  <si>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</si>
  <si>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</si>
  <si>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</si>
  <si>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</si>
  <si>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</si>
  <si>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</si>
  <si>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</si>
  <si>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</si>
  <si>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</si>
  <si>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</si>
  <si>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</si>
  <si>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</si>
  <si>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</si>
  <si>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</si>
  <si>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</si>
  <si>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</si>
  <si>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</si>
  <si>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</si>
  <si>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</si>
  <si>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</si>
  <si>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</si>
  <si>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</si>
  <si>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</si>
  <si>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</si>
  <si>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</si>
  <si>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</si>
  <si>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</si>
  <si>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</si>
  <si>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</si>
  <si>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</si>
  <si>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</si>
  <si>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</si>
  <si>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</si>
  <si>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</si>
  <si>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</si>
  <si>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</si>
  <si>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</si>
  <si>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</si>
  <si>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</si>
  <si>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</si>
  <si>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</si>
  <si>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</si>
  <si>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</si>
  <si>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</si>
  <si>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</si>
  <si>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</si>
  <si>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</si>
  <si>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</si>
  <si>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</si>
  <si>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</si>
  <si>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</si>
  <si>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</si>
  <si>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</si>
  <si>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</si>
  <si>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</si>
  <si>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</si>
  <si>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</si>
  <si>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</si>
  <si>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</si>
  <si>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</si>
  <si>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</si>
  <si>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</si>
  <si>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</si>
  <si>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</si>
  <si>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</si>
  <si>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</si>
  <si>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</si>
  <si>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</si>
  <si>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</si>
  <si>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</si>
  <si>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</si>
  <si>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</si>
  <si>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</si>
  <si>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</si>
  <si>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</si>
  <si>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</si>
  <si>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</si>
  <si>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</si>
  <si>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</si>
  <si>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</si>
  <si>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</si>
  <si>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</si>
  <si>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</si>
  <si>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</si>
  <si>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</si>
  <si>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</si>
  <si>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</si>
  <si>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</si>
  <si>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</si>
  <si>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</si>
  <si>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</si>
  <si>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</si>
  <si>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</si>
  <si>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</si>
  <si>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</si>
  <si>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</si>
  <si>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</si>
  <si>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</si>
  <si>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</si>
  <si>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</si>
  <si>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</si>
  <si>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</si>
  <si>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</si>
  <si>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</si>
  <si>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</si>
  <si>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</si>
  <si>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</si>
  <si>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</si>
  <si>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</si>
  <si>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</si>
  <si>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</si>
  <si>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</si>
  <si>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</si>
  <si>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</si>
  <si>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</si>
  <si>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</si>
  <si>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</si>
  <si>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</si>
  <si>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</si>
  <si>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</si>
  <si>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</si>
  <si>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</si>
  <si>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</si>
  <si>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</si>
  <si>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</si>
  <si>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</si>
  <si>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</si>
  <si>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</si>
  <si>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</si>
  <si>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</si>
  <si>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</si>
  <si>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</si>
  <si>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</si>
  <si>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</si>
  <si>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</si>
  <si>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</si>
  <si>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</si>
  <si>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</si>
  <si>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</si>
  <si>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</si>
  <si>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</si>
  <si>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</si>
  <si>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</si>
  <si>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</si>
  <si>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</si>
  <si>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</si>
  <si>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</si>
  <si>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</si>
  <si>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</si>
  <si>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</si>
  <si>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</si>
  <si>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</si>
  <si>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</si>
  <si>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</si>
  <si>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</si>
  <si>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</si>
  <si>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</si>
  <si>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</si>
  <si>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</si>
  <si>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</si>
  <si>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</si>
  <si>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</si>
  <si>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</si>
  <si>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</si>
  <si>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</si>
  <si>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</si>
  <si>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</si>
  <si>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</si>
  <si>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</si>
  <si>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</si>
  <si>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</si>
  <si>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</si>
  <si>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</si>
  <si>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</si>
  <si>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</si>
  <si>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</si>
  <si>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</si>
  <si>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</si>
  <si>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</si>
  <si>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</si>
  <si>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</si>
  <si>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</si>
  <si>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</si>
  <si>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</si>
  <si>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</si>
  <si>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</si>
  <si>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</si>
  <si>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</si>
  <si>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</si>
  <si>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</si>
  <si>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</si>
  <si>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</si>
  <si>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</si>
  <si>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</si>
  <si>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</si>
  <si>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</si>
  <si>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</si>
  <si>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</si>
  <si>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</si>
  <si>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</si>
  <si>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</si>
  <si>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</si>
  <si>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</si>
  <si>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</si>
  <si>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</si>
  <si>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</si>
  <si>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</si>
  <si>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</si>
  <si>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</si>
  <si>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</si>
  <si>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</si>
  <si>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</si>
  <si>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</si>
  <si>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</si>
  <si>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</si>
  <si>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</si>
  <si>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</si>
  <si>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</si>
  <si>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</si>
  <si>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</si>
  <si>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</si>
  <si>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</si>
  <si>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</si>
  <si>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</si>
  <si>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</si>
  <si>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</si>
  <si>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</si>
  <si>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</si>
  <si>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</si>
  <si>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</si>
  <si>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</si>
  <si>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</si>
  <si>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</si>
  <si>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</si>
  <si>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</si>
  <si>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</si>
  <si>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</si>
  <si>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</si>
  <si>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</si>
  <si>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</si>
  <si>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</si>
  <si>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</si>
  <si>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</si>
  <si>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</si>
  <si>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</si>
  <si>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</si>
  <si>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</si>
  <si>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</si>
  <si>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</si>
  <si>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</si>
  <si>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</si>
  <si>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</si>
  <si>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</si>
  <si>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</si>
  <si>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</si>
  <si>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</si>
  <si>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</si>
  <si>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</si>
  <si>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</si>
  <si>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</si>
  <si>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</si>
  <si>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</si>
  <si>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</si>
  <si>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</si>
  <si>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</si>
  <si>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</si>
  <si>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</si>
  <si>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</si>
  <si>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</si>
  <si>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</si>
  <si>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</si>
  <si>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</si>
  <si>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</si>
  <si>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</si>
  <si>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</si>
  <si>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</si>
  <si>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</si>
  <si>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</si>
  <si>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</si>
  <si>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</si>
  <si>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</si>
  <si>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</si>
  <si>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</si>
  <si>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</si>
  <si>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</si>
  <si>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</si>
  <si>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</si>
  <si>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</si>
  <si>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</si>
  <si>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</si>
  <si>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</si>
  <si>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</si>
  <si>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</si>
  <si>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</si>
  <si>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</si>
  <si>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</si>
  <si>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</si>
  <si>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</si>
  <si>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</si>
  <si>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</si>
  <si>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</si>
  <si>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</si>
  <si>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</si>
  <si>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</si>
  <si>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</si>
  <si>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</si>
  <si>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</si>
  <si>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</si>
  <si>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</si>
  <si>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</si>
  <si>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</si>
  <si>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</si>
  <si>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</si>
  <si>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</si>
  <si>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</si>
  <si>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</si>
  <si>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</si>
  <si>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</si>
  <si>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</si>
  <si>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</si>
  <si>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</si>
  <si>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</si>
  <si>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</si>
  <si>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</si>
  <si>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</si>
  <si>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</si>
  <si>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</si>
  <si>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</si>
  <si>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</si>
  <si>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</si>
  <si>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</si>
  <si>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</si>
  <si>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</si>
  <si>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</si>
  <si>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</si>
  <si>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</si>
  <si>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</si>
  <si>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</si>
  <si>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</si>
  <si>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</si>
  <si>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</si>
  <si>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</si>
  <si>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</si>
  <si>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</si>
  <si>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</si>
  <si>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</si>
  <si>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</si>
  <si>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</si>
  <si>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</si>
  <si>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</si>
  <si>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</si>
  <si>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</si>
  <si>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</si>
  <si>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</si>
  <si>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</si>
  <si>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</si>
  <si>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</si>
  <si>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</si>
  <si>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</si>
  <si>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</si>
  <si>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</si>
  <si>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</si>
  <si>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</si>
  <si>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</si>
  <si>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</si>
  <si>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</si>
  <si>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</si>
  <si>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</si>
  <si>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</si>
  <si>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</si>
  <si>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</si>
  <si>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</si>
  <si>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</si>
  <si>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</si>
  <si>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</si>
  <si>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</si>
  <si>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</si>
  <si>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</si>
  <si>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</si>
  <si>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</si>
  <si>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</si>
  <si>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</si>
  <si>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</si>
  <si>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</si>
  <si>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</si>
  <si>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</si>
  <si>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</si>
  <si>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</si>
  <si>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</si>
  <si>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</si>
  <si>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</si>
  <si>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</si>
  <si>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</si>
  <si>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</si>
  <si>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</si>
  <si>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</si>
  <si>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</si>
  <si>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</si>
  <si>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</si>
  <si>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</si>
  <si>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</si>
  <si>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</si>
  <si>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</si>
  <si>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</si>
  <si>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</si>
  <si>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</si>
  <si>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</si>
  <si>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</si>
  <si>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</si>
  <si>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</si>
  <si>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</si>
  <si>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</si>
  <si>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</si>
  <si>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</si>
  <si>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</si>
  <si>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</si>
  <si>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</si>
  <si>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</si>
  <si>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</si>
  <si>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</si>
  <si>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</si>
  <si>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</si>
  <si>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</si>
  <si>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</si>
  <si>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</si>
  <si>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</si>
  <si>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</si>
  <si>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</si>
  <si>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</si>
  <si>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</si>
  <si>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</si>
  <si>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</si>
  <si>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</si>
  <si>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</si>
  <si>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</si>
  <si>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</si>
  <si>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</si>
  <si>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</si>
  <si>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</si>
  <si>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</si>
  <si>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</si>
  <si>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</si>
  <si>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</si>
  <si>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</si>
  <si>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</si>
  <si>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</si>
  <si>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</si>
  <si>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</si>
  <si>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</si>
  <si>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</si>
  <si>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</si>
  <si>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</si>
  <si>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</si>
  <si>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</si>
  <si>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</si>
  <si>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</si>
  <si>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</si>
  <si>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</si>
  <si>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</si>
  <si>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</si>
  <si>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</si>
  <si>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</si>
  <si>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</si>
  <si>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</si>
  <si>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</si>
  <si>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</si>
  <si>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</si>
  <si>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</si>
  <si>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</si>
  <si>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</si>
  <si>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</si>
  <si>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</si>
  <si>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</si>
  <si>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</si>
  <si>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</si>
  <si>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</si>
  <si>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</si>
  <si>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</si>
  <si>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</si>
  <si>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</si>
  <si>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</si>
  <si>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</si>
  <si>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</si>
  <si>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</si>
  <si>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</si>
  <si>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</si>
  <si>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</si>
  <si>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</si>
  <si>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</si>
  <si>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</si>
  <si>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</si>
  <si>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</si>
  <si>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</si>
  <si>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</si>
  <si>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</si>
  <si>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</si>
  <si>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</si>
  <si>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</si>
  <si>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</si>
  <si>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</si>
  <si>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</si>
  <si>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</si>
  <si>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</si>
  <si>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</si>
  <si>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</si>
  <si>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</si>
  <si>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</si>
  <si>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</si>
  <si>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</si>
  <si>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</si>
  <si>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</si>
  <si>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</si>
  <si>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</si>
  <si>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</si>
  <si>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</si>
  <si>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</si>
  <si>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</si>
  <si>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</si>
  <si>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</si>
  <si>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</si>
  <si>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</si>
  <si>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</si>
  <si>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</si>
  <si>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</si>
  <si>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</si>
  <si>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</si>
  <si>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</si>
  <si>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</si>
  <si>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</si>
  <si>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</si>
  <si>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</si>
  <si>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</si>
  <si>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</si>
  <si>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</si>
  <si>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</si>
  <si>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</si>
  <si>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</si>
  <si>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</si>
  <si>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</si>
  <si>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</si>
  <si>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</si>
  <si>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</si>
  <si>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</si>
  <si>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</si>
  <si>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</si>
  <si>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</si>
  <si>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</si>
  <si>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</si>
  <si>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</si>
  <si>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</si>
  <si>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</si>
  <si>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</si>
  <si>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</si>
  <si>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</si>
  <si>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</si>
  <si>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</si>
  <si>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</si>
  <si>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</si>
  <si>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</si>
  <si>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</si>
  <si>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</si>
  <si>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</si>
  <si>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</si>
  <si>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</si>
  <si>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</si>
  <si>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</si>
  <si>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</si>
  <si>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</si>
  <si>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</si>
  <si>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</si>
  <si>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</si>
  <si>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</si>
  <si>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</si>
  <si>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</si>
  <si>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</si>
  <si>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</si>
  <si>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</si>
  <si>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</si>
  <si>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</si>
  <si>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</si>
  <si>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</si>
  <si>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</si>
  <si>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</si>
  <si>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</si>
  <si>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</si>
  <si>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</si>
  <si>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</si>
  <si>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</si>
  <si>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</si>
  <si>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</si>
  <si>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</si>
  <si>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</si>
  <si>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</si>
  <si>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</si>
  <si>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</si>
  <si>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</si>
  <si>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</si>
  <si>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</si>
  <si>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</si>
  <si>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</si>
  <si>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</si>
  <si>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</si>
  <si>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</si>
  <si>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</si>
  <si>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</si>
  <si>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</si>
  <si>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</si>
  <si>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</si>
  <si>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</si>
  <si>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</si>
  <si>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</si>
  <si>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</si>
  <si>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</si>
  <si>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</si>
  <si>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</si>
  <si>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</si>
  <si>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</si>
  <si>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</si>
  <si>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</si>
  <si>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</si>
  <si>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</si>
  <si>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</si>
  <si>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</si>
  <si>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</si>
  <si>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</si>
  <si>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</si>
  <si>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</si>
  <si>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</si>
  <si>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</si>
  <si>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</si>
  <si>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</si>
  <si>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</si>
  <si>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</si>
  <si>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</si>
  <si>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</si>
  <si>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</si>
  <si>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</si>
  <si>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</si>
  <si>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</si>
  <si>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</si>
  <si>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</si>
  <si>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</si>
  <si>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</si>
  <si>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</si>
  <si>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</si>
  <si>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</si>
  <si>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</si>
  <si>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</si>
  <si>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</si>
  <si>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</si>
  <si>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</si>
  <si>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</si>
  <si>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</si>
  <si>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</si>
  <si>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</si>
  <si>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</si>
  <si>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</si>
  <si>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</si>
  <si>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</si>
  <si>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</si>
  <si>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</si>
  <si>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</si>
  <si>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</si>
  <si>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</si>
  <si>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</si>
  <si>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</si>
  <si>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</si>
  <si>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</si>
  <si>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</si>
  <si>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</si>
  <si>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</si>
  <si>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</si>
  <si>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</si>
  <si>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</si>
  <si>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</si>
  <si>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</si>
  <si>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</si>
  <si>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</si>
  <si>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</si>
  <si>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</si>
  <si>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</si>
  <si>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</si>
  <si>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</si>
  <si>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</si>
  <si>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</si>
  <si>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</si>
  <si>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</si>
  <si>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</si>
  <si>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</si>
  <si>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</si>
  <si>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</si>
  <si>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</si>
  <si>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</si>
  <si>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</si>
  <si>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</si>
  <si>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</si>
  <si>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</si>
  <si>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</si>
  <si>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</si>
  <si>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</si>
  <si>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</si>
  <si>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</si>
  <si>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</si>
  <si>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</si>
  <si>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</si>
  <si>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</si>
  <si>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</si>
  <si>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</si>
  <si>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</si>
  <si>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</si>
  <si>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</si>
  <si>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</si>
  <si>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</si>
  <si>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</si>
  <si>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</si>
  <si>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</si>
  <si>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</si>
  <si>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</si>
  <si>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</si>
  <si>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</si>
  <si>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</si>
  <si>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</si>
  <si>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</si>
  <si>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</si>
  <si>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</si>
  <si>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</si>
  <si>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</si>
  <si>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</si>
  <si>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</si>
  <si>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</si>
  <si>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</si>
  <si>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</si>
  <si>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</si>
  <si>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</si>
  <si>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</si>
  <si>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</si>
  <si>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</si>
  <si>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</si>
  <si>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</si>
  <si>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</si>
  <si>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</si>
  <si>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</si>
  <si>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</si>
  <si>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</si>
  <si>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</si>
  <si>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</si>
  <si>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</si>
  <si>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</si>
  <si>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</si>
  <si>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</si>
  <si>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</si>
  <si>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</si>
  <si>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</si>
  <si>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</si>
  <si>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</si>
  <si>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</si>
  <si>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</si>
  <si>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</si>
  <si>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</si>
  <si>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</si>
  <si>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</si>
  <si>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</si>
  <si>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</si>
  <si>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</si>
  <si>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</si>
  <si>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</si>
  <si>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</si>
  <si>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</si>
  <si>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</si>
  <si>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</si>
  <si>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</si>
  <si>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</si>
  <si>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</si>
  <si>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</si>
  <si>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</si>
  <si>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</si>
  <si>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</si>
  <si>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</si>
  <si>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</si>
  <si>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</si>
  <si>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</si>
  <si>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</si>
  <si>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</si>
  <si>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</si>
  <si>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</si>
  <si>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</si>
  <si>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</si>
  <si>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</si>
  <si>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</si>
  <si>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</si>
  <si>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</si>
  <si>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</si>
  <si>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</si>
  <si>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</si>
  <si>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</si>
  <si>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</si>
  <si>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</si>
  <si>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</si>
  <si>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</si>
  <si>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</si>
  <si>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</si>
  <si>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</si>
  <si>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</si>
  <si>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</si>
  <si>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</si>
  <si>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</si>
  <si>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</si>
  <si>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</si>
  <si>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</si>
  <si>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</si>
  <si>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</si>
  <si>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</si>
  <si>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</si>
  <si>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</si>
  <si>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</si>
  <si>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</si>
  <si>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</si>
  <si>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</si>
  <si>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</si>
  <si>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</si>
  <si>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</si>
  <si>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</si>
  <si>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</si>
  <si>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</si>
  <si>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</si>
  <si>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</si>
  <si>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</si>
  <si>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</si>
  <si>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</si>
  <si>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</si>
  <si>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</si>
  <si>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</si>
  <si>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</si>
  <si>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</si>
  <si>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</si>
  <si>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</si>
  <si>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</si>
  <si>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</si>
  <si>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</si>
  <si>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</si>
  <si>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</si>
  <si>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</si>
  <si>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</si>
  <si>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</si>
  <si>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</si>
  <si>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</si>
  <si>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</si>
  <si>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</si>
  <si>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</si>
  <si>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</si>
  <si>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</si>
  <si>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</si>
  <si>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</si>
  <si>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</si>
  <si>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</si>
  <si>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</si>
  <si>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</si>
  <si>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</si>
  <si>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</si>
  <si>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</si>
  <si>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</si>
  <si>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</si>
  <si>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</si>
  <si>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</si>
  <si>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</si>
  <si>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</si>
  <si>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</si>
  <si>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</si>
  <si>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</si>
  <si>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</si>
  <si>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</si>
  <si>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</si>
  <si>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</si>
  <si>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</si>
  <si>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</si>
  <si>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</si>
  <si>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</si>
  <si>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</si>
  <si>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</si>
  <si>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</si>
  <si>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</si>
  <si>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</si>
  <si>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</si>
  <si>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</si>
  <si>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</si>
  <si>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</si>
  <si>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</si>
  <si>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</si>
  <si>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</si>
  <si>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</si>
  <si>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</si>
  <si>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</si>
  <si>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</si>
  <si>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</si>
  <si>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</si>
  <si>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</si>
  <si>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</si>
  <si>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</si>
  <si>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</si>
  <si>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</si>
  <si>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</si>
  <si>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</si>
  <si>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</si>
  <si>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</si>
  <si>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</si>
  <si>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</si>
  <si>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</si>
  <si>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</si>
  <si>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</si>
  <si>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</si>
  <si>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</si>
  <si>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</si>
  <si>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</si>
  <si>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</si>
  <si>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</si>
  <si>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</si>
  <si>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</si>
  <si>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</si>
  <si>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</si>
  <si>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</si>
  <si>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</si>
  <si>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</si>
  <si>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</si>
  <si>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</si>
  <si>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</si>
  <si>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</si>
  <si>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</si>
  <si>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</si>
  <si>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</si>
  <si>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</si>
  <si>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</si>
  <si>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</si>
  <si>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</si>
  <si>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</si>
  <si>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</si>
  <si>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</si>
  <si>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</si>
  <si>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</si>
  <si>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</si>
  <si>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</si>
  <si>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</si>
  <si>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</si>
  <si>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</si>
  <si>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</si>
  <si>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</si>
  <si>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</si>
  <si>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</si>
  <si>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</si>
  <si>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</si>
  <si>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</si>
  <si>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</si>
  <si>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</si>
  <si>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</si>
  <si>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</si>
  <si>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</si>
  <si>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</si>
  <si>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</si>
  <si>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</si>
  <si>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</si>
  <si>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</si>
  <si>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</si>
  <si>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</si>
  <si>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</si>
  <si>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</si>
  <si>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</si>
  <si>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</si>
  <si>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</si>
  <si>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</si>
  <si>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</si>
  <si>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</si>
  <si>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</si>
  <si>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</si>
  <si>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</si>
  <si>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</si>
  <si>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</si>
  <si>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</si>
  <si>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</si>
  <si>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</si>
  <si>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</si>
  <si>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</si>
  <si>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</si>
  <si>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</si>
  <si>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</si>
  <si>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</si>
  <si>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</si>
  <si>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</si>
  <si>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</si>
  <si>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</si>
  <si>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</si>
  <si>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</si>
  <si>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</si>
  <si>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</si>
  <si>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</si>
  <si>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</si>
  <si>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</si>
  <si>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</si>
  <si>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</si>
  <si>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</si>
  <si>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</si>
  <si>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</si>
  <si>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</si>
  <si>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</si>
  <si>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</si>
  <si>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</si>
  <si>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</si>
  <si>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</si>
  <si>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</si>
  <si>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</si>
  <si>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</si>
  <si>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</si>
  <si>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</si>
  <si>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</si>
  <si>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</si>
  <si>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</si>
  <si>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</si>
  <si>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</si>
  <si>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</si>
  <si>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</si>
  <si>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</si>
  <si>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</si>
  <si>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</si>
  <si>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</si>
  <si>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</si>
  <si>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</si>
  <si>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</si>
  <si>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</si>
  <si>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</si>
  <si>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</si>
  <si>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</si>
  <si>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</si>
  <si>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</si>
  <si>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</si>
  <si>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</si>
  <si>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</si>
  <si>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</si>
  <si>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</si>
  <si>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</si>
  <si>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</si>
  <si>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</si>
  <si>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</si>
  <si>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</si>
  <si>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</si>
  <si>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</si>
  <si>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</si>
  <si>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</si>
  <si>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</si>
  <si>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</si>
  <si>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</si>
  <si>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</si>
  <si>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</si>
  <si>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</si>
  <si>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</si>
  <si>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</si>
  <si>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</si>
  <si>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</si>
  <si>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</si>
  <si>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</si>
  <si>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</si>
  <si>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</si>
  <si>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</si>
  <si>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</si>
  <si>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</si>
  <si>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</si>
  <si>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</si>
  <si>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</si>
  <si>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</si>
  <si>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</si>
  <si>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</si>
  <si>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</si>
  <si>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</si>
  <si>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</si>
  <si>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</si>
  <si>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</si>
  <si>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</si>
  <si>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</si>
  <si>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</si>
  <si>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</si>
  <si>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</si>
  <si>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</si>
  <si>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</si>
  <si>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</si>
  <si>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</si>
  <si>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</si>
  <si>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</si>
  <si>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</si>
  <si>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</si>
  <si>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</si>
  <si>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</si>
  <si>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</si>
  <si>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</si>
  <si>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</si>
  <si>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</si>
  <si>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</si>
  <si>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</si>
  <si>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</si>
  <si>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</si>
  <si>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</si>
  <si>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</si>
  <si>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</si>
  <si>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</si>
  <si>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</si>
  <si>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</si>
  <si>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</si>
  <si>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</si>
  <si>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</si>
  <si>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</si>
  <si>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</si>
  <si>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</si>
  <si>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</si>
  <si>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</si>
  <si>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</si>
  <si>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</si>
  <si>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</si>
  <si>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</si>
  <si>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</si>
  <si>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</si>
  <si>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</si>
  <si>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</si>
  <si>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</si>
  <si>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</si>
  <si>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</si>
  <si>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</si>
  <si>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</si>
  <si>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</si>
  <si>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</si>
  <si>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</si>
  <si>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</si>
  <si>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</si>
  <si>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</si>
  <si>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</si>
  <si>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</si>
  <si>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</si>
  <si>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</si>
  <si>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</si>
  <si>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</si>
  <si>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</si>
  <si>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</si>
  <si>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</si>
  <si>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</si>
  <si>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</si>
  <si>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</si>
  <si>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</si>
  <si>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</si>
  <si>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</si>
  <si>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</si>
  <si>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</si>
  <si>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</si>
  <si>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</si>
  <si>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</si>
  <si>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</si>
  <si>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</si>
  <si>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</si>
  <si>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</si>
  <si>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</si>
  <si>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</si>
  <si>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</si>
  <si>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</si>
  <si>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</si>
  <si>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</si>
  <si>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</si>
  <si>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</si>
  <si>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</si>
  <si>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</si>
  <si>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</si>
  <si>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</si>
  <si>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</si>
  <si>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</si>
  <si>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</si>
  <si>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</si>
  <si>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</si>
  <si>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</si>
  <si>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</si>
  <si>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</si>
  <si>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</si>
  <si>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</si>
  <si>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</si>
  <si>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</si>
  <si>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</si>
  <si>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</si>
  <si>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</si>
  <si>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</si>
  <si>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</si>
  <si>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</si>
  <si>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</si>
  <si>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</si>
  <si>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</si>
  <si>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</si>
  <si>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</si>
  <si>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</si>
  <si>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</si>
  <si>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</si>
  <si>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</si>
  <si>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</si>
  <si>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</si>
  <si>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</si>
  <si>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</si>
  <si>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</si>
  <si>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</si>
  <si>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</si>
  <si>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</si>
  <si>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</si>
  <si>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</si>
  <si>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</si>
  <si>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</si>
  <si>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</si>
  <si>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</si>
  <si>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</si>
  <si>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</si>
  <si>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</si>
  <si>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</si>
  <si>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</si>
  <si>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</si>
  <si>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</si>
  <si>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</si>
  <si>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</si>
  <si>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</si>
  <si>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</si>
  <si>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</si>
  <si>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</si>
  <si>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</si>
  <si>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</si>
  <si>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</si>
  <si>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</si>
  <si>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</si>
  <si>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</si>
  <si>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</si>
  <si>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</si>
  <si>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</si>
  <si>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</si>
  <si>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</si>
  <si>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</si>
  <si>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</si>
  <si>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</si>
  <si>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</si>
  <si>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</si>
  <si>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</si>
  <si>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</si>
  <si>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</si>
  <si>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</si>
  <si>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</si>
  <si>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</si>
  <si>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</si>
  <si>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</si>
  <si>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</si>
  <si>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</si>
  <si>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</si>
  <si>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</si>
  <si>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</si>
  <si>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</si>
  <si>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</si>
  <si>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</si>
  <si>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</si>
  <si>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</si>
  <si>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</si>
  <si>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</si>
  <si>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</si>
  <si>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</si>
  <si>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</si>
  <si>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</si>
  <si>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</si>
  <si>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</si>
  <si>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</si>
  <si>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</si>
  <si>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</si>
  <si>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</si>
  <si>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</si>
  <si>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</si>
  <si>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</si>
  <si>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</si>
  <si>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</si>
  <si>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</si>
  <si>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</si>
  <si>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</si>
  <si>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</si>
  <si>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</si>
  <si>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</si>
  <si>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</si>
  <si>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</si>
  <si>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</si>
  <si>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</si>
  <si>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</si>
  <si>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</si>
  <si>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</si>
  <si>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</si>
  <si>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</si>
  <si>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</si>
  <si>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</si>
  <si>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</si>
  <si>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</si>
  <si>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</si>
  <si>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</si>
  <si>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</si>
  <si>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</si>
  <si>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</si>
  <si>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</si>
  <si>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</si>
  <si>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</si>
  <si>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</si>
  <si>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</si>
  <si>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</si>
  <si>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</si>
  <si>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</si>
  <si>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</si>
  <si>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</si>
  <si>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</si>
  <si>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</si>
  <si>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</si>
  <si>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</si>
  <si>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</si>
  <si>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</si>
  <si>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</si>
  <si>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</si>
  <si>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</si>
  <si>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</si>
  <si>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</si>
  <si>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</si>
  <si>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</si>
  <si>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</si>
  <si>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</si>
  <si>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</si>
  <si>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</si>
  <si>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</si>
  <si>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</si>
  <si>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</si>
  <si>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</si>
  <si>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</si>
  <si>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</si>
  <si>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</si>
  <si>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</si>
  <si>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</si>
  <si>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</si>
  <si>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</si>
  <si>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</si>
  <si>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</si>
  <si>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</si>
  <si>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</si>
  <si>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</si>
  <si>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</si>
  <si>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</si>
  <si>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</si>
  <si>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</si>
  <si>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</si>
  <si>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</si>
  <si>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</si>
  <si>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</si>
  <si>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</si>
  <si>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</si>
  <si>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</si>
  <si>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</si>
  <si>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</si>
  <si>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</si>
  <si>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</si>
  <si>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</si>
  <si>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</si>
  <si>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</si>
  <si>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</si>
  <si>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</si>
  <si>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</si>
  <si>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</si>
  <si>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</si>
  <si>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</si>
  <si>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</si>
  <si>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</si>
  <si>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</si>
  <si>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</si>
  <si>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</si>
  <si>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</si>
  <si>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</si>
  <si>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</si>
  <si>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</si>
  <si>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</si>
  <si>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</si>
  <si>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</si>
  <si>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</si>
  <si>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</si>
  <si>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</si>
  <si>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</si>
  <si>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</si>
  <si>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</si>
  <si>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</si>
  <si>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</si>
  <si>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</si>
  <si>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</si>
  <si>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</si>
  <si>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</si>
  <si>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</si>
  <si>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</si>
  <si>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</si>
  <si>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</si>
  <si>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</si>
  <si>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</si>
  <si>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</si>
  <si>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</si>
  <si>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</si>
  <si>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</si>
  <si>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</si>
  <si>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</si>
  <si>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</si>
  <si>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</si>
  <si>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</si>
  <si>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</si>
  <si>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</si>
  <si>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</si>
  <si>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</si>
  <si>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</si>
  <si>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</si>
  <si>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</si>
  <si>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</si>
  <si>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</si>
  <si>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</si>
  <si>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</si>
  <si>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</si>
  <si>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</si>
  <si>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</si>
  <si>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</si>
  <si>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</si>
  <si>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</si>
  <si>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</si>
  <si>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</si>
  <si>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</si>
  <si>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</si>
  <si>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</si>
  <si>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</si>
  <si>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</si>
  <si>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</si>
  <si>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</si>
  <si>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</si>
  <si>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</si>
  <si>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</si>
  <si>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</si>
  <si>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</si>
  <si>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</si>
  <si>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</si>
  <si>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</si>
  <si>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</si>
  <si>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</si>
  <si>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</si>
  <si>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</si>
  <si>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</si>
  <si>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</si>
  <si>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</si>
  <si>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</si>
  <si>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</si>
  <si>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</si>
  <si>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</si>
  <si>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</si>
  <si>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</si>
  <si>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</si>
  <si>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</si>
  <si>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</si>
  <si>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</si>
  <si>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</si>
  <si>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</si>
  <si>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</si>
  <si>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</si>
  <si>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</si>
  <si>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</si>
  <si>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</si>
  <si>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</si>
  <si>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</si>
  <si>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</si>
  <si>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</si>
  <si>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</si>
  <si>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</si>
  <si>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</si>
  <si>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</si>
  <si>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</si>
  <si>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</si>
  <si>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</si>
  <si>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</si>
  <si>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</si>
  <si>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</si>
  <si>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</si>
  <si>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</si>
  <si>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</si>
  <si>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</si>
  <si>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</si>
  <si>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</si>
  <si>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</si>
  <si>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</si>
  <si>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</si>
  <si>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</si>
  <si>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</si>
  <si>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</si>
  <si>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</si>
  <si>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</si>
  <si>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</si>
  <si>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</si>
  <si>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</si>
  <si>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</si>
  <si>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</si>
  <si>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</si>
  <si>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</si>
  <si>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</si>
  <si>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</si>
  <si>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</si>
  <si>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</si>
  <si>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</si>
  <si>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</si>
  <si>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</si>
  <si>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</si>
  <si>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</si>
  <si>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</si>
  <si>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</si>
  <si>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</si>
  <si>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</si>
  <si>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</si>
  <si>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</si>
  <si>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</si>
  <si>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</si>
  <si>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</si>
  <si>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</si>
  <si>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</si>
  <si>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</si>
  <si>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</si>
  <si>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</si>
  <si>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</si>
  <si>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</si>
  <si>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</si>
  <si>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</si>
  <si>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</si>
  <si>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</si>
  <si>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</si>
  <si>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</si>
  <si>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</si>
  <si>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</si>
  <si>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</si>
  <si>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</si>
  <si>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</si>
  <si>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</si>
  <si>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</si>
  <si>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</si>
  <si>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</si>
  <si>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</si>
  <si>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</si>
  <si>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</si>
  <si>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</si>
  <si>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</si>
  <si>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</si>
  <si>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</si>
  <si>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</si>
  <si>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</si>
  <si>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</si>
  <si>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</si>
  <si>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</si>
  <si>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</si>
  <si>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</si>
  <si>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</si>
  <si>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</si>
  <si>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</si>
  <si>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</si>
  <si>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</si>
  <si>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</si>
  <si>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</si>
  <si>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</si>
  <si>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</si>
  <si>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</si>
  <si>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</si>
  <si>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</si>
  <si>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</si>
  <si>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</si>
  <si>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</si>
  <si>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</si>
  <si>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</si>
  <si>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</si>
  <si>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</si>
  <si>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</si>
  <si>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</si>
  <si>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</si>
  <si>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</si>
  <si>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</si>
  <si>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</si>
  <si>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</si>
  <si>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</si>
  <si>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</si>
  <si>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</si>
  <si>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</si>
  <si>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</si>
  <si>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</si>
  <si>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</si>
  <si>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</si>
  <si>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</si>
  <si>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</si>
  <si>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</si>
  <si>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</si>
  <si>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</si>
  <si>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</si>
  <si>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</si>
  <si>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</si>
  <si>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</si>
  <si>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</si>
  <si>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</si>
  <si>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</si>
  <si>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</si>
  <si>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</si>
  <si>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</si>
  <si>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</si>
  <si>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</si>
  <si>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</si>
  <si>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</si>
  <si>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</si>
  <si>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</si>
  <si>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</si>
  <si>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</si>
  <si>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</si>
  <si>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</si>
  <si>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</si>
  <si>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</si>
  <si>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</si>
  <si>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</si>
  <si>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</si>
  <si>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</si>
  <si>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</si>
  <si>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</si>
  <si>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</si>
  <si>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</si>
  <si>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</si>
  <si>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</si>
  <si>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</si>
  <si>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</si>
  <si>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</si>
  <si>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</si>
  <si>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</si>
  <si>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</si>
  <si>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</si>
  <si>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</si>
  <si>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</si>
  <si>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</si>
  <si>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</si>
  <si>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</si>
  <si>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</si>
  <si>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</si>
  <si>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</si>
  <si>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</si>
  <si>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</si>
  <si>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</si>
  <si>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</si>
  <si>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</si>
  <si>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</si>
  <si>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</si>
  <si>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</si>
  <si>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</si>
  <si>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</si>
  <si>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</si>
  <si>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</si>
  <si>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</si>
  <si>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</si>
  <si>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</si>
  <si>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</si>
  <si>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</si>
  <si>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</si>
  <si>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</si>
  <si>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</si>
  <si>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</si>
  <si>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</si>
  <si>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</si>
  <si>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</si>
  <si>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</si>
  <si>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</si>
  <si>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</si>
  <si>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</si>
  <si>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</si>
  <si>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</si>
  <si>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</si>
  <si>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</si>
  <si>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</si>
  <si>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</si>
  <si>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</si>
  <si>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</si>
  <si>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</si>
  <si>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</si>
  <si>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</si>
  <si>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</si>
  <si>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</si>
  <si>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</si>
  <si>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</si>
  <si>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</si>
  <si>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</si>
  <si>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</si>
  <si>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</si>
  <si>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</si>
  <si>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</si>
  <si>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</si>
  <si>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</si>
  <si>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</si>
  <si>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</si>
  <si>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</si>
  <si>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</si>
  <si>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</si>
  <si>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</si>
  <si>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</si>
  <si>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</si>
  <si>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</si>
  <si>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</si>
  <si>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</si>
  <si>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</si>
  <si>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</si>
  <si>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</si>
  <si>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</si>
  <si>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</si>
  <si>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</si>
  <si>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</si>
  <si>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</si>
  <si>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</si>
  <si>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</si>
  <si>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</si>
  <si>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</si>
  <si>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</si>
  <si>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</si>
  <si>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</si>
  <si>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</si>
  <si>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</si>
  <si>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</si>
  <si>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</si>
  <si>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</si>
  <si>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</si>
  <si>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</si>
  <si>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</si>
  <si>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</si>
  <si>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</si>
  <si>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</si>
  <si>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</si>
  <si>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</si>
  <si>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</si>
  <si>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</si>
  <si>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</si>
  <si>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</si>
  <si>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</si>
  <si>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</si>
  <si>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</si>
  <si>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</si>
  <si>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</si>
  <si>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</si>
  <si>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</si>
  <si>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</si>
  <si>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</si>
  <si>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</si>
  <si>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</si>
  <si>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</si>
  <si>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</si>
  <si>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</si>
  <si>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</si>
  <si>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</si>
  <si>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</si>
  <si>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</si>
  <si>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</si>
  <si>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</si>
  <si>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</si>
  <si>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</si>
  <si>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</si>
  <si>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</si>
  <si>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</si>
  <si>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</si>
  <si>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</si>
  <si>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</si>
  <si>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</si>
  <si>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</si>
  <si>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</si>
  <si>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</si>
  <si>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</si>
  <si>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</si>
  <si>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</si>
  <si>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</si>
  <si>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</si>
  <si>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</si>
  <si>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</si>
  <si>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</si>
  <si>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</si>
  <si>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</si>
  <si>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</si>
  <si>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</si>
  <si>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</si>
  <si>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</si>
  <si>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</si>
  <si>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</si>
  <si>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</si>
  <si>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</si>
  <si>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</si>
  <si>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</si>
  <si>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</si>
  <si>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</si>
  <si>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</si>
  <si>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</si>
  <si>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</si>
  <si>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</si>
  <si>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</si>
  <si>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</si>
  <si>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</si>
  <si>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</si>
  <si>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</si>
  <si>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</si>
  <si>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</si>
  <si>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</si>
  <si>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</si>
  <si>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</si>
  <si>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</si>
  <si>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</si>
  <si>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</si>
  <si>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</si>
  <si>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</si>
  <si>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</si>
  <si>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</si>
  <si>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</si>
  <si>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</si>
  <si>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</si>
  <si>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</si>
  <si>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</si>
  <si>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</si>
  <si>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</si>
  <si>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</si>
  <si>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</si>
  <si>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</si>
  <si>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</si>
  <si>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</si>
  <si>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</si>
  <si>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</si>
  <si>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</si>
  <si>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</si>
  <si>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</si>
  <si>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</si>
  <si>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</si>
  <si>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</si>
  <si>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</si>
  <si>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</si>
  <si>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</si>
  <si>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</si>
  <si>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</si>
  <si>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</si>
  <si>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</si>
  <si>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</si>
  <si>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</si>
  <si>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</si>
  <si>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</si>
  <si>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</si>
  <si>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</si>
  <si>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</si>
  <si>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</si>
  <si>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</si>
  <si>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</si>
  <si>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</si>
  <si>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</si>
  <si>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</si>
  <si>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</si>
  <si>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</si>
  <si>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</si>
  <si>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</si>
  <si>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</si>
  <si>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</si>
  <si>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</si>
  <si>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</si>
  <si>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</si>
  <si>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</si>
  <si>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</si>
  <si>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</si>
  <si>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</si>
  <si>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</si>
  <si>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</si>
  <si>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</si>
  <si>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</si>
  <si>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</si>
  <si>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</si>
  <si>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</si>
  <si>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</si>
  <si>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</si>
  <si>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</si>
  <si>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</si>
  <si>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</si>
  <si>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</si>
  <si>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</si>
  <si>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</si>
  <si>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</si>
  <si>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</si>
  <si>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</si>
  <si>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</si>
  <si>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</si>
  <si>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</si>
  <si>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</si>
  <si>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</si>
  <si>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</si>
  <si>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</si>
  <si>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</si>
  <si>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</si>
  <si>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</si>
  <si>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</si>
  <si>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</si>
  <si>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</si>
  <si>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</si>
  <si>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</si>
  <si>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</si>
  <si>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</si>
  <si>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</si>
  <si>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</si>
  <si>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</si>
  <si>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</si>
  <si>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</si>
  <si>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</si>
  <si>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</si>
  <si>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</si>
  <si>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</si>
  <si>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</si>
  <si>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</si>
  <si>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</si>
  <si>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</si>
  <si>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</si>
  <si>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</si>
  <si>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</si>
  <si>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</si>
  <si>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</si>
  <si>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</si>
  <si>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</si>
  <si>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</si>
  <si>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</si>
  <si>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</si>
  <si>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</si>
  <si>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</si>
  <si>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</si>
  <si>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</si>
  <si>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</si>
  <si>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</si>
  <si>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</si>
  <si>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</si>
  <si>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</si>
  <si>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</si>
  <si>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</si>
  <si>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</si>
  <si>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</si>
  <si>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</si>
  <si>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</si>
  <si>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</si>
  <si>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</si>
  <si>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</si>
  <si>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</si>
  <si>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</si>
  <si>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</si>
  <si>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</si>
  <si>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</si>
  <si>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</si>
  <si>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</si>
  <si>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</si>
  <si>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</si>
  <si>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</si>
  <si>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</si>
  <si>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</si>
  <si>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</si>
  <si>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</si>
  <si>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</si>
  <si>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</si>
  <si>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</si>
  <si>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</si>
  <si>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</si>
  <si>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</si>
  <si>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</si>
  <si>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</si>
  <si>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</si>
  <si>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</si>
  <si>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</si>
  <si>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</si>
  <si>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</si>
  <si>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</si>
  <si>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</si>
  <si>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</si>
  <si>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</si>
  <si>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</si>
  <si>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</si>
  <si>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</si>
  <si>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</si>
  <si>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</si>
  <si>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</si>
  <si>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</si>
  <si>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</si>
  <si>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</si>
  <si>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</si>
  <si>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</si>
  <si>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</si>
  <si>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</si>
  <si>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</si>
  <si>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</si>
  <si>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</si>
  <si>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</si>
  <si>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</si>
  <si>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</si>
  <si>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</si>
  <si>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</si>
  <si>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</si>
  <si>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</si>
  <si>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</si>
  <si>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</si>
  <si>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</si>
  <si>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</si>
  <si>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</si>
  <si>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</si>
  <si>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</si>
  <si>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</si>
  <si>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</si>
  <si>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</si>
  <si>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</si>
  <si>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</si>
  <si>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</si>
  <si>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</si>
  <si>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</si>
  <si>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</si>
  <si>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</si>
  <si>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</si>
  <si>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</si>
  <si>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</si>
  <si>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</si>
  <si>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</si>
  <si>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</si>
  <si>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</si>
  <si>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</si>
  <si>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</si>
  <si>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</si>
  <si>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</si>
  <si>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</si>
  <si>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</si>
  <si>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</si>
  <si>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</si>
  <si>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</si>
  <si>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</si>
  <si>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</si>
  <si>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</si>
  <si>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</si>
  <si>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</si>
  <si>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</si>
  <si>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</si>
  <si>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</si>
  <si>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</si>
  <si>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</si>
  <si>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</si>
  <si>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</si>
  <si>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</si>
  <si>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</si>
  <si>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</si>
  <si>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</si>
  <si>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</si>
  <si>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</si>
  <si>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</si>
  <si>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</si>
  <si>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</si>
  <si>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</si>
  <si>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</si>
  <si>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</si>
  <si>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</si>
  <si>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</si>
  <si>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</si>
  <si>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</si>
  <si>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</si>
  <si>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</si>
  <si>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</si>
  <si>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</si>
  <si>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</si>
  <si>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</si>
  <si>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</si>
  <si>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</si>
  <si>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</si>
  <si>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</si>
  <si>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</si>
  <si>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</si>
  <si>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</si>
  <si>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</si>
  <si>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</si>
  <si>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</si>
  <si>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</si>
  <si>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</si>
  <si>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</si>
  <si>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</si>
  <si>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</si>
  <si>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</si>
  <si>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</si>
  <si>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</si>
  <si>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</si>
  <si>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</si>
  <si>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</si>
  <si>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</si>
  <si>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</si>
  <si>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</si>
  <si>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</si>
  <si>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</si>
  <si>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</si>
  <si>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</si>
  <si>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</si>
  <si>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</si>
  <si>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</si>
  <si>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</si>
  <si>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</si>
  <si>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</si>
  <si>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</si>
  <si>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</si>
  <si>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</si>
  <si>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</si>
  <si>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</si>
  <si>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</si>
  <si>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</si>
  <si>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</si>
  <si>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</si>
  <si>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</si>
  <si>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</si>
  <si>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</si>
  <si>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</si>
  <si>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</si>
  <si>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</si>
  <si>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</si>
  <si>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</si>
  <si>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</si>
  <si>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</si>
  <si>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</si>
  <si>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</si>
  <si>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</si>
  <si>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</si>
  <si>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</si>
  <si>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</si>
  <si>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</si>
  <si>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</si>
  <si>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</si>
  <si>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</si>
  <si>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</si>
  <si>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</si>
  <si>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</si>
  <si>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</si>
  <si>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</si>
  <si>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</si>
  <si>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</si>
  <si>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</si>
  <si>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</si>
  <si>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</si>
  <si>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</si>
  <si>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</si>
  <si>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</si>
  <si>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</si>
  <si>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</si>
  <si>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</si>
  <si>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</si>
  <si>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</si>
  <si>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</si>
  <si>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</si>
  <si>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</si>
  <si>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</si>
  <si>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</si>
  <si>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</si>
  <si>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</si>
  <si>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</si>
  <si>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</si>
  <si>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</si>
  <si>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</si>
  <si>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</si>
  <si>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</si>
  <si>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</si>
  <si>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</si>
  <si>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</si>
  <si>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</si>
  <si>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</si>
  <si>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</si>
  <si>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</si>
  <si>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</si>
  <si>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</si>
  <si>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</si>
  <si>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</si>
  <si>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</si>
  <si>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</si>
  <si>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</si>
  <si>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</si>
  <si>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</si>
  <si>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</si>
  <si>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</si>
  <si>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</si>
  <si>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</si>
  <si>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</si>
  <si>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</si>
  <si>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</si>
  <si>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</si>
  <si>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</si>
  <si>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</si>
  <si>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</si>
  <si>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</si>
  <si>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</si>
  <si>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</si>
  <si>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</si>
  <si>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</si>
  <si>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</si>
  <si>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</si>
  <si>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</si>
  <si>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</si>
  <si>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</si>
  <si>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</si>
  <si>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</si>
  <si>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</si>
  <si>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</si>
  <si>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</si>
  <si>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</si>
  <si>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</si>
  <si>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</si>
  <si>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</si>
  <si>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</si>
  <si>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</si>
  <si>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</si>
  <si>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</si>
  <si>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</si>
  <si>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</si>
  <si>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</si>
  <si>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</si>
  <si>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</si>
  <si>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</si>
  <si>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</si>
  <si>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</si>
  <si>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</si>
  <si>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</si>
  <si>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</si>
  <si>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</si>
  <si>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</si>
  <si>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</si>
  <si>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</si>
  <si>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</si>
  <si>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</si>
  <si>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</si>
  <si>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</si>
  <si>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</si>
  <si>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</si>
  <si>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</si>
  <si>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</si>
  <si>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</si>
  <si>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</si>
  <si>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</si>
  <si>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</si>
  <si>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</si>
  <si>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</si>
  <si>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</si>
  <si>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</si>
  <si>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</si>
  <si>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</si>
  <si>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</si>
  <si>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</si>
  <si>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</si>
  <si>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</si>
  <si>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</si>
  <si>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</si>
  <si>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</si>
  <si>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</si>
  <si>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</si>
  <si>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</si>
  <si>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</si>
  <si>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</si>
  <si>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</si>
  <si>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</si>
  <si>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</si>
  <si>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</si>
  <si>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</si>
  <si>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</si>
  <si>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</si>
  <si>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</si>
  <si>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</si>
  <si>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</si>
  <si>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</si>
  <si>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</si>
  <si>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</si>
  <si>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</si>
  <si>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</si>
  <si>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</si>
  <si>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</si>
  <si>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</si>
  <si>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</si>
  <si>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</si>
  <si>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</si>
  <si>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</si>
  <si>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</si>
  <si>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</si>
  <si>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</si>
  <si>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</si>
  <si>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</si>
  <si>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</si>
  <si>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</si>
  <si>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</si>
  <si>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</si>
  <si>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</si>
  <si>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</si>
  <si>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</si>
  <si>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</si>
  <si>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</si>
  <si>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</si>
  <si>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</si>
  <si>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</si>
  <si>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</si>
  <si>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</si>
  <si>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</si>
  <si>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</si>
  <si>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</si>
  <si>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</si>
  <si>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</si>
  <si>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</si>
  <si>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</si>
  <si>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</si>
  <si>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</si>
  <si>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</si>
  <si>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</si>
  <si>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</si>
  <si>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</si>
  <si>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</si>
  <si>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</si>
  <si>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</si>
  <si>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</si>
  <si>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</si>
  <si>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</si>
  <si>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</si>
  <si>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</si>
  <si>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</si>
  <si>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</si>
  <si>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</si>
  <si>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</si>
  <si>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</si>
  <si>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</si>
  <si>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</si>
  <si>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</si>
  <si>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</si>
  <si>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</si>
  <si>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</si>
  <si>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</si>
  <si>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</si>
  <si>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</si>
  <si>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</si>
  <si>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</si>
  <si>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</si>
  <si>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</si>
  <si>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</si>
  <si>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</si>
  <si>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</si>
  <si>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</si>
  <si>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</si>
  <si>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</si>
  <si>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</si>
  <si>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</si>
  <si>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</si>
  <si>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</si>
  <si>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</si>
  <si>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</si>
  <si>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</si>
  <si>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</si>
  <si>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</si>
  <si>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</si>
  <si>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</si>
  <si>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</si>
  <si>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</si>
  <si>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</si>
  <si>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</si>
  <si>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</si>
  <si>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</si>
  <si>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</si>
  <si>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</si>
  <si>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</si>
  <si>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</si>
  <si>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</si>
  <si>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</si>
  <si>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</si>
  <si>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</si>
  <si>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</si>
  <si>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</si>
  <si>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</si>
  <si>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</si>
  <si>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</si>
  <si>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</si>
  <si>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</si>
  <si>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</si>
  <si>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</si>
  <si>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</si>
  <si>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</si>
  <si>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</si>
  <si>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</si>
  <si>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</si>
  <si>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</si>
  <si>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</si>
  <si>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</si>
  <si>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</si>
  <si>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</si>
  <si>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</si>
  <si>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</si>
  <si>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</si>
  <si>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</si>
  <si>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</si>
  <si>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</si>
  <si>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</si>
  <si>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</si>
  <si>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</si>
  <si>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</si>
  <si>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</si>
  <si>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</si>
  <si>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</si>
  <si>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</si>
  <si>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</si>
  <si>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</si>
  <si>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</si>
  <si>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</si>
  <si>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</si>
  <si>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</si>
  <si>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</si>
  <si>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</si>
  <si>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</si>
  <si>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</si>
  <si>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</si>
  <si>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</si>
  <si>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</si>
  <si>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</si>
  <si>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</si>
  <si>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</si>
  <si>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</si>
  <si>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</si>
  <si>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</si>
  <si>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</si>
  <si>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</si>
  <si>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</si>
  <si>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</si>
  <si>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</si>
  <si>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</si>
  <si>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</si>
  <si>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</si>
  <si>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</si>
  <si>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</si>
  <si>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</si>
  <si>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</si>
  <si>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</si>
  <si>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</si>
  <si>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</si>
  <si>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</si>
  <si>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</si>
  <si>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</si>
  <si>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</si>
  <si>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</si>
  <si>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</si>
  <si>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</si>
  <si>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</si>
  <si>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</si>
  <si>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</si>
  <si>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</si>
  <si>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</si>
  <si>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</si>
  <si>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</si>
  <si>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</si>
  <si>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</si>
  <si>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</si>
  <si>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</si>
  <si>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</si>
  <si>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</si>
  <si>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</si>
  <si>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</si>
  <si>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</si>
  <si>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</si>
  <si>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</si>
  <si>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</si>
  <si>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</si>
  <si>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</si>
  <si>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</si>
  <si>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</si>
  <si>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</si>
  <si>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</si>
  <si>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</si>
  <si>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</si>
  <si>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</si>
  <si>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</si>
  <si>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</si>
  <si>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</si>
  <si>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</si>
  <si>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</si>
  <si>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</si>
  <si>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</si>
  <si>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</si>
  <si>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</si>
  <si>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</si>
  <si>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</si>
  <si>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</si>
  <si>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</si>
  <si>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</si>
  <si>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</si>
  <si>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</si>
  <si>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</si>
  <si>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</si>
  <si>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</si>
  <si>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</si>
  <si>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</si>
  <si>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</si>
  <si>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</si>
  <si>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</si>
  <si>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</si>
  <si>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</si>
  <si>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</si>
  <si>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</si>
  <si>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</si>
  <si>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</si>
  <si>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</si>
  <si>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</si>
  <si>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</si>
  <si>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</si>
  <si>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</si>
  <si>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</si>
  <si>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</si>
  <si>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</si>
  <si>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</si>
  <si>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</si>
  <si>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</si>
  <si>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</si>
  <si>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</si>
  <si>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</si>
  <si>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</si>
  <si>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</si>
  <si>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</si>
  <si>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</si>
  <si>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</si>
  <si>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</si>
  <si>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</si>
  <si>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</si>
  <si>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</si>
  <si>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</si>
  <si>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</si>
  <si>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</si>
  <si>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</si>
  <si>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</si>
  <si>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</si>
  <si>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</si>
  <si>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</si>
  <si>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</si>
  <si>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</si>
  <si>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</si>
  <si>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</si>
  <si>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</si>
  <si>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</si>
  <si>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</si>
  <si>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</si>
  <si>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</si>
  <si>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</si>
  <si>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</si>
  <si>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</si>
  <si>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</si>
  <si>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</si>
  <si>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</si>
  <si>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</si>
  <si>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</si>
  <si>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</si>
  <si>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</si>
  <si>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</si>
  <si>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</si>
  <si>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</si>
  <si>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</si>
  <si>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</si>
  <si>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</si>
  <si>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</si>
  <si>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</si>
  <si>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</si>
  <si>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</si>
  <si>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</si>
  <si>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</si>
  <si>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</si>
  <si>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</si>
  <si>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</si>
  <si>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</si>
  <si>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</si>
  <si>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</si>
  <si>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</si>
  <si>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</si>
  <si>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</si>
  <si>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</si>
  <si>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</si>
  <si>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</si>
  <si>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</si>
  <si>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</si>
  <si>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</si>
  <si>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</si>
  <si>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</si>
  <si>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</si>
  <si>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</si>
  <si>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</si>
  <si>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</si>
  <si>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</si>
  <si>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</si>
  <si>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</si>
  <si>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</si>
  <si>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</si>
  <si>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</si>
  <si>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</si>
  <si>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</si>
  <si>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</si>
  <si>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</si>
  <si>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</si>
  <si>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</si>
  <si>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</si>
  <si>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</si>
  <si>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</si>
  <si>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</si>
  <si>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</si>
  <si>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</si>
  <si>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</si>
  <si>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</si>
  <si>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</si>
  <si>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</si>
  <si>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</si>
  <si>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</si>
  <si>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</si>
  <si>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</si>
  <si>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</si>
  <si>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</si>
  <si>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</si>
  <si>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</si>
  <si>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</si>
  <si>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</si>
  <si>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</si>
  <si>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</si>
  <si>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</si>
  <si>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</si>
  <si>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</si>
  <si>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</si>
  <si>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</si>
  <si>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</si>
  <si>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</si>
  <si>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</si>
  <si>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</si>
  <si>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</si>
  <si>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</si>
  <si>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</si>
  <si>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</si>
  <si>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</si>
  <si>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</si>
  <si>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</si>
  <si>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</si>
  <si>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</si>
  <si>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</si>
  <si>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</si>
  <si>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</si>
  <si>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</si>
  <si>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</si>
  <si>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</si>
  <si>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</si>
  <si>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</si>
  <si>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</si>
  <si>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</si>
  <si>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</si>
  <si>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</si>
  <si>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</si>
  <si>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</si>
  <si>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</si>
  <si>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</si>
  <si>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</si>
  <si>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</si>
  <si>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</si>
  <si>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</si>
  <si>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</si>
  <si>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</si>
  <si>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</si>
  <si>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</si>
  <si>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</si>
  <si>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</si>
  <si>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</si>
  <si>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</si>
  <si>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</si>
  <si>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</si>
  <si>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</si>
  <si>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</si>
  <si>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</si>
  <si>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</si>
  <si>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</si>
  <si>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</si>
  <si>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</si>
  <si>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</si>
  <si>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</si>
  <si>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</si>
  <si>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</si>
  <si>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</si>
  <si>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</si>
  <si>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</si>
  <si>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</si>
  <si>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</si>
  <si>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</si>
  <si>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</si>
  <si>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</si>
  <si>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</si>
  <si>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</si>
  <si>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</si>
  <si>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</si>
  <si>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</si>
  <si>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</si>
  <si>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</si>
  <si>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</si>
  <si>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</si>
  <si>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</si>
  <si>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</si>
  <si>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</si>
  <si>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</si>
  <si>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</si>
  <si>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</si>
  <si>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</si>
  <si>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</si>
  <si>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</si>
  <si>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</si>
  <si>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</si>
  <si>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</si>
  <si>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</si>
  <si>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</si>
  <si>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</si>
  <si>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</si>
  <si>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</si>
  <si>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</si>
  <si>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</si>
  <si>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</si>
  <si>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</si>
  <si>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</si>
  <si>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</si>
  <si>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</si>
  <si>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</si>
  <si>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</si>
  <si>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</si>
  <si>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</si>
  <si>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</si>
  <si>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</si>
  <si>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</si>
  <si>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</si>
  <si>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</si>
  <si>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</si>
  <si>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</si>
  <si>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</si>
  <si>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</si>
  <si>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</si>
  <si>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</si>
  <si>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</si>
  <si>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</si>
  <si>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</si>
  <si>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</si>
  <si>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</si>
  <si>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</si>
  <si>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</si>
  <si>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</si>
  <si>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</si>
  <si>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</si>
  <si>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</si>
  <si>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</si>
  <si>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</si>
  <si>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</si>
  <si>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</si>
  <si>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</si>
  <si>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</si>
  <si>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</si>
  <si>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</si>
  <si>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</si>
  <si>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</si>
  <si>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</si>
  <si>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</si>
  <si>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</si>
  <si>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</si>
  <si>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</si>
  <si>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</si>
  <si>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</si>
  <si>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</si>
  <si>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</si>
  <si>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</si>
  <si>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</si>
  <si>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</si>
  <si>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</si>
  <si>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</si>
  <si>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</si>
  <si>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</si>
  <si>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</si>
  <si>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</si>
  <si>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</si>
  <si>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</si>
  <si>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</si>
  <si>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</si>
  <si>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</si>
  <si>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</si>
  <si>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</si>
  <si>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</si>
  <si>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</si>
  <si>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</si>
  <si>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</si>
  <si>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</si>
  <si>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</si>
  <si>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</si>
  <si>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</si>
  <si>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</si>
  <si>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</si>
  <si>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</si>
  <si>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</si>
  <si>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</si>
  <si>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</si>
  <si>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</si>
  <si>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</si>
  <si>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</si>
  <si>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</si>
  <si>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</si>
  <si>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</si>
  <si>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</si>
  <si>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</si>
  <si>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</si>
  <si>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</si>
  <si>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</si>
  <si>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</si>
  <si>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</si>
  <si>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</si>
  <si>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</si>
  <si>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</si>
  <si>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</si>
  <si>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</si>
  <si>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</si>
  <si>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</si>
  <si>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</si>
  <si>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</si>
  <si>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</si>
  <si>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</si>
  <si>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</si>
  <si>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</si>
  <si>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</si>
  <si>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</si>
  <si>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</si>
  <si>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</si>
  <si>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</si>
  <si>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</si>
  <si>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</si>
  <si>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</si>
  <si>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</si>
  <si>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</si>
  <si>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</si>
  <si>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</si>
  <si>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</si>
  <si>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</si>
  <si>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</si>
  <si>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</si>
  <si>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</si>
  <si>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</si>
  <si>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</si>
  <si>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</si>
  <si>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</si>
  <si>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</si>
  <si>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</si>
  <si>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</si>
  <si>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</si>
  <si>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</si>
  <si>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</si>
  <si>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</si>
  <si>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</si>
  <si>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</si>
  <si>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</si>
  <si>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</si>
  <si>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</si>
  <si>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</si>
  <si>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</si>
  <si>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</si>
  <si>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</si>
  <si>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</si>
  <si>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</si>
  <si>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</si>
  <si>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</si>
  <si>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</si>
  <si>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</si>
  <si>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</si>
  <si>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</si>
  <si>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</si>
  <si>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</si>
  <si>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</si>
  <si>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</si>
  <si>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</si>
  <si>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</si>
  <si>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</si>
  <si>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</si>
  <si>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</si>
  <si>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</si>
  <si>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</si>
  <si>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</si>
  <si>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</si>
  <si>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</si>
  <si>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</si>
  <si>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</si>
  <si>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</si>
  <si>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</si>
  <si>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</si>
  <si>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</si>
  <si>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</si>
  <si>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</si>
  <si>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</si>
  <si>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</si>
  <si>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</si>
  <si>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</si>
  <si>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</si>
  <si>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</si>
  <si>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</si>
  <si>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</si>
  <si>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</si>
  <si>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</si>
  <si>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</si>
  <si>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</si>
  <si>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</si>
  <si>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</si>
  <si>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</si>
  <si>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</si>
  <si>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</si>
  <si>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</si>
  <si>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</si>
  <si>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</si>
  <si>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</si>
  <si>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</si>
  <si>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</si>
  <si>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</si>
  <si>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</si>
  <si>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</si>
  <si>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</si>
  <si>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</si>
  <si>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</si>
  <si>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</si>
  <si>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</si>
  <si>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</si>
  <si>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</si>
  <si>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</si>
  <si>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</si>
  <si>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</si>
  <si>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</si>
  <si>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</si>
  <si>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</si>
  <si>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</si>
  <si>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</si>
  <si>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</si>
  <si>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</si>
  <si>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</si>
  <si>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</si>
  <si>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</si>
  <si>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</si>
  <si>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</si>
  <si>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</si>
  <si>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</si>
  <si>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</si>
  <si>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</si>
  <si>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</si>
  <si>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</si>
  <si>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</si>
  <si>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</si>
  <si>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</si>
  <si>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</si>
  <si>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</si>
  <si>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</si>
  <si>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</si>
  <si>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</si>
  <si>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</si>
  <si>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</si>
  <si>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</si>
  <si>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</si>
  <si>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</si>
  <si>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</si>
  <si>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</si>
  <si>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</si>
  <si>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</si>
  <si>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</si>
  <si>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</si>
  <si>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</si>
  <si>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</si>
  <si>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</si>
  <si>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</si>
  <si>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</si>
  <si>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</si>
  <si>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</si>
  <si>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</si>
  <si>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</si>
  <si>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</si>
  <si>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</si>
  <si>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</si>
  <si>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</si>
  <si>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</si>
  <si>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</si>
  <si>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</si>
  <si>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</si>
  <si>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</si>
  <si>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</si>
  <si>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</si>
  <si>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</si>
  <si>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</si>
  <si>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</si>
  <si>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</si>
  <si>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</si>
  <si>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</si>
  <si>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</si>
  <si>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</si>
  <si>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</si>
  <si>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</si>
  <si>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</si>
  <si>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</si>
  <si>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</si>
  <si>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</si>
  <si>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</si>
  <si>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</si>
  <si>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</si>
  <si>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</si>
  <si>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</si>
  <si>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</si>
  <si>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</si>
  <si>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</si>
  <si>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</si>
  <si>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</si>
  <si>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</si>
  <si>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</si>
  <si>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</si>
  <si>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</si>
  <si>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</si>
  <si>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</si>
  <si>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</si>
  <si>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</si>
  <si>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</si>
  <si>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</si>
  <si>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</si>
  <si>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</si>
  <si>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</si>
  <si>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</si>
  <si>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</si>
  <si>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</si>
  <si>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</si>
  <si>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</si>
  <si>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</si>
  <si>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</si>
  <si>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</si>
  <si>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</si>
  <si>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</si>
  <si>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</si>
  <si>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</si>
  <si>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</si>
  <si>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</si>
  <si>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</si>
  <si>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</si>
  <si>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</si>
  <si>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</si>
  <si>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</si>
  <si>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</si>
  <si>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</si>
  <si>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</si>
  <si>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</si>
  <si>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</si>
  <si>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</si>
  <si>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</si>
  <si>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</si>
  <si>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</si>
  <si>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</si>
  <si>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</si>
  <si>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</si>
  <si>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</si>
  <si>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</si>
  <si>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</si>
  <si>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</si>
  <si>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</si>
  <si>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</si>
  <si>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</si>
  <si>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</si>
  <si>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</si>
  <si>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</si>
  <si>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</si>
  <si>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</si>
  <si>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</si>
  <si>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</si>
  <si>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</si>
  <si>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</si>
  <si>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</si>
  <si>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</si>
  <si>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</si>
  <si>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</si>
  <si>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</si>
  <si>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</si>
  <si>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</si>
  <si>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</si>
  <si>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</si>
  <si>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</si>
  <si>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</si>
  <si>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</si>
  <si>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</si>
  <si>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</si>
  <si>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</si>
  <si>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</si>
  <si>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</si>
  <si>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</si>
  <si>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</si>
  <si>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</si>
  <si>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</si>
  <si>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</si>
  <si>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</si>
  <si>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</si>
  <si>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</si>
  <si>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</si>
  <si>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</si>
  <si>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</si>
  <si>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</si>
  <si>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</si>
  <si>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</si>
  <si>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</si>
  <si>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</si>
  <si>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</si>
  <si>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</si>
  <si>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</si>
  <si>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</si>
  <si>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</si>
  <si>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</si>
  <si>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</si>
  <si>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</si>
  <si>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</si>
  <si>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</si>
  <si>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</si>
  <si>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</si>
  <si>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</si>
  <si>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</si>
  <si>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</si>
  <si>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</si>
  <si>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</si>
  <si>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</si>
  <si>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</si>
  <si>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</si>
  <si>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</si>
  <si>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</si>
  <si>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</si>
  <si>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</si>
  <si>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</si>
  <si>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</si>
  <si>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</si>
  <si>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</si>
  <si>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</si>
  <si>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</si>
  <si>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</si>
  <si>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</si>
  <si>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</si>
  <si>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</si>
  <si>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</si>
  <si>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</si>
  <si>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</si>
  <si>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</si>
  <si>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</si>
  <si>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</si>
  <si>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</si>
  <si>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</si>
  <si>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</si>
  <si>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</si>
  <si>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</si>
  <si>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</si>
  <si>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</si>
  <si>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</si>
  <si>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</si>
  <si>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</si>
  <si>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</si>
  <si>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</si>
  <si>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</si>
  <si>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</si>
  <si>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</si>
  <si>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</si>
  <si>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</si>
  <si>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</si>
  <si>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</si>
  <si>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</si>
  <si>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</si>
  <si>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</si>
  <si>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</si>
  <si>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</si>
  <si>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</si>
  <si>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</si>
  <si>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</si>
  <si>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</si>
  <si>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</si>
  <si>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</si>
  <si>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</si>
  <si>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</si>
  <si>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</si>
  <si>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</si>
  <si>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</si>
  <si>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</si>
  <si>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</si>
  <si>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</si>
  <si>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</si>
  <si>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</si>
  <si>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</si>
  <si>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</si>
  <si>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</si>
  <si>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</si>
  <si>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</si>
  <si>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</si>
  <si>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</si>
  <si>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</si>
  <si>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</si>
  <si>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</si>
  <si>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</si>
  <si>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</si>
  <si>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</si>
  <si>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</si>
  <si>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</si>
  <si>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</si>
  <si>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</si>
  <si>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</si>
  <si>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</si>
  <si>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</si>
  <si>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</si>
  <si>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</si>
  <si>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</si>
  <si>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</si>
  <si>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</si>
  <si>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</si>
  <si>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</si>
  <si>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</si>
  <si>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</si>
  <si>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</si>
  <si>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</si>
  <si>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</si>
  <si>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</si>
  <si>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</si>
  <si>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</si>
  <si>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</si>
  <si>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</si>
  <si>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</si>
  <si>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</si>
  <si>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</si>
  <si>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</si>
  <si>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</si>
  <si>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</si>
  <si>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</si>
  <si>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</si>
  <si>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</si>
  <si>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</si>
  <si>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</si>
  <si>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</si>
  <si>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</si>
  <si>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</si>
  <si>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</si>
  <si>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</si>
  <si>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</si>
  <si>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</si>
  <si>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</si>
  <si>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</si>
  <si>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</si>
  <si>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</si>
  <si>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</si>
  <si>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</si>
  <si>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</si>
  <si>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</si>
  <si>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</si>
  <si>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</si>
  <si>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</si>
  <si>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</si>
  <si>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</si>
  <si>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</si>
  <si>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</si>
  <si>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</si>
  <si>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</si>
  <si>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</si>
  <si>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</si>
  <si>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</si>
  <si>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</si>
  <si>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</si>
  <si>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</si>
  <si>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</si>
  <si>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</si>
  <si>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</si>
  <si>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</si>
  <si>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</si>
  <si>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</si>
  <si>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</si>
  <si>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</si>
  <si>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</si>
  <si>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</si>
  <si>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</si>
  <si>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</si>
  <si>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</si>
  <si>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</si>
  <si>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</si>
  <si>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</si>
  <si>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</si>
  <si>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</si>
  <si>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</si>
  <si>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</si>
  <si>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</si>
  <si>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</si>
  <si>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</si>
  <si>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</si>
  <si>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</si>
  <si>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</si>
  <si>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</si>
  <si>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</si>
  <si>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</si>
  <si>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</si>
  <si>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</si>
  <si>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</si>
  <si>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</si>
  <si>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</si>
  <si>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</si>
  <si>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</si>
  <si>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</si>
  <si>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</si>
  <si>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</si>
  <si>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</si>
  <si>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</si>
  <si>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</si>
  <si>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</si>
  <si>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</si>
  <si>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</si>
  <si>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</si>
  <si>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</si>
  <si>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</si>
  <si>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</si>
  <si>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</si>
  <si>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</si>
  <si>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</si>
  <si>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</si>
  <si>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</si>
  <si>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</si>
  <si>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</si>
  <si>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</si>
  <si>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</si>
  <si>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</si>
  <si>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</si>
  <si>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</si>
  <si>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</si>
  <si>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</si>
  <si>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</si>
  <si>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</si>
  <si>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</si>
  <si>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</si>
  <si>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</si>
  <si>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</si>
  <si>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</si>
  <si>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</si>
  <si>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</si>
  <si>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</si>
  <si>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</si>
  <si>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</si>
  <si>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</si>
  <si>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</si>
  <si>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</si>
  <si>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</si>
  <si>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</si>
  <si>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</si>
  <si>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</si>
  <si>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</si>
  <si>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</si>
  <si>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</si>
  <si>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</si>
  <si>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</si>
  <si>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</si>
  <si>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</si>
  <si>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</si>
  <si>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</si>
  <si>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</si>
  <si>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</si>
  <si>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</si>
  <si>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</si>
  <si>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</si>
  <si>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</si>
  <si>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</si>
  <si>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</si>
  <si>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</si>
  <si>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</si>
  <si>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</si>
  <si>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</si>
  <si>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</si>
  <si>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</si>
  <si>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</si>
  <si>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</si>
  <si>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</si>
  <si>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</si>
  <si>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</si>
  <si>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</si>
  <si>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</si>
  <si>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</si>
  <si>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</si>
  <si>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</si>
  <si>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</si>
  <si>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</si>
  <si>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</si>
  <si>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</si>
  <si>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</si>
  <si>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</si>
  <si>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</si>
  <si>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</si>
  <si>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</si>
  <si>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</si>
  <si>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</si>
  <si>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</si>
  <si>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</si>
  <si>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</si>
  <si>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</si>
  <si>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</si>
  <si>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</si>
  <si>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</si>
  <si>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</si>
  <si>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</si>
  <si>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</si>
  <si>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</si>
  <si>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</si>
  <si>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</si>
  <si>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</si>
  <si>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</si>
  <si>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</si>
  <si>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</si>
  <si>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</si>
  <si>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</si>
  <si>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</si>
  <si>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</si>
  <si>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</si>
  <si>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</si>
  <si>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</si>
  <si>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</si>
  <si>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</si>
  <si>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</si>
  <si>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</si>
  <si>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</si>
  <si>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</si>
  <si>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</si>
  <si>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</si>
  <si>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</si>
  <si>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</si>
  <si>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</si>
  <si>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</si>
  <si>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</si>
  <si>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</si>
  <si>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</si>
  <si>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</si>
  <si>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</si>
  <si>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</si>
  <si>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</si>
  <si>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</si>
  <si>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</si>
  <si>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</si>
  <si>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</si>
  <si>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</si>
  <si>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</si>
  <si>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</si>
  <si>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</si>
  <si>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</si>
  <si>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</si>
  <si>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</si>
  <si>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</si>
  <si>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</si>
  <si>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</si>
  <si>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</si>
  <si>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</si>
  <si>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</si>
  <si>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</si>
  <si>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</si>
  <si>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</si>
  <si>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</si>
  <si>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</si>
  <si>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</si>
  <si>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</si>
  <si>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</si>
  <si>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</si>
  <si>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</si>
  <si>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</si>
  <si>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</si>
  <si>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</si>
  <si>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</si>
  <si>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</si>
  <si>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</si>
  <si>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</si>
  <si>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</si>
  <si>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</si>
  <si>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</si>
  <si>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</si>
  <si>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</si>
  <si>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</si>
  <si>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</si>
  <si>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</si>
  <si>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</si>
  <si>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</si>
  <si>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</si>
  <si>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</si>
  <si>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</si>
  <si>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</si>
  <si>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</si>
  <si>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</si>
  <si>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</si>
  <si>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</si>
  <si>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</si>
  <si>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</si>
  <si>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</si>
  <si>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</si>
  <si>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</si>
  <si>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</si>
  <si>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</si>
  <si>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</si>
  <si>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</si>
  <si>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</si>
  <si>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</si>
  <si>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</si>
  <si>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</si>
  <si>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</si>
  <si>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</si>
  <si>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</si>
  <si>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</si>
  <si>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</si>
  <si>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</si>
  <si>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</si>
  <si>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</si>
  <si>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</si>
  <si>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</si>
  <si>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</si>
  <si>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</si>
  <si>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</si>
  <si>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</si>
  <si>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</si>
  <si>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</si>
  <si>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</si>
  <si>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</si>
  <si>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</si>
  <si>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</si>
  <si>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</si>
  <si>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</si>
  <si>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</si>
  <si>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</si>
  <si>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</si>
  <si>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</si>
  <si>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</si>
  <si>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</si>
  <si>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</si>
  <si>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</si>
  <si>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</si>
  <si>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</si>
  <si>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</si>
  <si>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</si>
  <si>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</si>
  <si>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</si>
  <si>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</si>
  <si>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</si>
  <si>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</si>
  <si>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</si>
  <si>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</si>
  <si>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</si>
  <si>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</si>
  <si>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</si>
  <si>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</si>
  <si>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</si>
  <si>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</si>
  <si>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</si>
  <si>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</si>
  <si>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</si>
  <si>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</si>
  <si>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</si>
  <si>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</si>
  <si>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</si>
  <si>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</si>
  <si>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</si>
  <si>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</si>
  <si>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</si>
  <si>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</si>
  <si>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</si>
  <si>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</si>
  <si>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</si>
  <si>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</si>
  <si>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</si>
  <si>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</si>
  <si>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</si>
  <si>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</si>
  <si>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</si>
  <si>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</si>
  <si>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</si>
  <si>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</si>
  <si>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</si>
  <si>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</si>
  <si>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</si>
  <si>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</si>
  <si>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</si>
  <si>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</si>
  <si>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</si>
  <si>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</si>
  <si>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</si>
  <si>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</si>
  <si>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</si>
  <si>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</si>
  <si>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</si>
  <si>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</si>
  <si>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</si>
  <si>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</si>
  <si>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</si>
  <si>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</si>
  <si>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</si>
  <si>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</si>
  <si>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</si>
  <si>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</si>
  <si>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</si>
  <si>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</si>
  <si>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</si>
  <si>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</si>
  <si>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</si>
  <si>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</si>
  <si>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</si>
  <si>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</si>
  <si>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</si>
  <si>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</si>
  <si>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</si>
  <si>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</si>
  <si>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</si>
  <si>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</si>
  <si>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</si>
  <si>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</si>
  <si>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</si>
  <si>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</si>
  <si>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</si>
  <si>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</si>
  <si>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</si>
  <si>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</si>
  <si>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</si>
  <si>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</si>
  <si>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</si>
  <si>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</si>
  <si>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</si>
  <si>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</si>
  <si>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</si>
  <si>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</si>
  <si>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</si>
  <si>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</si>
  <si>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</si>
  <si>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</si>
  <si>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</si>
  <si>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</si>
  <si>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</si>
  <si>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</si>
  <si>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</si>
  <si>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</si>
  <si>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</si>
  <si>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</si>
  <si>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</si>
  <si>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</si>
  <si>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</si>
  <si>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</si>
  <si>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</si>
  <si>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</si>
  <si>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</si>
  <si>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</si>
  <si>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</si>
  <si>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</si>
  <si>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</si>
  <si>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</si>
  <si>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</si>
  <si>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</si>
  <si>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</si>
  <si>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</si>
  <si>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</si>
  <si>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</si>
  <si>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</si>
  <si>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</si>
  <si>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</si>
  <si>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</si>
  <si>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</si>
  <si>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</si>
  <si>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</si>
  <si>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</si>
  <si>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</si>
  <si>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</si>
  <si>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</si>
  <si>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</si>
  <si>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</si>
  <si>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</si>
  <si>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</si>
  <si>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</si>
  <si>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</si>
  <si>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</si>
  <si>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</si>
  <si>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</si>
  <si>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</si>
  <si>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</si>
  <si>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</si>
  <si>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</si>
  <si>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</si>
  <si>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</si>
  <si>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</si>
  <si>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</si>
  <si>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</si>
  <si>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</si>
  <si>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</si>
  <si>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</si>
  <si>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</si>
  <si>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</si>
  <si>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</si>
  <si>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</si>
  <si>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</si>
  <si>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</si>
  <si>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</si>
  <si>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</si>
  <si>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</si>
  <si>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</si>
  <si>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</si>
  <si>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</si>
  <si>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</si>
  <si>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</si>
  <si>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</si>
  <si>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</si>
  <si>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</si>
  <si>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</si>
  <si>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</si>
  <si>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</si>
  <si>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</si>
  <si>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</si>
  <si>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</si>
  <si>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</si>
  <si>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</si>
  <si>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</si>
  <si>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</si>
  <si>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</si>
  <si>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</si>
  <si>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</si>
  <si>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</si>
  <si>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</si>
  <si>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</si>
  <si>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</si>
  <si>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</si>
  <si>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</si>
  <si>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</si>
  <si>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</si>
  <si>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</si>
  <si>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</si>
  <si>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</si>
  <si>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</si>
  <si>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</si>
  <si>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</si>
  <si>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</si>
  <si>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</si>
  <si>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</si>
  <si>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</si>
  <si>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</si>
  <si>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</si>
  <si>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</si>
  <si>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</si>
  <si>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</si>
  <si>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</si>
  <si>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</si>
  <si>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</si>
  <si>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</si>
  <si>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</si>
  <si>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</si>
  <si>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</si>
  <si>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</si>
  <si>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</si>
  <si>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</si>
  <si>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</si>
  <si>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</si>
  <si>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</si>
  <si>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</si>
  <si>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</si>
  <si>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</si>
  <si>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</si>
  <si>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</si>
  <si>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</si>
  <si>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</si>
  <si>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</si>
  <si>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</si>
  <si>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</si>
  <si>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</si>
  <si>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</si>
  <si>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</si>
  <si>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</si>
  <si>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</si>
  <si>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</si>
  <si>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</si>
  <si>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</si>
  <si>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</si>
  <si>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</si>
  <si>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</si>
  <si>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</si>
  <si>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</si>
  <si>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</si>
  <si>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</si>
  <si>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</si>
  <si>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</si>
  <si>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</si>
  <si>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</si>
  <si>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</si>
  <si>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</si>
  <si>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</si>
  <si>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</si>
  <si>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</si>
  <si>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</si>
  <si>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</si>
  <si>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</si>
  <si>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</si>
  <si>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</si>
  <si>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</si>
  <si>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</si>
  <si>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</si>
  <si>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</si>
  <si>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</si>
  <si>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</si>
  <si>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</si>
  <si>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</si>
  <si>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</si>
  <si>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</si>
  <si>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</si>
  <si>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</si>
  <si>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</si>
  <si>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</si>
  <si>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</si>
  <si>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</si>
  <si>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</si>
  <si>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</si>
  <si>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</si>
  <si>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</si>
  <si>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</si>
  <si>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</si>
  <si>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</si>
  <si>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</si>
  <si>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</si>
  <si>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</si>
  <si>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</si>
  <si>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</si>
  <si>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</si>
  <si>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</si>
  <si>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</si>
  <si>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</si>
  <si>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</si>
  <si>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</si>
  <si>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</si>
  <si>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</si>
  <si>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</si>
  <si>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</si>
  <si>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</si>
  <si>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</si>
  <si>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</si>
  <si>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</si>
  <si>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</si>
  <si>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</si>
  <si>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</si>
  <si>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</si>
  <si>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</si>
  <si>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</si>
  <si>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</si>
  <si>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</si>
  <si>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</si>
  <si>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</si>
  <si>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</si>
  <si>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</si>
  <si>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</si>
  <si>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</si>
  <si>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</si>
  <si>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</si>
  <si>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</si>
  <si>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</si>
  <si>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</si>
  <si>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</si>
  <si>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</si>
  <si>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</si>
  <si>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</si>
  <si>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</si>
  <si>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</si>
  <si>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</si>
  <si>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</si>
  <si>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</si>
  <si>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</si>
  <si>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</si>
  <si>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</si>
  <si>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</si>
  <si>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</si>
  <si>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</si>
  <si>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</si>
  <si>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</si>
  <si>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</si>
  <si>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</si>
  <si>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</si>
  <si>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</si>
  <si>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</si>
  <si>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</si>
  <si>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</si>
  <si>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</si>
  <si>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</si>
  <si>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</si>
  <si>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</si>
  <si>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</si>
  <si>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</si>
  <si>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</si>
  <si>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</si>
  <si>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</si>
  <si>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</si>
  <si>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</si>
  <si>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</si>
  <si>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</si>
  <si>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</si>
  <si>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</si>
  <si>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</si>
  <si>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</si>
  <si>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</si>
  <si>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</si>
  <si>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</si>
  <si>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</si>
  <si>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</si>
  <si>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</si>
  <si>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</si>
  <si>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</si>
  <si>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</si>
  <si>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</si>
  <si>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</si>
  <si>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</si>
  <si>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</si>
  <si>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</si>
  <si>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</si>
  <si>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</si>
  <si>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</si>
  <si>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</si>
  <si>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</si>
  <si>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</si>
  <si>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</si>
  <si>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</si>
  <si>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</si>
  <si>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</si>
  <si>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</si>
  <si>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</si>
  <si>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</si>
  <si>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</si>
  <si>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</si>
  <si>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</si>
  <si>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</si>
  <si>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</si>
  <si>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</si>
  <si>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</si>
  <si>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</si>
  <si>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</si>
  <si>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</si>
  <si>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</si>
  <si>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</si>
  <si>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</si>
  <si>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</si>
  <si>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</si>
  <si>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</si>
  <si>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</si>
  <si>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</si>
  <si>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</si>
  <si>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</si>
  <si>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</si>
  <si>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</si>
  <si>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</si>
  <si>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</si>
  <si>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</si>
  <si>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</si>
  <si>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</si>
  <si>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</si>
  <si>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</si>
  <si>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</si>
  <si>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</si>
  <si>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</si>
  <si>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</si>
  <si>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</si>
  <si>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</si>
  <si>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</si>
  <si>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</si>
  <si>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</si>
  <si>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</si>
  <si>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</si>
  <si>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</si>
  <si>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</si>
  <si>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</si>
  <si>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</si>
  <si>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</si>
  <si>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</si>
  <si>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</si>
  <si>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</si>
  <si>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</si>
  <si>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</si>
  <si>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</si>
  <si>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</si>
  <si>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</si>
  <si>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</si>
  <si>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</si>
  <si>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</si>
  <si>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</si>
  <si>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</si>
  <si>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</si>
  <si>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</si>
  <si>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</si>
  <si>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</si>
  <si>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</si>
  <si>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</si>
  <si>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</si>
  <si>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</si>
  <si>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</si>
  <si>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</si>
  <si>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</si>
  <si>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</si>
  <si>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</si>
  <si>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</si>
  <si>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</si>
  <si>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</si>
  <si>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</si>
  <si>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</si>
  <si>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</si>
  <si>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</si>
  <si>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</si>
  <si>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</si>
  <si>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</si>
  <si>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</si>
  <si>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</si>
  <si>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</si>
  <si>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</si>
  <si>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</si>
  <si>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</si>
  <si>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</si>
  <si>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</si>
  <si>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</si>
  <si>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</si>
  <si>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</si>
  <si>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</si>
  <si>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</si>
  <si>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</si>
  <si>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</si>
  <si>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</si>
  <si>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</si>
  <si>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</si>
  <si>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</si>
  <si>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</si>
  <si>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</si>
  <si>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</si>
  <si>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</si>
  <si>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</si>
  <si>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</si>
  <si>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</si>
  <si>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</si>
  <si>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</si>
  <si>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</si>
  <si>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</si>
  <si>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</si>
  <si>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</si>
  <si>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</si>
  <si>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</si>
  <si>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</si>
  <si>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</si>
  <si>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</si>
  <si>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</si>
  <si>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</si>
  <si>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</si>
  <si>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</si>
  <si>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</si>
  <si>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</si>
  <si>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</si>
  <si>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</si>
  <si>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</si>
  <si>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</si>
  <si>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</si>
  <si>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</si>
  <si>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</si>
  <si>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</si>
  <si>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</si>
  <si>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</si>
  <si>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</si>
  <si>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</si>
  <si>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</si>
  <si>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</si>
  <si>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</si>
  <si>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</si>
  <si>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</si>
  <si>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</si>
  <si>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</si>
  <si>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</si>
  <si>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</si>
  <si>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</si>
  <si>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</si>
  <si>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</si>
  <si>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</si>
  <si>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</si>
  <si>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</si>
  <si>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</si>
  <si>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</si>
  <si>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</si>
  <si>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</si>
  <si>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</si>
  <si>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</si>
  <si>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</si>
  <si>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</si>
  <si>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</si>
  <si>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</si>
  <si>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</si>
  <si>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</si>
  <si>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</si>
  <si>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</si>
  <si>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</si>
  <si>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</si>
  <si>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</si>
  <si>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</si>
  <si>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</si>
  <si>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</si>
  <si>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</si>
  <si>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</si>
  <si>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</si>
  <si>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</si>
  <si>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</si>
  <si>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</si>
  <si>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</si>
  <si>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</si>
  <si>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</si>
  <si>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</si>
  <si>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</si>
  <si>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</si>
  <si>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</si>
  <si>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</si>
  <si>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</si>
  <si>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</si>
  <si>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</si>
  <si>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</si>
  <si>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</si>
  <si>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</si>
  <si>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</si>
  <si>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</si>
  <si>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</si>
  <si>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</si>
  <si>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</si>
  <si>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</si>
  <si>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</si>
  <si>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</si>
  <si>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</si>
  <si>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</si>
  <si>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</si>
  <si>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</si>
  <si>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</si>
  <si>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</si>
  <si>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</si>
  <si>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</si>
  <si>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</si>
  <si>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</si>
  <si>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</si>
  <si>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</si>
  <si>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</si>
  <si>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</si>
  <si>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</si>
  <si>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</si>
  <si>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</si>
  <si>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</si>
  <si>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</si>
  <si>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</si>
  <si>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</si>
  <si>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</si>
  <si>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</si>
  <si>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</si>
  <si>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</si>
  <si>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</si>
  <si>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</si>
  <si>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</si>
  <si>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</si>
  <si>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</si>
  <si>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</si>
  <si>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</si>
  <si>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</si>
  <si>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</si>
  <si>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</si>
  <si>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</si>
  <si>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</si>
  <si>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</si>
  <si>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</si>
  <si>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</si>
  <si>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</si>
  <si>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</si>
  <si>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</si>
  <si>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</si>
  <si>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</si>
  <si>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</si>
  <si>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</si>
  <si>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</si>
  <si>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</si>
  <si>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</si>
  <si>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</si>
  <si>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</si>
  <si>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</si>
  <si>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</si>
  <si>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</si>
  <si>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</si>
  <si>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</si>
  <si>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</si>
  <si>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</si>
  <si>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</si>
  <si>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</si>
  <si>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</si>
  <si>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</si>
  <si>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</si>
  <si>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</si>
  <si>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</si>
  <si>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</si>
  <si>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</si>
  <si>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</si>
  <si>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</si>
  <si>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</si>
  <si>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</si>
  <si>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</si>
  <si>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</si>
  <si>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</si>
  <si>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</si>
  <si>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</si>
  <si>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</si>
  <si>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</si>
  <si>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</si>
  <si>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</si>
  <si>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</si>
  <si>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</si>
  <si>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</si>
  <si>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</si>
  <si>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</si>
  <si>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</si>
  <si>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</si>
  <si>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</si>
  <si>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</si>
  <si>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</si>
  <si>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</si>
  <si>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</si>
  <si>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</si>
  <si>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</si>
  <si>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</si>
  <si>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</si>
  <si>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</si>
  <si>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</si>
  <si>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</si>
  <si>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</si>
  <si>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</si>
  <si>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</si>
  <si>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</si>
  <si>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</si>
  <si>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</si>
  <si>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</si>
  <si>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</si>
  <si>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</si>
  <si>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</si>
  <si>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</si>
  <si>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</si>
  <si>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</si>
  <si>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</si>
  <si>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</si>
  <si>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</si>
  <si>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</si>
  <si>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</si>
  <si>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</si>
  <si>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</si>
  <si>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</si>
  <si>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</si>
  <si>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</si>
  <si>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</si>
  <si>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</si>
  <si>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</si>
  <si>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</si>
  <si>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</si>
  <si>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</si>
  <si>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</si>
  <si>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</si>
  <si>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</si>
  <si>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</si>
  <si>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</si>
  <si>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</si>
  <si>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</si>
  <si>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</si>
  <si>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</si>
  <si>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</si>
  <si>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</si>
  <si>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</si>
  <si>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</si>
  <si>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</si>
  <si>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</si>
  <si>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</si>
  <si>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</si>
  <si>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</si>
  <si>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</si>
  <si>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</si>
  <si>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</si>
  <si>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</si>
  <si>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</si>
  <si>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</si>
  <si>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</si>
  <si>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</si>
  <si>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</si>
  <si>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</si>
  <si>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</si>
  <si>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</si>
  <si>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</si>
  <si>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</si>
  <si>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</si>
  <si>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</si>
  <si>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</si>
  <si>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</si>
  <si>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</si>
  <si>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</si>
  <si>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</si>
  <si>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</si>
  <si>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</si>
  <si>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</si>
  <si>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</si>
  <si>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</si>
  <si>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</si>
  <si>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</si>
  <si>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</si>
  <si>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</si>
  <si>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</si>
  <si>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</si>
  <si>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</si>
  <si>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</si>
  <si>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</si>
  <si>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</si>
  <si>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</si>
  <si>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</si>
  <si>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</si>
  <si>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</si>
  <si>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</si>
  <si>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</si>
  <si>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</si>
  <si>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</si>
  <si>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</si>
  <si>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</si>
  <si>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</si>
  <si>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</si>
  <si>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</si>
  <si>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</si>
  <si>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</si>
  <si>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</si>
  <si>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</si>
  <si>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</si>
  <si>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</si>
  <si>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</si>
  <si>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</si>
  <si>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</si>
  <si>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</si>
  <si>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</si>
  <si>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</si>
  <si>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</si>
  <si>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</si>
  <si>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</si>
  <si>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</si>
  <si>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</si>
  <si>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</si>
  <si>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</si>
  <si>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</si>
  <si>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</si>
  <si>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</si>
  <si>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</si>
  <si>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</si>
  <si>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</si>
  <si>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</si>
  <si>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</si>
  <si>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</si>
  <si>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</si>
  <si>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</si>
  <si>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</si>
  <si>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</si>
  <si>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</si>
  <si>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</si>
  <si>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</si>
  <si>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</si>
  <si>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</si>
  <si>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</si>
  <si>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</si>
  <si>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</si>
  <si>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</si>
  <si>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</si>
  <si>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</si>
  <si>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</si>
  <si>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</si>
  <si>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</si>
  <si>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</si>
  <si>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</si>
  <si>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</si>
  <si>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</si>
  <si>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</si>
  <si>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</si>
  <si>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</si>
  <si>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</si>
  <si>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</si>
  <si>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</si>
  <si>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</si>
  <si>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</si>
  <si>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</si>
  <si>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</si>
  <si>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</si>
  <si>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</si>
  <si>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</si>
  <si>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</si>
  <si>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</si>
  <si>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</si>
  <si>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</si>
  <si>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</si>
  <si>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</si>
  <si>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</si>
  <si>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</si>
  <si>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</si>
  <si>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</si>
  <si>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</si>
  <si>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</si>
  <si>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</si>
  <si>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</si>
  <si>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</si>
  <si>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</si>
  <si>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</si>
  <si>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</si>
  <si>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</si>
  <si>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</si>
  <si>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</si>
  <si>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</si>
  <si>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</si>
  <si>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</si>
  <si>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</si>
  <si>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</si>
  <si>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</si>
  <si>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</si>
  <si>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</si>
  <si>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</si>
  <si>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</si>
  <si>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</si>
  <si>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</si>
  <si>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</si>
  <si>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</si>
  <si>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</si>
  <si>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</si>
  <si>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</si>
  <si>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</si>
  <si>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</si>
  <si>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</si>
  <si>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</si>
  <si>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</si>
  <si>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</si>
  <si>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</si>
  <si>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</si>
  <si>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</si>
  <si>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</si>
  <si>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</si>
  <si>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</si>
  <si>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</si>
  <si>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</si>
  <si>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</si>
  <si>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</si>
  <si>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</si>
  <si>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</si>
  <si>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</si>
  <si>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</si>
  <si>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</si>
  <si>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</si>
  <si>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</si>
  <si>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</si>
  <si>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</si>
  <si>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</si>
  <si>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</si>
  <si>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</si>
  <si>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</si>
  <si>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</si>
  <si>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</si>
  <si>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</si>
  <si>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</si>
  <si>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</si>
  <si>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</si>
  <si>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</si>
  <si>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</si>
  <si>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</si>
  <si>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</si>
  <si>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</si>
  <si>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</si>
  <si>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</si>
  <si>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</si>
  <si>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</si>
  <si>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</si>
  <si>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</si>
  <si>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</si>
  <si>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</si>
  <si>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</si>
  <si>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</si>
  <si>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</si>
  <si>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</si>
  <si>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</si>
  <si>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</si>
  <si>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</si>
  <si>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</si>
  <si>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</si>
  <si>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</si>
  <si>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</si>
  <si>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</si>
  <si>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</si>
  <si>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</si>
  <si>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</si>
  <si>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</si>
  <si>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</si>
  <si>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</si>
  <si>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</si>
  <si>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</si>
  <si>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</si>
  <si>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</si>
  <si>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</si>
  <si>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</si>
  <si>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</si>
  <si>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</si>
  <si>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</si>
  <si>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</si>
  <si>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</si>
  <si>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</si>
  <si>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</si>
  <si>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</si>
  <si>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</si>
  <si>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</si>
  <si>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</si>
  <si>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</si>
  <si>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</si>
  <si>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</si>
  <si>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</si>
  <si>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</si>
  <si>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</si>
  <si>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</si>
  <si>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</si>
  <si>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</si>
  <si>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</si>
  <si>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</si>
  <si>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</si>
  <si>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</si>
  <si>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</si>
  <si>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</si>
  <si>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</si>
  <si>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</si>
  <si>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</si>
  <si>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</si>
  <si>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</si>
  <si>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</si>
  <si>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</si>
  <si>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</si>
  <si>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</si>
  <si>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</si>
  <si>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</si>
  <si>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</si>
  <si>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</si>
  <si>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</si>
  <si>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</si>
  <si>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</si>
  <si>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</si>
  <si>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</si>
  <si>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</si>
  <si>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</si>
  <si>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</si>
  <si>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</si>
  <si>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</si>
  <si>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</si>
  <si>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</si>
  <si>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</si>
  <si>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</si>
  <si>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</si>
  <si>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</si>
  <si>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</si>
  <si>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</si>
  <si>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</si>
  <si>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</si>
  <si>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</si>
  <si>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</si>
  <si>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</si>
  <si>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</si>
  <si>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</si>
  <si>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</si>
  <si>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</si>
  <si>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</si>
  <si>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</si>
  <si>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</si>
  <si>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</si>
  <si>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</si>
  <si>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</si>
  <si>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</si>
  <si>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</si>
  <si>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</si>
  <si>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</si>
  <si>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</si>
  <si>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</si>
  <si>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</si>
  <si>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</si>
  <si>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</si>
  <si>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</si>
  <si>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</si>
  <si>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</si>
  <si>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</si>
  <si>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</si>
  <si>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</si>
  <si>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</si>
  <si>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</si>
  <si>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</si>
  <si>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</si>
  <si>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</si>
  <si>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</si>
  <si>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</si>
  <si>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</si>
  <si>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</si>
  <si>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</si>
  <si>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</si>
  <si>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</si>
  <si>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</si>
  <si>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</si>
  <si>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</si>
  <si>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</si>
  <si>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</si>
  <si>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</si>
  <si>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</si>
  <si>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</si>
  <si>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</si>
  <si>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</si>
  <si>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</si>
  <si>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</si>
  <si>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</si>
  <si>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</si>
  <si>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</si>
  <si>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</si>
  <si>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</si>
  <si>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</si>
  <si>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</si>
  <si>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</si>
  <si>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</si>
  <si>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</si>
  <si>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</si>
  <si>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</si>
  <si>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</si>
  <si>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</si>
  <si>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</si>
  <si>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</si>
  <si>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</si>
  <si>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</si>
  <si>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</si>
  <si>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</si>
  <si>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</si>
  <si>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</si>
  <si>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</si>
  <si>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</si>
  <si>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</si>
  <si>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</si>
  <si>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</si>
  <si>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</si>
  <si>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</si>
  <si>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</si>
  <si>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</si>
  <si>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</si>
  <si>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</si>
  <si>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</si>
  <si>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</si>
  <si>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</si>
  <si>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</si>
  <si>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</si>
  <si>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</si>
  <si>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</si>
  <si>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</si>
  <si>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</si>
  <si>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</si>
  <si>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</si>
  <si>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</si>
  <si>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</si>
  <si>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</si>
  <si>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</si>
  <si>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</si>
  <si>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</si>
  <si>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</si>
  <si>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</si>
  <si>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</si>
  <si>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</si>
  <si>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</si>
  <si>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</si>
  <si>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</si>
  <si>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</si>
  <si>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</si>
  <si>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</si>
  <si>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</si>
  <si>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</si>
  <si>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</si>
  <si>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</si>
  <si>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</si>
  <si>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</si>
  <si>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</si>
  <si>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</si>
  <si>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</si>
  <si>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</si>
  <si>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</si>
  <si>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</si>
  <si>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</si>
  <si>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</si>
  <si>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</si>
  <si>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</si>
  <si>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</si>
  <si>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</si>
  <si>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</si>
  <si>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</si>
  <si>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</si>
  <si>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</si>
  <si>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</si>
  <si>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</si>
  <si>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</si>
  <si>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</si>
  <si>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</si>
  <si>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</si>
  <si>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</si>
  <si>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</si>
  <si>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</si>
  <si>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</si>
  <si>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</si>
  <si>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</si>
  <si>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</si>
  <si>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</si>
  <si>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</si>
  <si>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</si>
  <si>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</si>
  <si>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</si>
  <si>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</si>
  <si>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</si>
  <si>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</si>
  <si>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</si>
  <si>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</si>
  <si>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</si>
  <si>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</si>
  <si>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</si>
  <si>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</si>
  <si>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</si>
  <si>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</si>
  <si>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</si>
  <si>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</si>
  <si>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</si>
  <si>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</si>
  <si>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</si>
  <si>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</si>
  <si>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</si>
  <si>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</si>
  <si>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</si>
  <si>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</si>
  <si>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</si>
  <si>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</si>
  <si>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</si>
  <si>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</si>
  <si>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</si>
  <si>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</si>
  <si>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</si>
  <si>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</si>
  <si>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</si>
  <si>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</si>
  <si>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</si>
  <si>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</si>
  <si>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</si>
  <si>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</si>
  <si>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</si>
  <si>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</si>
  <si>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</si>
  <si>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</si>
  <si>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</si>
  <si>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</si>
  <si>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</si>
  <si>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</si>
  <si>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</si>
  <si>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</si>
  <si>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</si>
  <si>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</si>
  <si>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</si>
  <si>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</si>
  <si>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</si>
  <si>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</si>
  <si>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</si>
  <si>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</si>
  <si>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</si>
  <si>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</si>
  <si>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</si>
  <si>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</si>
  <si>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</si>
  <si>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</si>
  <si>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</si>
  <si>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</si>
  <si>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</si>
  <si>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</si>
  <si>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</si>
  <si>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</si>
  <si>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</si>
  <si>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</si>
  <si>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</si>
  <si>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</si>
  <si>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</si>
  <si>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</si>
  <si>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</si>
  <si>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</si>
  <si>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</si>
  <si>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</si>
  <si>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</si>
  <si>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</si>
  <si>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</si>
  <si>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</si>
  <si>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</si>
  <si>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</si>
  <si>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</si>
  <si>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</si>
  <si>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</si>
  <si>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</si>
  <si>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</si>
  <si>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</si>
  <si>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</si>
  <si>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</si>
  <si>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</si>
  <si>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</si>
  <si>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</si>
  <si>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</si>
  <si>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</si>
  <si>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</si>
  <si>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</si>
  <si>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</si>
  <si>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</si>
  <si>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</si>
  <si>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</si>
  <si>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</si>
  <si>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</si>
  <si>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</si>
  <si>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</si>
  <si>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</si>
  <si>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</si>
  <si>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</si>
  <si>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</si>
  <si>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</si>
  <si>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</si>
  <si>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</si>
  <si>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</si>
  <si>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</si>
  <si>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</si>
  <si>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</si>
  <si>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</si>
  <si>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</si>
  <si>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</si>
  <si>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</si>
  <si>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</si>
  <si>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</si>
  <si>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</si>
  <si>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</si>
  <si>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</si>
  <si>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</si>
  <si>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</si>
  <si>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</si>
  <si>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</si>
  <si>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</si>
  <si>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</si>
  <si>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</si>
  <si>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</si>
  <si>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</si>
  <si>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</si>
  <si>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</si>
  <si>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</si>
  <si>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</si>
  <si>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</si>
  <si>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</si>
  <si>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</si>
  <si>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</si>
  <si>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</si>
  <si>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</si>
  <si>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</si>
  <si>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</si>
  <si>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</si>
  <si>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</si>
  <si>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</si>
  <si>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</si>
  <si>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</si>
  <si>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</si>
  <si>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</si>
  <si>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</si>
  <si>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</si>
  <si>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</si>
  <si>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</si>
  <si>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</si>
  <si>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</si>
  <si>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</si>
  <si>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</si>
  <si>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</si>
  <si>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</si>
  <si>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</si>
  <si>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</si>
  <si>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</si>
  <si>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</si>
  <si>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</si>
  <si>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</si>
  <si>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</si>
  <si>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</si>
  <si>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</si>
  <si>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</si>
  <si>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</si>
  <si>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</si>
  <si>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</si>
  <si>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</si>
  <si>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</si>
  <si>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</si>
  <si>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</si>
  <si>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</si>
  <si>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</si>
  <si>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</si>
  <si>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</si>
  <si>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</si>
  <si>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</si>
  <si>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</si>
  <si>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</si>
  <si>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</si>
  <si>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</si>
  <si>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</si>
  <si>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</si>
  <si>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</si>
  <si>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</si>
  <si>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</si>
  <si>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</si>
  <si>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</si>
  <si>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</si>
  <si>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</si>
  <si>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</si>
  <si>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</si>
  <si>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</si>
  <si>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</si>
  <si>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</si>
  <si>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</si>
  <si>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</si>
  <si>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</si>
  <si>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</si>
  <si>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</si>
  <si>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</si>
  <si>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</si>
  <si>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</si>
  <si>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</si>
  <si>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</si>
  <si>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</si>
  <si>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</si>
  <si>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</si>
  <si>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</si>
  <si>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</si>
  <si>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</si>
  <si>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</si>
  <si>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</si>
  <si>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</si>
  <si>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</si>
  <si>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</si>
  <si>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</si>
  <si>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</si>
  <si>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</si>
  <si>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</si>
  <si>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</si>
  <si>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</si>
  <si>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</si>
  <si>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</si>
  <si>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</si>
  <si>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</si>
  <si>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</si>
  <si>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</si>
  <si>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</si>
  <si>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</si>
  <si>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</si>
  <si>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</si>
  <si>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</si>
  <si>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</si>
  <si>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</si>
  <si>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</si>
  <si>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</si>
  <si>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</si>
  <si>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</si>
  <si>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</si>
  <si>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</si>
  <si>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</si>
  <si>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</si>
  <si>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</si>
  <si>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</si>
  <si>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</si>
  <si>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</si>
  <si>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</si>
  <si>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</si>
  <si>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</si>
  <si>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</si>
  <si>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</si>
  <si>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</si>
  <si>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</si>
  <si>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</si>
  <si>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</si>
  <si>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</si>
  <si>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</si>
  <si>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</si>
  <si>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</si>
  <si>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</si>
  <si>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</si>
  <si>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</si>
  <si>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</si>
  <si>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</si>
  <si>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</si>
  <si>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</si>
  <si>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</si>
  <si>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</si>
  <si>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</si>
  <si>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</si>
  <si>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</si>
  <si>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</si>
  <si>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</si>
  <si>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</si>
  <si>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</si>
  <si>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</si>
  <si>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</si>
  <si>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</si>
  <si>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</si>
  <si>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</si>
  <si>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</si>
  <si>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</si>
  <si>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</si>
  <si>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</si>
  <si>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</si>
  <si>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</si>
  <si>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</si>
  <si>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</si>
  <si>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</si>
  <si>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</si>
  <si>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</si>
  <si>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</si>
  <si>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</si>
  <si>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</si>
  <si>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</si>
  <si>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</si>
  <si>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</si>
  <si>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</si>
  <si>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</si>
  <si>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</si>
  <si>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</si>
  <si>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</si>
  <si>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</si>
  <si>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</si>
  <si>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</si>
  <si>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</si>
  <si>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</si>
  <si>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</si>
  <si>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</si>
  <si>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</si>
  <si>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</si>
  <si>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</si>
  <si>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</si>
  <si>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</si>
  <si>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</si>
  <si>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</si>
  <si>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</si>
  <si>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</si>
  <si>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</si>
  <si>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</si>
  <si>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</si>
  <si>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</si>
  <si>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</si>
  <si>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</si>
  <si>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</si>
  <si>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</si>
  <si>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</si>
  <si>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</si>
  <si>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</si>
  <si>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</si>
  <si>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</si>
  <si>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</si>
  <si>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</si>
  <si>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</si>
  <si>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</si>
  <si>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</si>
  <si>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</si>
  <si>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</si>
  <si>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</si>
  <si>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</si>
  <si>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</si>
  <si>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</si>
  <si>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</si>
  <si>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</si>
  <si>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</si>
  <si>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</si>
  <si>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</si>
  <si>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</si>
  <si>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</si>
  <si>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</si>
  <si>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</si>
  <si>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</si>
  <si>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</si>
  <si>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</si>
  <si>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</si>
  <si>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</si>
  <si>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</si>
  <si>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</si>
  <si>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</si>
  <si>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</si>
  <si>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</si>
  <si>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</si>
  <si>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</si>
  <si>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</si>
  <si>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</si>
  <si>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</si>
  <si>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</si>
  <si>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</si>
  <si>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</si>
  <si>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</si>
  <si>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</si>
  <si>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</si>
  <si>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</si>
  <si>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</si>
  <si>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</si>
  <si>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</si>
  <si>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</si>
  <si>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</si>
  <si>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</si>
  <si>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</si>
  <si>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</si>
  <si>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</si>
  <si>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</si>
  <si>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</si>
  <si>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</si>
  <si>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</si>
  <si>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</si>
  <si>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</si>
  <si>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</si>
  <si>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</si>
  <si>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</si>
  <si>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</si>
  <si>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</si>
  <si>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</si>
  <si>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</si>
  <si>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</si>
  <si>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</si>
  <si>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</si>
  <si>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</si>
  <si>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</si>
  <si>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</si>
  <si>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</si>
  <si>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</si>
  <si>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</si>
  <si>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</si>
  <si>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</si>
  <si>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</si>
  <si>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</si>
  <si>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</si>
  <si>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</si>
  <si>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</si>
  <si>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</si>
  <si>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</si>
  <si>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</si>
  <si>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</si>
  <si>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</si>
  <si>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</si>
  <si>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</si>
  <si>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</si>
  <si>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</si>
  <si>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</si>
  <si>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</si>
  <si>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</si>
  <si>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</si>
  <si>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</si>
  <si>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</si>
  <si>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</si>
  <si>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</si>
  <si>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</si>
  <si>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</si>
  <si>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</si>
  <si>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</si>
  <si>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</si>
  <si>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</si>
  <si>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</si>
  <si>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</si>
  <si>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</si>
  <si>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</si>
  <si>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</si>
  <si>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</si>
  <si>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</si>
  <si>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</si>
  <si>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</si>
  <si>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</si>
  <si>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</si>
  <si>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</si>
  <si>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</si>
  <si>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</si>
  <si>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</si>
  <si>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</si>
  <si>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</si>
  <si>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</si>
  <si>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</si>
  <si>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</si>
  <si>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</si>
  <si>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</si>
  <si>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</si>
  <si>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</si>
  <si>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</si>
  <si>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</si>
  <si>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</si>
  <si>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</si>
  <si>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</si>
  <si>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</si>
  <si>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</si>
  <si>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</si>
  <si>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</si>
  <si>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</si>
  <si>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</si>
  <si>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</si>
  <si>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</si>
  <si>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</si>
  <si>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</si>
  <si>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</si>
  <si>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</si>
  <si>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</si>
  <si>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</si>
  <si>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</si>
  <si>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</si>
  <si>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</si>
  <si>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</si>
  <si>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</si>
  <si>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</si>
  <si>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</si>
  <si>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</si>
  <si>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</si>
  <si>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</si>
  <si>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</si>
  <si>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</si>
  <si>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</si>
  <si>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</si>
  <si>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</si>
  <si>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</si>
  <si>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</si>
  <si>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</si>
  <si>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</si>
  <si>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</si>
  <si>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</si>
  <si>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</si>
  <si>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</si>
  <si>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</si>
  <si>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</si>
  <si>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</si>
  <si>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</si>
  <si>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</si>
  <si>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</si>
  <si>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</si>
  <si>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</si>
  <si>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</si>
  <si>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</si>
  <si>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</si>
  <si>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</si>
  <si>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</si>
  <si>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</si>
  <si>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</si>
  <si>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</si>
  <si>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</si>
  <si>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</si>
  <si>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</si>
  <si>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</si>
  <si>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</si>
  <si>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</si>
  <si>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</si>
  <si>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</si>
  <si>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</si>
  <si>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</si>
  <si>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</si>
  <si>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</si>
  <si>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</si>
  <si>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</si>
  <si>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</si>
  <si>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</si>
  <si>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</si>
  <si>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</si>
  <si>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</si>
  <si>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</si>
  <si>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</si>
  <si>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</si>
  <si>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</si>
  <si>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</si>
  <si>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</si>
  <si>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</si>
  <si>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</si>
  <si>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</si>
  <si>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</si>
  <si>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</si>
  <si>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</si>
  <si>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</si>
  <si>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</si>
  <si>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</si>
  <si>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</si>
  <si>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</si>
  <si>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</si>
  <si>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</si>
  <si>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</si>
  <si>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</si>
  <si>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</si>
  <si>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</si>
  <si>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</si>
  <si>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</si>
  <si>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</si>
  <si>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</si>
  <si>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</si>
  <si>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</si>
  <si>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</si>
  <si>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</si>
  <si>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</si>
  <si>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</si>
  <si>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</si>
  <si>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</si>
  <si>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</si>
  <si>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</si>
  <si>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</si>
  <si>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</si>
  <si>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</si>
  <si>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</si>
  <si>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</si>
  <si>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</si>
  <si>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</si>
  <si>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</si>
  <si>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</si>
  <si>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</si>
  <si>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</si>
  <si>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</si>
  <si>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</si>
  <si>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</si>
  <si>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</si>
  <si>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</si>
  <si>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</si>
  <si>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</si>
  <si>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</si>
  <si>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</si>
  <si>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</si>
  <si>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</si>
  <si>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</si>
  <si>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</si>
  <si>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</si>
  <si>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</si>
  <si>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</si>
  <si>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</si>
  <si>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</si>
  <si>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</si>
  <si>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</si>
  <si>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</si>
  <si>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</si>
  <si>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</si>
  <si>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</si>
  <si>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</si>
  <si>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</si>
  <si>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</si>
  <si>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</si>
  <si>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</si>
  <si>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</si>
  <si>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</si>
  <si>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</si>
  <si>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</si>
  <si>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</si>
  <si>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</si>
  <si>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</si>
  <si>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</si>
  <si>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</si>
  <si>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</si>
  <si>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</si>
  <si>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</si>
  <si>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</si>
  <si>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</si>
  <si>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</si>
  <si>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</si>
  <si>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</si>
  <si>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</si>
  <si>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</si>
  <si>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</si>
  <si>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</si>
  <si>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</si>
  <si>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</si>
  <si>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</si>
  <si>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</si>
  <si>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</si>
  <si>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</si>
  <si>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</si>
  <si>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</si>
  <si>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</si>
  <si>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</si>
  <si>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</si>
  <si>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</si>
  <si>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</si>
  <si>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</si>
  <si>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</si>
  <si>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</si>
  <si>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</si>
  <si>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</si>
  <si>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</si>
  <si>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</si>
  <si>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</si>
  <si>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</si>
  <si>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</si>
  <si>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</si>
  <si>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</si>
  <si>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</si>
  <si>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</si>
  <si>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</si>
  <si>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</si>
  <si>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</si>
  <si>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</si>
  <si>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</si>
  <si>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</si>
  <si>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</si>
  <si>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</si>
  <si>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</si>
  <si>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</si>
  <si>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</si>
  <si>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</si>
  <si>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</si>
  <si>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</si>
  <si>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</si>
  <si>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</si>
  <si>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</si>
  <si>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</si>
  <si>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</si>
  <si>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</si>
  <si>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</si>
  <si>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</si>
  <si>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</si>
  <si>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</si>
  <si>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</si>
  <si>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</si>
  <si>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</si>
  <si>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</si>
  <si>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</si>
  <si>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</si>
  <si>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</si>
  <si>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</si>
  <si>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</si>
  <si>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</si>
  <si>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</si>
  <si>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</si>
  <si>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</si>
  <si>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</si>
  <si>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</si>
  <si>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</si>
  <si>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</si>
  <si>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</si>
  <si>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</si>
  <si>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</si>
  <si>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</si>
  <si>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</si>
  <si>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</si>
  <si>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</si>
  <si>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</si>
  <si>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</si>
  <si>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</si>
  <si>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</si>
  <si>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</si>
  <si>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</si>
  <si>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</si>
  <si>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</si>
  <si>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</si>
  <si>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</si>
  <si>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</si>
  <si>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</si>
  <si>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</si>
  <si>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</si>
  <si>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</si>
  <si>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</si>
  <si>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</si>
  <si>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</si>
  <si>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</si>
  <si>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</si>
  <si>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</si>
  <si>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</si>
  <si>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</si>
  <si>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</si>
  <si>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</si>
  <si>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</si>
  <si>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</si>
  <si>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</si>
  <si>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</si>
  <si>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</si>
  <si>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</si>
  <si>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</si>
  <si>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</si>
  <si>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</si>
  <si>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</si>
  <si>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</si>
  <si>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</si>
  <si>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</si>
  <si>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</si>
  <si>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</si>
  <si>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</si>
  <si>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</si>
  <si>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</si>
  <si>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</si>
  <si>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</si>
  <si>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</si>
  <si>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</si>
  <si>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</si>
  <si>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</si>
  <si>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</si>
  <si>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</si>
  <si>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</si>
  <si>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</si>
  <si>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</si>
  <si>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</si>
  <si>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</si>
  <si>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</si>
  <si>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</si>
  <si>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</si>
  <si>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</si>
  <si>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</si>
  <si>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</si>
  <si>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</si>
  <si>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</si>
  <si>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</si>
  <si>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</si>
  <si>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</si>
  <si>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</si>
  <si>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</si>
  <si>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</si>
  <si>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</si>
  <si>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</si>
  <si>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</si>
  <si>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</si>
  <si>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</si>
  <si>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</si>
  <si>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</si>
  <si>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</si>
  <si>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</si>
  <si>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</si>
  <si>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</si>
  <si>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</si>
  <si>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</si>
  <si>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</si>
  <si>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</si>
  <si>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</si>
  <si>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</si>
  <si>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</si>
  <si>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</si>
  <si>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</si>
  <si>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</si>
  <si>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</si>
  <si>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</si>
  <si>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</si>
  <si>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</si>
  <si>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</si>
  <si>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</si>
  <si>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</si>
  <si>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</si>
  <si>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</si>
  <si>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</si>
  <si>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</si>
  <si>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</si>
  <si>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</si>
  <si>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</si>
  <si>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</si>
  <si>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</si>
  <si>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</si>
  <si>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</si>
  <si>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</si>
  <si>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</si>
  <si>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</si>
  <si>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</si>
  <si>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</si>
  <si>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</si>
  <si>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</si>
  <si>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</si>
  <si>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</si>
  <si>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</si>
  <si>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</si>
  <si>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</si>
  <si>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</si>
  <si>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</si>
  <si>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</si>
  <si>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</si>
  <si>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</si>
  <si>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</si>
  <si>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</si>
  <si>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</si>
  <si>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</si>
  <si>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</si>
  <si>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</si>
  <si>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</si>
  <si>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</si>
  <si>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</si>
  <si>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</si>
  <si>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</si>
  <si>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</si>
  <si>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</si>
  <si>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</si>
  <si>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</si>
  <si>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</si>
  <si>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</si>
  <si>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</si>
  <si>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</si>
  <si>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</si>
  <si>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</si>
  <si>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</si>
  <si>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</si>
  <si>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</si>
  <si>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</si>
  <si>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</si>
  <si>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</si>
  <si>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</si>
  <si>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</si>
  <si>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</si>
  <si>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</si>
  <si>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</si>
  <si>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</si>
  <si>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</si>
  <si>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</si>
  <si>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</si>
  <si>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</si>
  <si>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</si>
  <si>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</si>
  <si>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</si>
  <si>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</si>
  <si>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</si>
  <si>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</si>
  <si>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</si>
  <si>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</si>
  <si>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</si>
  <si>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</si>
  <si>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</si>
  <si>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</si>
  <si>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</si>
  <si>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</si>
  <si>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</si>
  <si>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</si>
  <si>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</si>
  <si>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</si>
  <si>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</si>
  <si>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</si>
  <si>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</si>
  <si>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</si>
  <si>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</si>
  <si>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</si>
  <si>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</si>
  <si>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</si>
  <si>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</si>
  <si>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</si>
  <si>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</si>
  <si>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</si>
  <si>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</si>
  <si>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</si>
  <si>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</si>
  <si>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</si>
  <si>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</si>
  <si>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</si>
  <si>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</si>
  <si>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</si>
  <si>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</si>
  <si>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</si>
  <si>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</si>
  <si>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</si>
  <si>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</si>
  <si>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</si>
  <si>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</si>
  <si>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</si>
  <si>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</si>
  <si>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</si>
  <si>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</si>
  <si>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</si>
  <si>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</si>
  <si>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</si>
  <si>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</si>
  <si>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</si>
  <si>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</si>
  <si>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</si>
  <si>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</si>
  <si>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</si>
  <si>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</si>
  <si>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</si>
  <si>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</si>
  <si>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</si>
  <si>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</si>
  <si>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</si>
  <si>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</si>
  <si>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</si>
  <si>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</si>
  <si>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</si>
  <si>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</si>
  <si>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</si>
  <si>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</si>
  <si>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</si>
  <si>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</si>
  <si>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</si>
  <si>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</si>
  <si>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</si>
  <si>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</si>
  <si>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</si>
  <si>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</si>
  <si>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</si>
  <si>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</si>
  <si>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</si>
  <si>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</si>
  <si>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</si>
  <si>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</si>
  <si>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</si>
  <si>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</si>
  <si>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</si>
  <si>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</si>
  <si>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</si>
  <si>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</si>
  <si>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</si>
  <si>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</si>
  <si>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</si>
  <si>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</si>
  <si>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</si>
  <si>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</si>
  <si>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</si>
  <si>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</si>
  <si>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</si>
  <si>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</si>
  <si>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</si>
  <si>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</si>
  <si>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</si>
  <si>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</si>
  <si>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</si>
  <si>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</si>
  <si>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</si>
  <si>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</si>
  <si>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</si>
  <si>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</si>
  <si>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</si>
  <si>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</si>
  <si>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</si>
  <si>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</si>
  <si>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</si>
  <si>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</si>
  <si>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</si>
  <si>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</si>
  <si>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</si>
  <si>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</si>
  <si>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</si>
  <si>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</si>
  <si>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</si>
  <si>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</si>
  <si>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</si>
  <si>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</si>
  <si>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</si>
  <si>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</si>
  <si>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</si>
  <si>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</si>
  <si>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</si>
  <si>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</si>
  <si>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</si>
  <si>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</si>
  <si>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</si>
  <si>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</si>
  <si>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</si>
  <si>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</si>
  <si>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</si>
  <si>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</si>
  <si>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</si>
  <si>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</si>
  <si>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</si>
  <si>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</si>
  <si>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</si>
  <si>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</si>
  <si>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</si>
  <si>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</si>
  <si>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</si>
  <si>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</si>
  <si>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</si>
  <si>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</si>
  <si>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</si>
  <si>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</si>
  <si>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</si>
  <si>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</si>
  <si>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</si>
  <si>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</si>
  <si>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</si>
  <si>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</si>
  <si>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</si>
  <si>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</si>
  <si>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</si>
  <si>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</si>
  <si>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</si>
  <si>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</si>
  <si>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</si>
  <si>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</si>
  <si>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</si>
  <si>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</si>
  <si>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</si>
  <si>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</si>
  <si>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</si>
  <si>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</si>
  <si>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</si>
  <si>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</si>
  <si>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</si>
  <si>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</si>
  <si>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</si>
  <si>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</si>
  <si>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</si>
  <si>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</si>
  <si>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</si>
  <si>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</si>
  <si>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</si>
  <si>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</si>
  <si>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</si>
  <si>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</si>
  <si>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</si>
  <si>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</si>
  <si>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</si>
  <si>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</si>
  <si>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</si>
  <si>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</si>
  <si>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</si>
  <si>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</si>
  <si>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</si>
  <si>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</si>
  <si>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</si>
  <si>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</si>
  <si>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</si>
  <si>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</si>
  <si>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</si>
  <si>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</si>
  <si>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</si>
  <si>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</si>
  <si>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</si>
  <si>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</si>
  <si>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</si>
  <si>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</si>
  <si>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</si>
  <si>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</si>
  <si>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</si>
  <si>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</si>
  <si>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</si>
  <si>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</si>
  <si>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</si>
  <si>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</si>
  <si>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</si>
  <si>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</si>
  <si>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</si>
  <si>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</si>
  <si>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</si>
  <si>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</si>
  <si>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</si>
  <si>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</si>
  <si>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</si>
  <si>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</si>
  <si>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</si>
  <si>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</si>
  <si>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</si>
  <si>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</si>
  <si>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</si>
  <si>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</si>
  <si>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</si>
  <si>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</si>
  <si>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</si>
  <si>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</si>
  <si>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</si>
  <si>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</si>
  <si>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</si>
  <si>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</si>
  <si>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</si>
  <si>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</si>
  <si>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</si>
  <si>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</si>
  <si>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</si>
  <si>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</si>
  <si>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</si>
  <si>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</si>
  <si>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</si>
  <si>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</si>
  <si>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</si>
  <si>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</si>
  <si>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</si>
  <si>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</si>
  <si>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</si>
  <si>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</si>
  <si>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</si>
  <si>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</si>
  <si>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</si>
  <si>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</si>
  <si>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</si>
  <si>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</si>
  <si>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</si>
  <si>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</si>
  <si>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</si>
  <si>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</si>
  <si>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</si>
  <si>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</si>
  <si>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</si>
  <si>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</si>
  <si>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</si>
  <si>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</si>
  <si>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</si>
  <si>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</si>
  <si>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</si>
  <si>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</si>
  <si>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</si>
  <si>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</si>
  <si>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</si>
  <si>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</si>
  <si>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</si>
  <si>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</si>
  <si>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</si>
  <si>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</si>
  <si>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</si>
  <si>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</si>
  <si>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</si>
  <si>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</si>
  <si>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</si>
  <si>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</si>
  <si>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</si>
  <si>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</si>
  <si>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</si>
  <si>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</si>
  <si>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</si>
  <si>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</si>
  <si>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</si>
  <si>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</si>
  <si>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</si>
  <si>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</si>
  <si>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</si>
  <si>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</si>
  <si>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</si>
  <si>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</si>
  <si>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</si>
  <si>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</si>
  <si>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</si>
  <si>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</si>
  <si>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</si>
  <si>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</si>
  <si>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</si>
  <si>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</si>
  <si>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</si>
  <si>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</si>
  <si>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</si>
  <si>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</si>
  <si>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</si>
  <si>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</si>
  <si>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</si>
  <si>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</si>
  <si>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</si>
  <si>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</si>
  <si>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</si>
  <si>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</si>
  <si>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</si>
  <si>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</si>
  <si>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</si>
  <si>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</si>
  <si>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</si>
  <si>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</si>
  <si>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</si>
  <si>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</si>
  <si>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</si>
  <si>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</si>
  <si>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</si>
  <si>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</si>
  <si>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</si>
  <si>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</si>
  <si>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</si>
  <si>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</si>
  <si>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</si>
  <si>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</si>
  <si>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</si>
  <si>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</si>
  <si>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</si>
  <si>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</si>
  <si>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</si>
  <si>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</si>
  <si>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</si>
  <si>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</si>
  <si>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</si>
  <si>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</si>
  <si>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</si>
  <si>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</si>
  <si>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</si>
  <si>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</si>
  <si>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</si>
  <si>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</si>
  <si>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</si>
  <si>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</si>
  <si>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</si>
  <si>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</si>
  <si>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</si>
  <si>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</si>
  <si>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</si>
  <si>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</si>
  <si>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</si>
  <si>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</si>
  <si>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</si>
  <si>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</si>
  <si>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</si>
  <si>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</si>
  <si>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</si>
  <si>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</si>
  <si>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</si>
  <si>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</si>
  <si>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</si>
  <si>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</si>
  <si>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</si>
  <si>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</si>
  <si>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</si>
  <si>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</si>
  <si>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</si>
  <si>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</si>
  <si>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</si>
  <si>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</si>
  <si>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</si>
  <si>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</si>
  <si>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</si>
  <si>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</si>
  <si>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</si>
  <si>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</si>
  <si>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</si>
  <si>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</si>
  <si>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</si>
  <si>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</si>
  <si>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</si>
  <si>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</si>
  <si>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</si>
  <si>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</si>
  <si>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</si>
  <si>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</si>
  <si>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</si>
  <si>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</si>
  <si>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</si>
  <si>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</si>
  <si>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</si>
  <si>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</si>
  <si>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</si>
  <si>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</si>
  <si>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</si>
  <si>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</si>
  <si>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</si>
  <si>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</si>
  <si>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</si>
  <si>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</si>
  <si>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</si>
  <si>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</si>
  <si>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</si>
  <si>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</si>
  <si>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</si>
  <si>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</si>
  <si>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</si>
  <si>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</si>
  <si>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</si>
  <si>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</si>
  <si>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</si>
  <si>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</si>
  <si>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</si>
  <si>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</si>
  <si>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</si>
  <si>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</si>
  <si>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</si>
  <si>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</si>
  <si>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</si>
  <si>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</si>
  <si>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</si>
  <si>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</si>
  <si>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</si>
  <si>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</si>
  <si>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</si>
  <si>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</si>
  <si>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</si>
  <si>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</si>
  <si>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</si>
  <si>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</si>
  <si>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</si>
  <si>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</si>
  <si>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</si>
  <si>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</si>
  <si>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</si>
  <si>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</si>
  <si>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</si>
  <si>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</si>
  <si>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</si>
  <si>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</si>
  <si>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</si>
  <si>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</si>
  <si>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</si>
  <si>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</si>
  <si>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</si>
  <si>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</si>
  <si>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</si>
  <si>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</si>
  <si>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</si>
  <si>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</si>
  <si>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</si>
  <si>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</si>
  <si>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</si>
  <si>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</si>
  <si>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</si>
  <si>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</si>
  <si>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</si>
  <si>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</si>
  <si>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</si>
  <si>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</si>
  <si>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</si>
  <si>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</si>
  <si>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</si>
  <si>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</si>
  <si>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</si>
  <si>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</si>
  <si>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</si>
  <si>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</si>
  <si>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</si>
  <si>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</si>
  <si>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</si>
  <si>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</si>
  <si>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</si>
  <si>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</si>
  <si>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</si>
  <si>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</si>
  <si>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</si>
  <si>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</si>
  <si>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</si>
  <si>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</si>
  <si>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</si>
  <si>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</si>
  <si>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</si>
  <si>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</si>
  <si>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</si>
  <si>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</si>
  <si>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</si>
  <si>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</si>
  <si>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</si>
  <si>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</si>
  <si>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</si>
  <si>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</si>
  <si>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</si>
  <si>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</si>
  <si>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</si>
  <si>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</si>
  <si>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</si>
  <si>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</si>
  <si>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</si>
  <si>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</si>
  <si>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</si>
  <si>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</si>
  <si>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</si>
  <si>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</si>
  <si>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</si>
  <si>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</si>
  <si>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</si>
  <si>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</si>
  <si>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</si>
  <si>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</si>
  <si>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</si>
  <si>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</si>
  <si>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</si>
  <si>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</si>
  <si>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</si>
  <si>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</si>
  <si>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</si>
  <si>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</si>
  <si>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</si>
  <si>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</si>
  <si>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</si>
  <si>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</si>
  <si>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</si>
  <si>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</si>
  <si>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</si>
  <si>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</si>
  <si>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</si>
  <si>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</si>
  <si>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</si>
  <si>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</si>
  <si>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</si>
  <si>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</si>
  <si>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</si>
  <si>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</si>
  <si>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</si>
  <si>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</si>
  <si>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</si>
  <si>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</si>
  <si>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</si>
  <si>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</si>
  <si>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</si>
  <si>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</si>
  <si>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</si>
  <si>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</si>
  <si>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</si>
  <si>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</si>
  <si>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</si>
  <si>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</si>
  <si>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</si>
  <si>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</si>
  <si>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</si>
  <si>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</si>
  <si>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</si>
  <si>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</si>
  <si>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</si>
  <si>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</si>
  <si>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</si>
  <si>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</si>
  <si>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</si>
  <si>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</si>
  <si>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</si>
  <si>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</si>
  <si>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</si>
  <si>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</si>
  <si>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</si>
  <si>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</si>
  <si>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</si>
  <si>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</si>
  <si>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</si>
  <si>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</si>
  <si>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</si>
  <si>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</si>
  <si>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</si>
  <si>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</si>
  <si>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</si>
  <si>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</si>
  <si>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</si>
  <si>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</si>
  <si>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</si>
  <si>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</si>
  <si>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</si>
  <si>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</si>
  <si>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</si>
  <si>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</si>
  <si>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</si>
  <si>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</si>
  <si>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</si>
  <si>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</si>
  <si>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</si>
  <si>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</si>
  <si>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</si>
  <si>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</si>
  <si>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</si>
  <si>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</si>
  <si>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</si>
  <si>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</si>
  <si>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</si>
  <si>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</si>
  <si>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</si>
  <si>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</si>
  <si>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</si>
  <si>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</si>
  <si>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</si>
  <si>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</si>
  <si>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</si>
  <si>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</si>
  <si>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</si>
  <si>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</si>
  <si>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</si>
  <si>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</si>
  <si>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</si>
  <si>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</si>
  <si>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</si>
  <si>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</si>
  <si>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</si>
  <si>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</si>
  <si>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</si>
  <si>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</si>
  <si>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</si>
  <si>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</si>
  <si>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</si>
  <si>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</si>
  <si>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</si>
  <si>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</si>
  <si>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</si>
  <si>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</si>
  <si>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</si>
  <si>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</si>
  <si>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</si>
  <si>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</si>
  <si>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</si>
  <si>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</si>
  <si>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</si>
  <si>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</si>
  <si>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</si>
  <si>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</si>
  <si>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</si>
  <si>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</si>
  <si>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</si>
  <si>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</si>
  <si>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</si>
  <si>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</si>
  <si>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</si>
  <si>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</si>
  <si>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</si>
  <si>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</si>
  <si>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</si>
  <si>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</si>
  <si>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</si>
  <si>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</si>
  <si>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</si>
  <si>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</si>
  <si>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</si>
  <si>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</si>
  <si>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</si>
  <si>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</si>
  <si>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</si>
  <si>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</si>
  <si>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</si>
  <si>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</si>
  <si>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</si>
  <si>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</si>
  <si>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</si>
  <si>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</si>
  <si>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</si>
  <si>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</si>
  <si>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</si>
  <si>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</si>
  <si>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</si>
  <si>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</si>
  <si>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</si>
  <si>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</si>
  <si>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</si>
  <si>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</si>
  <si>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</si>
  <si>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</si>
  <si>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</si>
  <si>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</si>
  <si>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</si>
  <si>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</si>
  <si>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</si>
  <si>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</si>
  <si>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</si>
  <si>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</si>
  <si>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</si>
  <si>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</si>
  <si>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</si>
  <si>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</si>
  <si>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</si>
  <si>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</si>
  <si>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</si>
  <si>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</si>
  <si>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</si>
  <si>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</si>
  <si>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</si>
  <si>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</si>
  <si>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</si>
  <si>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</si>
  <si>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</si>
  <si>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</si>
  <si>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</si>
  <si>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</si>
  <si>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</si>
  <si>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</si>
  <si>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</si>
  <si>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</si>
  <si>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</si>
  <si>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</si>
  <si>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</si>
  <si>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</si>
  <si>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</si>
  <si>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</si>
  <si>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</si>
  <si>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</si>
  <si>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</si>
  <si>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</si>
  <si>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</si>
  <si>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</si>
  <si>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</si>
  <si>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</si>
  <si>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</si>
  <si>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</si>
  <si>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</si>
  <si>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</si>
  <si>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</si>
  <si>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</si>
  <si>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</si>
  <si>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</si>
  <si>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</si>
  <si>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</si>
  <si>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</si>
  <si>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</si>
  <si>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</si>
  <si>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</si>
  <si>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</si>
  <si>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</si>
  <si>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</si>
  <si>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</si>
  <si>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</si>
  <si>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</si>
  <si>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</si>
  <si>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</si>
  <si>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</si>
  <si>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</si>
  <si>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</si>
  <si>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</si>
  <si>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</si>
  <si>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</si>
  <si>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</si>
  <si>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</si>
  <si>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</si>
  <si>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</si>
  <si>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</si>
  <si>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</si>
  <si>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</si>
  <si>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</si>
  <si>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</si>
  <si>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</si>
  <si>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</si>
  <si>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</si>
  <si>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</si>
  <si>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</si>
  <si>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</si>
  <si>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</si>
  <si>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</si>
  <si>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</si>
  <si>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</si>
  <si>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</si>
  <si>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</si>
  <si>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</si>
  <si>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</si>
  <si>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</si>
  <si>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</si>
  <si>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</si>
  <si>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</si>
  <si>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</si>
  <si>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</si>
  <si>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</si>
  <si>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</si>
  <si>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</si>
  <si>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</si>
  <si>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</si>
  <si>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</si>
  <si>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</si>
  <si>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</si>
  <si>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</si>
  <si>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</si>
  <si>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</si>
  <si>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</si>
  <si>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</si>
  <si>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</si>
  <si>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</si>
  <si>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</si>
  <si>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</si>
  <si>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</si>
  <si>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</si>
  <si>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</si>
  <si>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</si>
  <si>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</si>
  <si>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</si>
  <si>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</si>
  <si>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</si>
  <si>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</si>
  <si>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</si>
  <si>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</si>
  <si>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</si>
  <si>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</si>
  <si>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</si>
  <si>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</si>
  <si>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</si>
  <si>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</si>
  <si>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</si>
  <si>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</si>
  <si>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</si>
  <si>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</si>
  <si>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</si>
  <si>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</si>
  <si>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</si>
  <si>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</si>
  <si>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</si>
  <si>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</si>
  <si>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</si>
  <si>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</si>
  <si>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</si>
  <si>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</si>
  <si>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</si>
  <si>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</si>
  <si>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</si>
  <si>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</si>
  <si>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</si>
  <si>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</si>
  <si>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</si>
  <si>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</si>
  <si>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</si>
  <si>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</si>
  <si>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</si>
  <si>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</si>
  <si>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</si>
  <si>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</si>
  <si>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</si>
  <si>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</si>
  <si>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</si>
  <si>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</si>
  <si>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</si>
  <si>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</si>
  <si>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</si>
  <si>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</si>
  <si>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</si>
  <si>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</si>
  <si>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</si>
  <si>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</si>
  <si>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</si>
  <si>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</si>
  <si>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</si>
  <si>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</si>
  <si>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</si>
  <si>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</si>
  <si>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</si>
  <si>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</si>
  <si>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</si>
  <si>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</si>
  <si>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</si>
  <si>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</si>
  <si>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</si>
  <si>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</si>
  <si>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</si>
  <si>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</si>
  <si>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</si>
  <si>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</si>
  <si>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</si>
  <si>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</si>
  <si>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</si>
  <si>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</si>
  <si>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</si>
  <si>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</si>
  <si>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</si>
  <si>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</si>
  <si>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</si>
  <si>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</si>
  <si>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</si>
  <si>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</si>
  <si>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</si>
  <si>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</si>
  <si>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</si>
  <si>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</si>
  <si>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</si>
  <si>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</si>
  <si>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</si>
  <si>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</si>
  <si>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</si>
  <si>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</si>
  <si>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</si>
  <si>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</si>
  <si>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</si>
  <si>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</si>
  <si>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</si>
  <si>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</si>
  <si>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</si>
  <si>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</si>
  <si>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</si>
  <si>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</si>
  <si>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</si>
  <si>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</si>
  <si>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</si>
  <si>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</si>
  <si>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</si>
  <si>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</si>
  <si>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</si>
  <si>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</si>
  <si>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</si>
  <si>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</si>
  <si>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</si>
  <si>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</si>
  <si>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</si>
  <si>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</si>
  <si>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</si>
  <si>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</si>
  <si>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</si>
  <si>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</si>
  <si>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</si>
  <si>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</si>
  <si>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</si>
  <si>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</si>
  <si>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</si>
  <si>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</si>
  <si>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</si>
  <si>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</si>
  <si>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</si>
  <si>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</si>
  <si>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</si>
  <si>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</si>
  <si>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</si>
  <si>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</si>
  <si>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</si>
  <si>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</si>
  <si>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</si>
  <si>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</si>
  <si>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</si>
  <si>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</si>
  <si>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</si>
  <si>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</si>
  <si>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</si>
  <si>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</si>
  <si>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</si>
  <si>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</si>
  <si>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</si>
  <si>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</si>
  <si>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</si>
  <si>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</si>
  <si>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</si>
  <si>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</si>
  <si>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</si>
  <si>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</si>
  <si>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</si>
  <si>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</si>
  <si>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</si>
  <si>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</si>
  <si>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</si>
  <si>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</si>
  <si>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</si>
  <si>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</si>
  <si>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</si>
  <si>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</si>
  <si>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</si>
  <si>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</si>
  <si>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</si>
  <si>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</si>
  <si>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</si>
  <si>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</si>
  <si>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</si>
  <si>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</si>
  <si>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</si>
  <si>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</si>
  <si>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</si>
  <si>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</si>
  <si>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</si>
  <si>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</si>
  <si>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</si>
  <si>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</si>
  <si>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</si>
  <si>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</si>
  <si>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</si>
  <si>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</si>
  <si>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</si>
  <si>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</si>
  <si>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</si>
  <si>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</si>
  <si>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</si>
  <si>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</si>
  <si>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</si>
  <si>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</si>
  <si>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</si>
  <si>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</si>
  <si>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</si>
  <si>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</si>
  <si>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</si>
  <si>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</si>
  <si>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</si>
  <si>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</si>
  <si>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</si>
  <si>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</si>
  <si>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</si>
  <si>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</si>
  <si>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</si>
  <si>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</si>
  <si>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</si>
  <si>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</si>
  <si>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</si>
  <si>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</si>
  <si>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</si>
  <si>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</si>
  <si>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</si>
  <si>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</si>
  <si>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</si>
  <si>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</si>
  <si>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</si>
  <si>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</si>
  <si>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</si>
  <si>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</si>
  <si>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</si>
  <si>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</si>
  <si>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</si>
  <si>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</si>
  <si>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</si>
  <si>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</si>
  <si>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</si>
  <si>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</si>
  <si>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</si>
  <si>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</si>
  <si>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</si>
  <si>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</si>
  <si>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</si>
  <si>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</si>
  <si>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</si>
  <si>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</si>
  <si>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</si>
  <si>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</si>
  <si>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</si>
  <si>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</si>
  <si>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</si>
  <si>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</si>
  <si>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</si>
  <si>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</si>
  <si>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</si>
  <si>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</si>
  <si>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</si>
  <si>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</si>
  <si>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</si>
  <si>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</si>
  <si>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</si>
  <si>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</si>
  <si>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</si>
  <si>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</si>
  <si>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</si>
  <si>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</si>
  <si>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</si>
  <si>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</si>
  <si>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</si>
  <si>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</si>
  <si>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</si>
  <si>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</si>
  <si>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</si>
  <si>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</si>
  <si>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</si>
  <si>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</si>
  <si>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</si>
  <si>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</si>
  <si>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</si>
  <si>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</si>
  <si>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</si>
  <si>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</si>
  <si>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</si>
  <si>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</si>
  <si>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</si>
  <si>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</si>
  <si>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</si>
  <si>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</si>
  <si>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</si>
  <si>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</si>
  <si>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</si>
  <si>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</si>
  <si>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</si>
  <si>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</si>
  <si>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</si>
  <si>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</si>
  <si>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</si>
  <si>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</si>
  <si>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</si>
  <si>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</si>
  <si>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</si>
  <si>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</si>
  <si>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</si>
  <si>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</si>
  <si>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</si>
  <si>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</si>
  <si>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</si>
  <si>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</si>
  <si>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</si>
  <si>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</si>
  <si>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</si>
  <si>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</si>
  <si>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</si>
  <si>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</si>
  <si>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</si>
  <si>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</si>
  <si>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</si>
  <si>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</si>
  <si>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</si>
  <si>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</si>
  <si>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</si>
  <si>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</si>
  <si>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</si>
  <si>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</si>
  <si>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</si>
  <si>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</si>
  <si>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</si>
  <si>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</si>
  <si>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</si>
  <si>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</si>
  <si>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</si>
  <si>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</si>
  <si>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</si>
  <si>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</si>
  <si>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</si>
  <si>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</si>
  <si>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</si>
  <si>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</si>
  <si>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</si>
  <si>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</si>
  <si>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</si>
  <si>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</si>
  <si>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</si>
  <si>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</si>
  <si>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</si>
  <si>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</si>
  <si>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</si>
  <si>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</si>
  <si>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</si>
  <si>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</si>
  <si>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</si>
  <si>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</si>
  <si>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</si>
  <si>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</si>
  <si>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</si>
  <si>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</si>
  <si>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</si>
  <si>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</si>
  <si>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</si>
  <si>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</si>
  <si>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</si>
  <si>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</si>
  <si>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</si>
  <si>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</si>
  <si>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</si>
  <si>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</si>
  <si>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</si>
  <si>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</si>
  <si>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</si>
  <si>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</si>
  <si>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</si>
  <si>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</si>
  <si>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</si>
  <si>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</si>
  <si>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</si>
  <si>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</si>
  <si>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</si>
  <si>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</si>
  <si>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</si>
  <si>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</si>
  <si>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</si>
  <si>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</si>
  <si>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</si>
  <si>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</si>
  <si>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</si>
  <si>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</si>
  <si>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</si>
  <si>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</si>
  <si>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</si>
  <si>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</si>
  <si>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</si>
  <si>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</si>
  <si>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</si>
  <si>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</si>
  <si>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</si>
  <si>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</si>
  <si>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</si>
  <si>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</si>
  <si>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</si>
  <si>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</si>
  <si>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</si>
  <si>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</si>
  <si>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</si>
  <si>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</si>
  <si>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</si>
  <si>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</si>
  <si>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</si>
  <si>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</si>
  <si>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</si>
  <si>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</si>
  <si>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</si>
  <si>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</si>
  <si>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</si>
  <si>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</si>
  <si>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</si>
  <si>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</si>
  <si>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</si>
  <si>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</si>
  <si>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</si>
  <si>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</si>
  <si>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</si>
  <si>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</si>
  <si>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</si>
  <si>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</si>
  <si>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</si>
  <si>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</si>
  <si>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</si>
  <si>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</si>
  <si>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</si>
  <si>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</si>
  <si>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</si>
  <si>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</si>
  <si>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</si>
  <si>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</si>
  <si>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</si>
  <si>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</si>
  <si>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</si>
  <si>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</si>
  <si>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</si>
  <si>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</si>
  <si>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</si>
  <si>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</si>
  <si>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</si>
  <si>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</si>
  <si>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</si>
  <si>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</si>
  <si>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</si>
  <si>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</si>
  <si>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</si>
  <si>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</si>
  <si>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</si>
  <si>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</si>
  <si>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</si>
  <si>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</si>
  <si>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</si>
  <si>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</si>
  <si>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</si>
  <si>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</si>
  <si>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</si>
  <si>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</si>
  <si>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</si>
  <si>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</si>
  <si>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</si>
  <si>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</si>
  <si>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</si>
  <si>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</si>
  <si>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</si>
  <si>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</si>
  <si>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</si>
  <si>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</si>
  <si>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</si>
  <si>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</si>
  <si>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</si>
  <si>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</si>
  <si>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</si>
  <si>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</si>
  <si>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</si>
  <si>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</si>
  <si>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</si>
  <si>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</si>
  <si>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</si>
  <si>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</si>
  <si>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</si>
  <si>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</si>
  <si>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</si>
  <si>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</si>
  <si>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</si>
  <si>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</si>
  <si>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</si>
  <si>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</si>
  <si>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</si>
  <si>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</si>
  <si>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</si>
  <si>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</si>
  <si>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</si>
  <si>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</si>
  <si>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</si>
  <si>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</si>
  <si>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</si>
  <si>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</si>
  <si>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</si>
  <si>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</si>
  <si>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</si>
  <si>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</si>
  <si>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</si>
  <si>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</si>
  <si>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</si>
  <si>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</si>
  <si>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</si>
  <si>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</si>
  <si>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</si>
  <si>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</si>
  <si>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</si>
  <si>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</si>
  <si>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</si>
  <si>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</si>
  <si>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</si>
  <si>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</si>
  <si>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</si>
  <si>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</si>
  <si>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</si>
  <si>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</si>
  <si>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</si>
  <si>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</si>
  <si>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</si>
  <si>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</si>
  <si>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</si>
  <si>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</si>
  <si>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</si>
  <si>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</si>
  <si>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</si>
  <si>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</si>
  <si>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</si>
  <si>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</si>
  <si>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</si>
  <si>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</si>
  <si>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</si>
  <si>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</si>
  <si>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</si>
  <si>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</si>
  <si>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</si>
  <si>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</si>
  <si>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</si>
  <si>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</si>
  <si>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</si>
  <si>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</si>
  <si>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</si>
  <si>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</si>
  <si>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</si>
  <si>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</si>
  <si>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</si>
  <si>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</si>
  <si>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</si>
  <si>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</si>
  <si>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</si>
  <si>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</si>
  <si>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</si>
  <si>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</si>
  <si>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</si>
  <si>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</si>
  <si>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</si>
  <si>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</si>
  <si>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</si>
  <si>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</si>
  <si>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</si>
  <si>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</si>
  <si>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</si>
  <si>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</si>
  <si>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</si>
  <si>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</si>
  <si>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</si>
  <si>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</si>
  <si>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</si>
  <si>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</si>
  <si>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</si>
  <si>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</si>
  <si>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</si>
  <si>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</si>
  <si>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</si>
  <si>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</si>
  <si>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</si>
  <si>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</si>
  <si>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</si>
  <si>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</si>
  <si>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</si>
  <si>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</si>
  <si>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</si>
  <si>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</si>
  <si>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</si>
  <si>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</si>
  <si>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</si>
  <si>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</si>
  <si>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</si>
  <si>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</si>
  <si>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</si>
  <si>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</si>
  <si>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</si>
  <si>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</si>
  <si>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</si>
  <si>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</si>
  <si>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</si>
  <si>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</si>
  <si>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</si>
  <si>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</si>
  <si>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</si>
  <si>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</si>
  <si>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</si>
  <si>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</si>
  <si>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</si>
  <si>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</si>
  <si>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</si>
  <si>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</si>
  <si>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</si>
  <si>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</si>
  <si>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</si>
  <si>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</si>
  <si>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</si>
  <si>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</si>
  <si>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</si>
  <si>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</si>
  <si>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</si>
  <si>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</si>
  <si>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</si>
  <si>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</si>
  <si>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</si>
  <si>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</si>
  <si>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</si>
  <si>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</si>
  <si>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</si>
  <si>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</si>
  <si>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</si>
  <si>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</si>
  <si>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</si>
  <si>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</si>
  <si>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</si>
  <si>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</si>
  <si>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</si>
  <si>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</si>
  <si>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</si>
  <si>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</si>
  <si>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</si>
  <si>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</si>
  <si>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</si>
  <si>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</si>
  <si>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</si>
  <si>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</si>
  <si>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</si>
  <si>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</si>
  <si>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</si>
  <si>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</si>
  <si>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</si>
  <si>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</si>
  <si>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</si>
  <si>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</si>
  <si>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</si>
  <si>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</si>
  <si>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</si>
  <si>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</si>
  <si>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</si>
  <si>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</si>
  <si>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</si>
  <si>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</si>
  <si>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</si>
  <si>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</si>
  <si>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</si>
  <si>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</si>
  <si>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</si>
  <si>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</si>
  <si>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</si>
  <si>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</si>
  <si>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</si>
  <si>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</si>
  <si>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</si>
  <si>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</si>
  <si>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</si>
  <si>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</si>
  <si>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</si>
  <si>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</si>
  <si>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</si>
  <si>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</si>
  <si>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</si>
  <si>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</si>
  <si>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</si>
  <si>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</si>
  <si>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</si>
  <si>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</si>
  <si>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</si>
  <si>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</si>
  <si>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</si>
  <si>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</si>
  <si>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</si>
  <si>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</si>
  <si>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</si>
  <si>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</si>
  <si>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</si>
  <si>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</si>
  <si>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</si>
  <si>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</si>
  <si>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</si>
  <si>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</si>
  <si>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</si>
  <si>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</si>
  <si>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</si>
  <si>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</si>
  <si>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</si>
  <si>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</si>
  <si>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</si>
  <si>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</si>
  <si>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</si>
  <si>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</si>
  <si>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</si>
  <si>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</si>
  <si>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</si>
  <si>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</si>
  <si>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</si>
  <si>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</si>
  <si>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</si>
  <si>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</si>
  <si>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</si>
  <si>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</si>
  <si>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</si>
  <si>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</si>
  <si>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</si>
  <si>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</si>
  <si>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</si>
  <si>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</si>
  <si>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</si>
  <si>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</si>
  <si>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</si>
  <si>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</si>
  <si>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</si>
  <si>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</si>
  <si>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</si>
  <si>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</si>
  <si>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</si>
  <si>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</si>
  <si>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</si>
  <si>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</si>
  <si>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</si>
  <si>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</si>
  <si>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</si>
  <si>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</si>
  <si>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</si>
  <si>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</si>
  <si>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</si>
  <si>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</si>
  <si>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</si>
  <si>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</si>
  <si>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</si>
  <si>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</si>
  <si>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</si>
  <si>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</si>
  <si>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</si>
  <si>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</si>
  <si>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</si>
  <si>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</si>
  <si>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</si>
  <si>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</si>
  <si>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</si>
  <si>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</si>
  <si>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</si>
  <si>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</si>
  <si>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</si>
  <si>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</si>
  <si>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</si>
  <si>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</si>
  <si>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</si>
  <si>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</si>
  <si>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</si>
  <si>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</si>
  <si>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</si>
  <si>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</si>
  <si>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</si>
  <si>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</si>
  <si>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</si>
  <si>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</si>
  <si>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</si>
  <si>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</si>
  <si>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</si>
  <si>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</si>
  <si>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</si>
  <si>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</si>
  <si>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</si>
  <si>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</si>
  <si>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</si>
  <si>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</si>
  <si>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</si>
  <si>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</si>
  <si>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</si>
  <si>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</si>
  <si>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</si>
  <si>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</si>
  <si>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</si>
  <si>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</si>
  <si>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</si>
  <si>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</si>
  <si>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</si>
  <si>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</si>
  <si>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</si>
  <si>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</si>
  <si>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</si>
  <si>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</si>
  <si>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</si>
  <si>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</si>
  <si>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</si>
  <si>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</si>
  <si>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</si>
  <si>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</si>
  <si>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</si>
  <si>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</si>
  <si>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</si>
  <si>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</si>
  <si>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</si>
  <si>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</si>
  <si>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</si>
  <si>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</si>
  <si>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</si>
  <si>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</si>
  <si>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</si>
  <si>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</si>
  <si>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</si>
  <si>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</si>
  <si>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</si>
  <si>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</si>
  <si>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</si>
  <si>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</si>
  <si>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</si>
  <si>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</si>
  <si>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</si>
  <si>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</si>
  <si>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</si>
  <si>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</si>
  <si>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</si>
  <si>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</si>
  <si>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</si>
  <si>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</si>
  <si>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</si>
  <si>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</si>
  <si>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</si>
  <si>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</si>
  <si>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</si>
  <si>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</si>
  <si>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</si>
  <si>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</si>
  <si>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</si>
  <si>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</si>
  <si>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</si>
  <si>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</si>
  <si>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</si>
  <si>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</si>
  <si>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</si>
  <si>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</si>
  <si>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</si>
  <si>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</si>
  <si>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</si>
  <si>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</si>
  <si>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</si>
  <si>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</si>
  <si>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</si>
  <si>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</si>
  <si>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</si>
  <si>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</si>
  <si>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</si>
  <si>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</si>
  <si>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</si>
  <si>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</si>
  <si>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</si>
  <si>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</si>
  <si>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</si>
  <si>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</si>
  <si>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</si>
  <si>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</si>
  <si>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</si>
  <si>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</si>
  <si>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</si>
  <si>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</si>
  <si>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</si>
  <si>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</si>
  <si>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</si>
  <si>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</si>
  <si>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</si>
  <si>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</si>
  <si>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</si>
  <si>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</si>
  <si>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</si>
  <si>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</si>
  <si>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</si>
  <si>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</si>
  <si>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</si>
  <si>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</si>
  <si>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</si>
  <si>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</si>
  <si>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</si>
  <si>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</si>
  <si>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</si>
  <si>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</si>
  <si>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</si>
  <si>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</si>
  <si>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</si>
  <si>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</si>
  <si>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</si>
  <si>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</si>
  <si>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</si>
  <si>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</si>
  <si>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</si>
  <si>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</si>
  <si>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</si>
  <si>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</si>
  <si>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</si>
  <si>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</si>
  <si>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</si>
  <si>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</si>
  <si>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</si>
  <si>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</si>
  <si>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</si>
  <si>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</si>
  <si>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</si>
  <si>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</si>
  <si>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</si>
  <si>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</si>
  <si>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</si>
  <si>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</si>
  <si>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</si>
  <si>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</si>
  <si>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</si>
  <si>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</si>
  <si>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</si>
  <si>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</si>
  <si>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</si>
  <si>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</si>
  <si>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</si>
  <si>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</si>
  <si>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</si>
  <si>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</si>
  <si>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</si>
  <si>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</si>
  <si>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</si>
  <si>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</si>
  <si>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</si>
  <si>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</si>
  <si>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</si>
  <si>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</si>
  <si>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</si>
  <si>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</si>
  <si>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</si>
  <si>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</si>
  <si>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</si>
  <si>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</si>
  <si>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</si>
  <si>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</si>
  <si>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</si>
  <si>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</si>
  <si>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</si>
  <si>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</si>
  <si>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</si>
  <si>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</si>
  <si>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</si>
  <si>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</si>
  <si>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</si>
  <si>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</si>
  <si>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</si>
  <si>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</si>
  <si>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</si>
  <si>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</si>
  <si>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</si>
  <si>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</si>
  <si>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</si>
  <si>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</si>
  <si>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</si>
  <si>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</si>
  <si>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</si>
  <si>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</si>
  <si>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</si>
  <si>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</si>
  <si>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</si>
  <si>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</si>
  <si>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</si>
  <si>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</si>
  <si>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</si>
  <si>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</si>
  <si>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</si>
  <si>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</si>
  <si>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</si>
  <si>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</si>
  <si>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</si>
  <si>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</si>
  <si>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</si>
  <si>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</si>
  <si>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</si>
  <si>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</si>
  <si>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</si>
  <si>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</si>
  <si>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</si>
  <si>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</si>
  <si>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</si>
  <si>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</si>
  <si>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</si>
  <si>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</si>
  <si>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</si>
  <si>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</si>
  <si>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</si>
  <si>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</si>
  <si>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</si>
  <si>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</si>
  <si>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</si>
  <si>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</si>
  <si>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</si>
  <si>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</si>
  <si>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</si>
  <si>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</si>
  <si>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</si>
  <si>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</si>
  <si>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</si>
  <si>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</si>
  <si>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</si>
  <si>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</si>
  <si>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</si>
  <si>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</si>
  <si>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</si>
  <si>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</si>
  <si>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</si>
  <si>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</si>
  <si>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</si>
  <si>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</si>
  <si>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</si>
  <si>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</si>
  <si>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</si>
  <si>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</si>
  <si>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</si>
  <si>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</si>
  <si>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</si>
  <si>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</si>
  <si>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</si>
  <si>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</si>
  <si>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</si>
  <si>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</si>
  <si>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</si>
  <si>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</si>
  <si>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</si>
  <si>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</si>
  <si>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</si>
  <si>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</si>
  <si>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</si>
  <si>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</si>
  <si>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</si>
  <si>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</si>
  <si>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</si>
  <si>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</si>
  <si>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</si>
  <si>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</si>
  <si>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</si>
  <si>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</si>
  <si>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</si>
  <si>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</si>
  <si>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</si>
  <si>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</si>
  <si>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</si>
  <si>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</si>
  <si>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</si>
  <si>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</si>
  <si>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</si>
  <si>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</si>
  <si>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</si>
  <si>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</si>
  <si>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</si>
  <si>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</si>
  <si>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</si>
  <si>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</si>
  <si>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</si>
  <si>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</si>
  <si>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</si>
  <si>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</si>
  <si>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</si>
  <si>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</si>
  <si>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</si>
  <si>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</si>
  <si>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</si>
  <si>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</si>
  <si>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</si>
  <si>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</si>
  <si>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</si>
  <si>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</si>
  <si>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</si>
  <si>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</si>
  <si>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</si>
  <si>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</si>
  <si>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</si>
  <si>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</si>
  <si>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</si>
  <si>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</si>
  <si>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</si>
  <si>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</si>
  <si>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</si>
  <si>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</si>
  <si>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</si>
  <si>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</si>
  <si>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</si>
  <si>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</si>
  <si>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</si>
  <si>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</si>
  <si>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</si>
  <si>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</si>
  <si>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</si>
  <si>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</si>
  <si>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</si>
  <si>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</si>
  <si>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</si>
  <si>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</si>
  <si>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</si>
  <si>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</si>
  <si>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</si>
  <si>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</si>
  <si>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</si>
  <si>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</si>
  <si>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</si>
  <si>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</si>
  <si>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</si>
  <si>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</si>
  <si>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</si>
  <si>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</si>
  <si>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</si>
  <si>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</si>
  <si>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</si>
  <si>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</si>
  <si>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</si>
  <si>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</si>
  <si>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</si>
  <si>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</si>
  <si>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</si>
  <si>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</si>
  <si>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</si>
  <si>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</si>
  <si>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</si>
  <si>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</si>
  <si>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</si>
  <si>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</si>
  <si>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</si>
  <si>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</si>
  <si>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</si>
  <si>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</si>
  <si>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</si>
  <si>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</si>
  <si>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</si>
  <si>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</si>
  <si>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</si>
  <si>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</si>
  <si>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</si>
  <si>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</si>
  <si>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</si>
  <si>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</si>
  <si>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</si>
  <si>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</si>
  <si>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</si>
  <si>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</si>
  <si>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</si>
  <si>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</si>
  <si>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</si>
  <si>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</si>
  <si>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</si>
  <si>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</si>
  <si>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</si>
  <si>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</si>
  <si>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</si>
  <si>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</si>
  <si>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</si>
  <si>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</si>
  <si>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</si>
  <si>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</si>
  <si>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</si>
  <si>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</si>
  <si>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</si>
  <si>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</si>
  <si>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</si>
  <si>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</si>
  <si>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</si>
  <si>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</si>
  <si>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</si>
  <si>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</si>
  <si>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</si>
  <si>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</si>
  <si>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</si>
  <si>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</si>
  <si>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</si>
  <si>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</si>
  <si>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</si>
  <si>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</si>
  <si>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</si>
  <si>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</si>
  <si>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</si>
  <si>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</si>
  <si>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</si>
  <si>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</si>
  <si>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</si>
  <si>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</si>
  <si>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</si>
  <si>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</si>
  <si>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</si>
  <si>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</si>
  <si>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</si>
  <si>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</si>
  <si>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</si>
  <si>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</si>
  <si>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</si>
  <si>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</si>
  <si>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</si>
  <si>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</si>
  <si>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</si>
  <si>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</si>
  <si>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</si>
  <si>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</si>
  <si>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</si>
  <si>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</si>
  <si>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</si>
  <si>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</si>
  <si>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</si>
  <si>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</si>
  <si>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</si>
  <si>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</si>
  <si>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</si>
  <si>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</si>
  <si>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</si>
  <si>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</si>
  <si>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</si>
  <si>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</si>
  <si>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</si>
  <si>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</si>
  <si>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</si>
  <si>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</si>
  <si>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</si>
  <si>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</si>
  <si>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</si>
  <si>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</si>
  <si>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</si>
  <si>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</si>
  <si>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</si>
  <si>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</si>
  <si>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</si>
  <si>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</si>
  <si>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</si>
  <si>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</si>
  <si>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</si>
  <si>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</si>
  <si>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</si>
  <si>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</si>
  <si>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</si>
  <si>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</si>
  <si>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</si>
  <si>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</si>
  <si>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</si>
  <si>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</si>
  <si>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</si>
  <si>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</si>
  <si>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</si>
  <si>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</si>
  <si>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</si>
  <si>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</si>
  <si>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</si>
  <si>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</si>
  <si>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</si>
  <si>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</si>
  <si>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</si>
  <si>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</si>
  <si>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</si>
  <si>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</si>
  <si>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</si>
  <si>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</si>
  <si>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</si>
  <si>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</si>
  <si>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</si>
  <si>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</si>
  <si>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</si>
  <si>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</si>
  <si>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</si>
  <si>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</si>
  <si>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</si>
  <si>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</si>
  <si>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</si>
  <si>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</si>
  <si>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</si>
  <si>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</si>
  <si>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</si>
  <si>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</si>
  <si>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</si>
  <si>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</si>
  <si>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</si>
  <si>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</si>
  <si>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</si>
  <si>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</si>
  <si>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</si>
  <si>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</si>
  <si>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</si>
  <si>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</si>
  <si>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</si>
  <si>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</si>
  <si>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</si>
  <si>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</si>
  <si>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</si>
  <si>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</si>
  <si>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</si>
  <si>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</si>
  <si>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</si>
  <si>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</si>
  <si>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</si>
  <si>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</si>
  <si>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</si>
  <si>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</si>
  <si>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</si>
  <si>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</si>
  <si>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</si>
  <si>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</si>
  <si>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</si>
  <si>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</si>
  <si>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</si>
  <si>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</si>
  <si>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</si>
  <si>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</si>
  <si>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</si>
  <si>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</si>
  <si>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</si>
  <si>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</si>
  <si>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</si>
  <si>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</si>
  <si>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</si>
  <si>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</si>
  <si>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</si>
  <si>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</si>
  <si>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</si>
  <si>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</si>
  <si>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</si>
  <si>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</si>
  <si>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</si>
  <si>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</si>
  <si>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</si>
  <si>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</si>
  <si>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</si>
  <si>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</si>
  <si>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</si>
  <si>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</si>
  <si>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</si>
  <si>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</si>
  <si>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</si>
  <si>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</si>
  <si>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</si>
  <si>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</si>
  <si>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</si>
  <si>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</si>
  <si>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</si>
  <si>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</si>
  <si>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</si>
  <si>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</si>
  <si>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</si>
  <si>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</si>
  <si>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</si>
  <si>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</si>
  <si>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</si>
  <si>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</si>
  <si>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</si>
  <si>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</si>
  <si>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</si>
  <si>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</si>
  <si>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</si>
  <si>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</si>
  <si>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</si>
  <si>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</si>
  <si>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</si>
  <si>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</si>
  <si>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</si>
  <si>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</si>
  <si>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</si>
  <si>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</si>
  <si>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</si>
  <si>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</si>
  <si>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</si>
  <si>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</si>
  <si>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</si>
  <si>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</si>
  <si>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</si>
  <si>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</si>
  <si>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</si>
  <si>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</si>
  <si>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</si>
  <si>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</si>
  <si>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</si>
  <si>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</si>
  <si>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</si>
  <si>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</si>
  <si>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</si>
  <si>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</si>
  <si>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</si>
  <si>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</si>
  <si>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</si>
  <si>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</si>
  <si>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</si>
  <si>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</si>
  <si>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</si>
  <si>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</si>
  <si>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</si>
  <si>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</si>
  <si>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</si>
  <si>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</si>
  <si>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</si>
  <si>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</si>
  <si>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</si>
  <si>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</si>
  <si>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</si>
  <si>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</si>
  <si>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</si>
  <si>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</si>
  <si>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</si>
  <si>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</si>
  <si>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</si>
  <si>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</si>
  <si>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</si>
  <si>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</si>
  <si>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</si>
  <si>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</si>
  <si>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</si>
  <si>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</si>
  <si>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</si>
  <si>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</si>
  <si>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</si>
  <si>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</si>
  <si>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</si>
  <si>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</si>
  <si>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</si>
  <si>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</si>
  <si>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</si>
  <si>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</si>
  <si>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</si>
  <si>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</si>
  <si>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</si>
  <si>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</si>
  <si>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</si>
  <si>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</si>
  <si>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</si>
  <si>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</si>
  <si>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</si>
  <si>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</si>
  <si>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</si>
  <si>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</si>
  <si>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</si>
  <si>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</si>
  <si>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</si>
  <si>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</si>
  <si>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</si>
  <si>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</si>
  <si>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</si>
  <si>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</si>
  <si>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</si>
  <si>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</si>
  <si>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</si>
  <si>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</si>
  <si>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</si>
  <si>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</si>
  <si>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</si>
  <si>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</si>
  <si>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</si>
  <si>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</si>
  <si>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</si>
  <si>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</si>
  <si>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</si>
  <si>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</si>
  <si>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</si>
  <si>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</si>
  <si>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</si>
  <si>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</si>
  <si>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</si>
  <si>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</si>
  <si>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</si>
  <si>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</si>
  <si>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</si>
  <si>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</si>
  <si>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</si>
  <si>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</si>
  <si>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</si>
  <si>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</si>
  <si>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</si>
  <si>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</si>
  <si>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</si>
  <si>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</si>
  <si>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</si>
  <si>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</si>
  <si>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</si>
  <si>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</si>
  <si>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</si>
  <si>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</si>
  <si>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</si>
  <si>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</si>
  <si>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</si>
  <si>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</si>
  <si>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</si>
  <si>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</si>
  <si>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</si>
  <si>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</si>
  <si>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</si>
  <si>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</si>
  <si>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</si>
  <si>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</si>
  <si>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</si>
  <si>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</si>
  <si>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</si>
  <si>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</si>
  <si>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</si>
  <si>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</si>
  <si>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</si>
  <si>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</si>
  <si>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</si>
  <si>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</si>
  <si>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</si>
  <si>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</si>
  <si>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</si>
  <si>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</si>
  <si>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</si>
  <si>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</si>
  <si>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</si>
  <si>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</si>
  <si>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</si>
  <si>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</si>
  <si>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</si>
  <si>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</si>
  <si>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</si>
  <si>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</si>
  <si>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</si>
  <si>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</si>
  <si>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</si>
  <si>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</si>
  <si>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</si>
  <si>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</si>
  <si>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</si>
  <si>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</si>
  <si>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</si>
  <si>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</si>
  <si>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</si>
  <si>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</si>
  <si>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</si>
  <si>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</si>
  <si>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</si>
  <si>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</si>
  <si>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</si>
  <si>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</si>
  <si>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</si>
  <si>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</si>
  <si>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</si>
  <si>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</si>
  <si>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</si>
  <si>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</si>
  <si>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</si>
  <si>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</si>
  <si>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</si>
  <si>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</si>
  <si>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</si>
  <si>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</si>
  <si>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</si>
  <si>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</si>
  <si>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</si>
  <si>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</si>
  <si>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</si>
  <si>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</si>
  <si>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</si>
  <si>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</si>
  <si>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</si>
  <si>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</si>
  <si>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</si>
  <si>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</si>
  <si>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</si>
  <si>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</si>
  <si>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</si>
  <si>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</si>
  <si>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</si>
  <si>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</si>
  <si>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</si>
  <si>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</si>
  <si>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</si>
  <si>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</si>
  <si>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</si>
  <si>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</si>
  <si>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</si>
  <si>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</si>
  <si>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</si>
  <si>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</si>
  <si>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</si>
  <si>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</si>
  <si>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</si>
  <si>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</si>
  <si>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</si>
  <si>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</si>
  <si>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</si>
  <si>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</si>
  <si>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</si>
  <si>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</si>
  <si>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</si>
  <si>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</si>
  <si>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</si>
  <si>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</si>
  <si>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</si>
  <si>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</si>
  <si>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</si>
  <si>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</si>
  <si>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</si>
  <si>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</si>
  <si>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</si>
  <si>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</si>
  <si>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</si>
  <si>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</si>
  <si>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</si>
  <si>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</si>
  <si>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</si>
  <si>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</si>
  <si>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</si>
  <si>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</si>
  <si>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</si>
  <si>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</si>
  <si>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</si>
  <si>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</si>
  <si>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</si>
  <si>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</si>
  <si>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</si>
  <si>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</si>
  <si>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</si>
  <si>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</si>
  <si>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</si>
  <si>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</si>
  <si>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</si>
  <si>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</si>
  <si>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</si>
  <si>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</si>
  <si>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</si>
  <si>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</si>
  <si>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</si>
  <si>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</si>
  <si>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</si>
  <si>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</si>
  <si>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</si>
  <si>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</si>
  <si>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</si>
  <si>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</si>
  <si>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</si>
  <si>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</si>
  <si>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</si>
  <si>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</si>
  <si>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</si>
  <si>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</si>
  <si>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</si>
  <si>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</si>
  <si>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</si>
  <si>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</si>
  <si>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</si>
  <si>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</si>
  <si>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</si>
  <si>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</si>
  <si>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</si>
  <si>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</si>
  <si>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</si>
  <si>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</si>
  <si>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</si>
  <si>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</si>
  <si>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</si>
  <si>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</si>
  <si>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</si>
  <si>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</si>
  <si>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</si>
  <si>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</si>
  <si>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</si>
  <si>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</si>
  <si>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</si>
  <si>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</si>
  <si>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</si>
  <si>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</si>
  <si>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</si>
  <si>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</si>
  <si>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</si>
  <si>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</si>
  <si>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</si>
  <si>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</si>
  <si>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</si>
  <si>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</si>
  <si>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</si>
  <si>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</si>
  <si>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</si>
  <si>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</si>
  <si>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</si>
  <si>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</si>
  <si>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</si>
  <si>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</si>
  <si>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</si>
  <si>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</si>
  <si>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</si>
  <si>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</si>
  <si>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</si>
  <si>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</si>
  <si>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</si>
  <si>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</si>
  <si>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</si>
  <si>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</si>
  <si>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</si>
  <si>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</si>
  <si>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</si>
  <si>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</si>
  <si>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</si>
  <si>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</si>
  <si>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</si>
  <si>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</si>
  <si>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</si>
  <si>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</si>
  <si>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</si>
  <si>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</si>
  <si>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</si>
  <si>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</si>
  <si>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</si>
  <si>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</si>
  <si>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</si>
  <si>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</si>
  <si>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</si>
  <si>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</si>
  <si>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</si>
  <si>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</si>
  <si>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</si>
  <si>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</si>
  <si>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</si>
  <si>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</si>
  <si>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</si>
  <si>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</si>
  <si>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</si>
  <si>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</si>
  <si>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</si>
  <si>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</si>
  <si>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</si>
  <si>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</si>
  <si>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</si>
  <si>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</si>
  <si>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</si>
  <si>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</si>
  <si>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</si>
  <si>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</si>
  <si>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</si>
  <si>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</si>
  <si>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</si>
  <si>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</si>
  <si>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</si>
  <si>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</si>
  <si>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</si>
  <si>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</si>
  <si>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</si>
  <si>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</si>
  <si>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</si>
  <si>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</si>
  <si>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</si>
  <si>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</si>
  <si>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</si>
  <si>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</si>
  <si>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</si>
  <si>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</si>
  <si>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</si>
  <si>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</si>
  <si>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</si>
  <si>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</si>
  <si>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</si>
  <si>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</si>
  <si>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</si>
  <si>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</si>
  <si>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</si>
  <si>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</si>
  <si>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</si>
  <si>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</si>
  <si>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</si>
  <si>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</si>
  <si>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</si>
  <si>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</si>
  <si>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</si>
  <si>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</si>
  <si>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</si>
  <si>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</si>
  <si>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</si>
  <si>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</si>
  <si>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</si>
  <si>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</si>
  <si>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</si>
  <si>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</si>
  <si>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</si>
  <si>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</si>
  <si>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</si>
  <si>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</si>
  <si>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</si>
  <si>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</si>
  <si>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</si>
  <si>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</si>
  <si>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</si>
  <si>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</si>
  <si>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</si>
  <si>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</si>
  <si>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</si>
  <si>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</si>
  <si>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</si>
  <si>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</si>
  <si>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</si>
  <si>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</si>
  <si>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</si>
  <si>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</si>
  <si>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</si>
  <si>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</si>
  <si>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</si>
  <si>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</si>
  <si>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</si>
  <si>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</si>
  <si>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</si>
  <si>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</si>
  <si>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</si>
  <si>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</si>
  <si>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</si>
  <si>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</si>
  <si>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</si>
  <si>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</si>
  <si>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</si>
  <si>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</si>
  <si>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</si>
  <si>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</si>
  <si>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</si>
  <si>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</si>
  <si>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</si>
  <si>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</si>
  <si>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</si>
  <si>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</si>
  <si>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</si>
  <si>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</si>
  <si>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</si>
  <si>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</si>
  <si>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</si>
  <si>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</si>
  <si>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</si>
  <si>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</si>
  <si>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</si>
  <si>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</si>
  <si>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</si>
  <si>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</si>
  <si>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</si>
  <si>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</si>
  <si>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</si>
  <si>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</si>
  <si>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</si>
  <si>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</si>
  <si>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</si>
  <si>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</si>
  <si>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</si>
  <si>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</si>
  <si>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</si>
  <si>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</si>
  <si>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</si>
  <si>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</si>
  <si>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</si>
  <si>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</si>
  <si>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</si>
  <si>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</si>
  <si>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</si>
  <si>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</si>
  <si>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</si>
  <si>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</si>
  <si>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</si>
  <si>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</si>
  <si>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</si>
  <si>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</si>
  <si>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</si>
  <si>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</si>
  <si>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</si>
  <si>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</si>
  <si>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</si>
  <si>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</si>
  <si>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</si>
  <si>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</si>
  <si>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</si>
  <si>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</si>
  <si>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</si>
  <si>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</si>
  <si>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</si>
  <si>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</si>
  <si>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</si>
  <si>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</si>
  <si>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</si>
  <si>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</si>
  <si>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</si>
  <si>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</si>
  <si>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</si>
  <si>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</si>
  <si>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</si>
  <si>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</si>
  <si>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</si>
  <si>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</si>
  <si>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</si>
  <si>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</si>
  <si>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</si>
  <si>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</si>
  <si>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</si>
  <si>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</si>
  <si>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</si>
  <si>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</si>
  <si>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</si>
  <si>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</si>
  <si>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</si>
  <si>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</si>
  <si>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</si>
  <si>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</si>
  <si>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</si>
  <si>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</si>
  <si>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</si>
  <si>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</si>
  <si>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</si>
  <si>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</si>
  <si>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</si>
  <si>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</si>
  <si>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</si>
  <si>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</si>
  <si>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</si>
  <si>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</si>
  <si>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</si>
  <si>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</si>
  <si>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</si>
  <si>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</si>
  <si>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</si>
  <si>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</si>
  <si>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</si>
  <si>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</si>
  <si>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</si>
  <si>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</si>
  <si>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</si>
  <si>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</si>
  <si>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</si>
  <si>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</si>
  <si>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</si>
  <si>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</si>
  <si>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</si>
  <si>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</si>
  <si>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</si>
  <si>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</si>
  <si>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</si>
  <si>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</si>
  <si>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</si>
  <si>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</si>
  <si>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</si>
  <si>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</si>
  <si>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</si>
  <si>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</si>
  <si>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</si>
  <si>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</si>
  <si>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</si>
  <si>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</si>
  <si>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</si>
  <si>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</si>
  <si>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</si>
  <si>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</si>
  <si>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</si>
  <si>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</si>
  <si>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</si>
  <si>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</si>
  <si>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</si>
  <si>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</si>
  <si>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</si>
  <si>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</si>
  <si>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</si>
  <si>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</si>
  <si>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</si>
  <si>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</si>
  <si>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</si>
  <si>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</si>
  <si>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</si>
  <si>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</si>
  <si>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</si>
  <si>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</si>
  <si>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</si>
  <si>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</si>
  <si>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</si>
  <si>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</si>
  <si>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</si>
  <si>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</si>
  <si>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</si>
  <si>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</si>
  <si>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</si>
  <si>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</si>
  <si>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</si>
  <si>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</si>
  <si>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</si>
  <si>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</si>
  <si>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</si>
  <si>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</si>
  <si>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</si>
  <si>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</si>
  <si>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</si>
  <si>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</si>
  <si>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</si>
  <si>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</si>
  <si>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</si>
  <si>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</si>
  <si>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</si>
  <si>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</si>
  <si>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</si>
  <si>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</si>
  <si>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</si>
  <si>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</si>
  <si>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</si>
  <si>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</si>
  <si>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</si>
  <si>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</si>
  <si>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</si>
  <si>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</si>
  <si>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</si>
  <si>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</si>
  <si>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</si>
  <si>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</si>
  <si>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</si>
  <si>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</si>
  <si>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</si>
  <si>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</si>
  <si>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</si>
  <si>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</si>
  <si>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</si>
  <si>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</si>
  <si>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</si>
  <si>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</si>
  <si>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</si>
  <si>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</si>
  <si>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</si>
  <si>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</si>
  <si>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</si>
  <si>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</si>
  <si>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</si>
  <si>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</si>
  <si>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</si>
  <si>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</si>
  <si>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</si>
  <si>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</si>
  <si>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</si>
  <si>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</si>
  <si>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</si>
  <si>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</si>
  <si>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</si>
  <si>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</si>
  <si>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</si>
  <si>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</si>
  <si>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</si>
  <si>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</si>
  <si>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</si>
  <si>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</si>
  <si>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</si>
  <si>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</si>
  <si>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</si>
  <si>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</si>
  <si>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</si>
  <si>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</si>
  <si>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</si>
  <si>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</si>
  <si>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</si>
  <si>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</si>
  <si>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</si>
  <si>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</si>
  <si>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</si>
  <si>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</si>
  <si>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</si>
  <si>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</si>
  <si>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</si>
  <si>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</si>
  <si>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</si>
  <si>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</si>
  <si>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</si>
  <si>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</si>
  <si>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</si>
  <si>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</si>
  <si>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</si>
  <si>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</si>
  <si>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</si>
  <si>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</si>
  <si>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</si>
  <si>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</si>
  <si>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</si>
  <si>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</si>
  <si>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</si>
  <si>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</si>
  <si>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</si>
  <si>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</si>
  <si>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</si>
  <si>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</si>
  <si>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</si>
  <si>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</si>
  <si>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</si>
  <si>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</si>
  <si>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</si>
  <si>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</si>
  <si>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</si>
  <si>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</si>
  <si>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</si>
  <si>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</si>
  <si>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</si>
  <si>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</si>
  <si>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</si>
  <si>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</si>
  <si>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</si>
  <si>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</si>
  <si>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</si>
  <si>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</si>
  <si>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</si>
  <si>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</si>
  <si>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</si>
  <si>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</si>
  <si>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</si>
  <si>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</si>
  <si>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</si>
  <si>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</si>
  <si>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</si>
  <si>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</si>
  <si>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</si>
  <si>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</si>
  <si>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</si>
  <si>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</si>
  <si>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</si>
  <si>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</si>
  <si>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</si>
  <si>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</si>
  <si>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</si>
  <si>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</si>
  <si>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</si>
  <si>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</si>
  <si>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</si>
  <si>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</si>
  <si>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</si>
  <si>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</si>
  <si>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</si>
  <si>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</si>
  <si>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</si>
  <si>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</si>
  <si>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</si>
  <si>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</si>
  <si>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</si>
  <si>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</si>
  <si>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</si>
  <si>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</si>
  <si>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</si>
  <si>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</si>
  <si>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</si>
  <si>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</si>
  <si>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</si>
  <si>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</si>
  <si>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</si>
  <si>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</si>
  <si>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</si>
  <si>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</si>
  <si>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</si>
  <si>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</si>
  <si>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</si>
  <si>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</si>
  <si>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</si>
  <si>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</si>
  <si>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</si>
  <si>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</si>
  <si>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</si>
  <si>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</si>
  <si>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</si>
  <si>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</si>
  <si>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</si>
  <si>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</si>
  <si>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</si>
  <si>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</si>
  <si>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</si>
  <si>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</si>
  <si>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</si>
  <si>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</si>
  <si>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</si>
  <si>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</si>
  <si>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</si>
  <si>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</si>
  <si>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</si>
  <si>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</si>
  <si>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</si>
  <si>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</si>
  <si>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</si>
  <si>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</si>
  <si>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</si>
  <si>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</si>
  <si>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</si>
  <si>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</si>
  <si>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</si>
  <si>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</si>
  <si>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</si>
  <si>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</si>
  <si>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</si>
  <si>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</si>
  <si>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</si>
  <si>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</si>
  <si>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</si>
  <si>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</si>
  <si>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</si>
  <si>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</si>
  <si>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</si>
  <si>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</si>
  <si>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</si>
  <si>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</si>
  <si>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</si>
  <si>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</si>
  <si>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</si>
  <si>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</si>
  <si>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</si>
  <si>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</si>
  <si>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</si>
  <si>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</si>
  <si>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</si>
  <si>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</si>
  <si>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</si>
  <si>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</si>
  <si>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</si>
  <si>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</si>
  <si>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</si>
  <si>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</si>
  <si>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</si>
  <si>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</si>
  <si>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</si>
  <si>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</si>
  <si>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</si>
  <si>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</si>
  <si>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</si>
  <si>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</si>
  <si>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</si>
  <si>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</si>
  <si>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</si>
  <si>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</si>
  <si>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</si>
  <si>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</si>
  <si>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</si>
  <si>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</si>
  <si>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</si>
  <si>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</si>
  <si>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</si>
  <si>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</si>
  <si>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</si>
  <si>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</si>
  <si>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</si>
  <si>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</si>
  <si>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</si>
  <si>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</si>
  <si>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</si>
  <si>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</si>
  <si>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</si>
  <si>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</si>
  <si>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</si>
  <si>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</si>
  <si>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</si>
  <si>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</si>
  <si>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</si>
  <si>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</si>
  <si>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</si>
  <si>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</si>
  <si>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</si>
  <si>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</si>
  <si>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</si>
  <si>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</si>
  <si>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</si>
  <si>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</si>
  <si>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</si>
  <si>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</si>
  <si>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</si>
  <si>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</si>
  <si>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</si>
  <si>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</si>
  <si>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</si>
  <si>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</si>
  <si>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</si>
  <si>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</si>
  <si>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</si>
  <si>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</si>
  <si>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</si>
  <si>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</si>
  <si>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</si>
  <si>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</si>
  <si>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</si>
  <si>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</si>
  <si>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</si>
  <si>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</si>
  <si>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</si>
  <si>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</si>
  <si>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</si>
  <si>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</si>
  <si>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</si>
  <si>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</si>
  <si>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</si>
  <si>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</si>
  <si>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</si>
  <si>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</si>
  <si>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</si>
  <si>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</si>
  <si>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</si>
  <si>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</si>
  <si>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</si>
  <si>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</si>
  <si>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</si>
  <si>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</si>
  <si>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</si>
  <si>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</si>
  <si>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</si>
  <si>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</si>
  <si>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</si>
  <si>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</si>
  <si>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</si>
  <si>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</si>
  <si>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</si>
  <si>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</si>
  <si>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</si>
  <si>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</si>
  <si>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</si>
  <si>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</si>
  <si>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</si>
  <si>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</si>
  <si>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</si>
  <si>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</si>
  <si>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</si>
  <si>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</si>
  <si>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</si>
  <si>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</si>
  <si>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</si>
  <si>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</si>
  <si>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</si>
  <si>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</si>
  <si>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</si>
  <si>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</si>
  <si>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</si>
  <si>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</si>
  <si>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</si>
  <si>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</si>
  <si>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</si>
  <si>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</si>
  <si>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</si>
  <si>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</si>
  <si>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</si>
  <si>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</si>
  <si>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</si>
  <si>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</si>
  <si>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</si>
  <si>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</si>
  <si>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</si>
  <si>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</si>
  <si>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</si>
  <si>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</si>
  <si>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</si>
  <si>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</si>
  <si>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</si>
  <si>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</si>
  <si>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</si>
  <si>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</si>
  <si>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</si>
  <si>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</si>
  <si>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</si>
  <si>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</si>
  <si>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</si>
  <si>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</si>
  <si>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</si>
  <si>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</si>
  <si>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</si>
  <si>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</si>
  <si>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</si>
  <si>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</si>
  <si>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</si>
  <si>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</si>
  <si>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</si>
  <si>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</si>
  <si>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</si>
  <si>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</si>
  <si>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</si>
  <si>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</si>
  <si>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</si>
  <si>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</si>
  <si>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</si>
  <si>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</si>
  <si>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</si>
  <si>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</si>
  <si>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</si>
  <si>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</si>
  <si>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</si>
  <si>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</si>
  <si>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</si>
  <si>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</si>
  <si>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</si>
  <si>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</si>
  <si>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</si>
  <si>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</si>
  <si>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</si>
  <si>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</si>
  <si>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</si>
  <si>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</si>
  <si>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</si>
  <si>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</si>
  <si>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</si>
  <si>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</si>
  <si>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</si>
  <si>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</si>
  <si>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</si>
  <si>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</si>
  <si>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</si>
  <si>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</si>
  <si>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</si>
  <si>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</si>
  <si>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</si>
  <si>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</si>
  <si>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</si>
  <si>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</si>
  <si>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</si>
  <si>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</si>
  <si>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</si>
  <si>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</si>
  <si>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</si>
  <si>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</si>
  <si>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</si>
  <si>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</si>
  <si>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</si>
  <si>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</si>
  <si>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</si>
  <si>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</si>
  <si>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</si>
  <si>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</si>
  <si>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</si>
  <si>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</si>
  <si>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</si>
  <si>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</si>
  <si>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</si>
  <si>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</si>
  <si>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</si>
  <si>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</si>
  <si>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</si>
  <si>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</si>
  <si>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</si>
  <si>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</si>
  <si>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</si>
  <si>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</si>
  <si>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</si>
  <si>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</si>
  <si>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</si>
  <si>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</si>
  <si>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</si>
  <si>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</si>
  <si>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</si>
  <si>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</si>
  <si>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</si>
  <si>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</si>
  <si>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</si>
  <si>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</si>
  <si>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</si>
  <si>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</si>
  <si>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</si>
  <si>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</si>
  <si>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</si>
  <si>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</si>
  <si>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</si>
  <si>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</si>
  <si>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</si>
  <si>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</si>
  <si>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</si>
  <si>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</si>
  <si>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</si>
  <si>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</si>
  <si>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</si>
  <si>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</si>
  <si>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</si>
  <si>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</si>
  <si>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</si>
  <si>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</si>
  <si>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</si>
  <si>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</si>
  <si>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</si>
  <si>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</si>
  <si>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</si>
  <si>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</si>
  <si>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</si>
  <si>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</si>
  <si>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</si>
  <si>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</si>
  <si>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</si>
  <si>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</si>
  <si>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</si>
  <si>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</si>
  <si>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</si>
  <si>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</si>
  <si>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</si>
  <si>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</si>
  <si>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</si>
  <si>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</si>
  <si>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</si>
  <si>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</si>
  <si>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</si>
  <si>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</si>
  <si>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</si>
  <si>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</si>
  <si>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</si>
  <si>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</si>
  <si>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</si>
  <si>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</si>
  <si>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</si>
  <si>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</si>
  <si>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</si>
  <si>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</si>
  <si>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</si>
  <si>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</si>
  <si>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</si>
  <si>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</si>
  <si>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</si>
  <si>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</si>
  <si>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</si>
  <si>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</si>
  <si>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</si>
  <si>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</si>
  <si>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</si>
  <si>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</si>
  <si>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</si>
  <si>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</si>
  <si>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</si>
  <si>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</si>
  <si>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</si>
  <si>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</si>
  <si>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</si>
  <si>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</si>
  <si>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</si>
  <si>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</si>
  <si>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</si>
  <si>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</si>
  <si>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</si>
  <si>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</si>
  <si>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</si>
  <si>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</si>
  <si>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</si>
  <si>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</si>
  <si>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</si>
  <si>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</si>
  <si>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</si>
  <si>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</si>
  <si>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</si>
  <si>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</si>
  <si>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</si>
  <si>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</si>
  <si>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</si>
  <si>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</si>
  <si>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</si>
  <si>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</si>
  <si>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</si>
  <si>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</si>
  <si>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</si>
  <si>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</si>
  <si>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</si>
  <si>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</si>
  <si>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</si>
  <si>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</si>
  <si>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</si>
  <si>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</si>
  <si>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</si>
  <si>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</si>
  <si>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</si>
  <si>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</si>
  <si>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</si>
  <si>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</si>
  <si>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</si>
  <si>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</si>
  <si>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</si>
  <si>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</si>
  <si>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</si>
  <si>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</si>
  <si>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</si>
  <si>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</si>
  <si>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</si>
  <si>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</si>
  <si>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</si>
  <si>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</si>
  <si>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</si>
  <si>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</si>
  <si>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</si>
  <si>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</si>
  <si>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</si>
  <si>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</si>
  <si>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</si>
  <si>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</si>
  <si>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</si>
  <si>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</si>
  <si>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</si>
  <si>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</si>
  <si>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</si>
  <si>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</si>
  <si>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</si>
  <si>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</si>
  <si>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</si>
  <si>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</si>
  <si>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</si>
  <si>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</si>
  <si>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</si>
  <si>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</si>
  <si>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</si>
  <si>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</si>
  <si>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</si>
  <si>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</si>
  <si>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</si>
  <si>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</si>
  <si>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</si>
  <si>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</si>
  <si>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</si>
  <si>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</si>
  <si>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</si>
  <si>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</si>
  <si>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</si>
  <si>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</si>
  <si>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</si>
  <si>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</si>
  <si>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</si>
  <si>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</si>
  <si>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</si>
  <si>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</si>
  <si>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</si>
  <si>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</si>
  <si>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</si>
  <si>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</si>
  <si>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</si>
  <si>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</si>
  <si>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</si>
  <si>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</si>
  <si>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</si>
  <si>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</si>
  <si>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</si>
  <si>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</si>
  <si>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</si>
  <si>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</si>
  <si>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</si>
  <si>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</si>
  <si>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</si>
  <si>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</si>
  <si>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</si>
  <si>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</si>
  <si>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</si>
  <si>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</si>
  <si>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</si>
  <si>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</si>
  <si>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</si>
  <si>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</si>
  <si>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</si>
  <si>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</si>
  <si>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</si>
  <si>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</si>
  <si>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</si>
  <si>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</si>
  <si>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</si>
  <si>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</si>
  <si>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</si>
  <si>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</si>
  <si>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</si>
  <si>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</si>
  <si>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</si>
  <si>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</si>
  <si>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</si>
  <si>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</si>
  <si>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</si>
  <si>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</si>
  <si>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</si>
  <si>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</si>
  <si>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</si>
  <si>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</si>
  <si>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</si>
  <si>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</si>
  <si>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</si>
  <si>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</si>
  <si>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</si>
  <si>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</si>
  <si>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</si>
  <si>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</si>
  <si>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</si>
  <si>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</si>
  <si>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</si>
  <si>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</si>
  <si>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</si>
  <si>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</si>
  <si>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</si>
  <si>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</si>
  <si>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</si>
  <si>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</si>
  <si>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</si>
  <si>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</si>
  <si>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</si>
  <si>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</si>
  <si>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</si>
  <si>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</si>
  <si>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</si>
  <si>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</si>
  <si>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</si>
  <si>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</si>
  <si>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</si>
  <si>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</si>
  <si>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</si>
  <si>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</si>
  <si>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</si>
  <si>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</si>
  <si>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</si>
  <si>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</si>
  <si>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</si>
  <si>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</si>
  <si>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</si>
  <si>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</si>
  <si>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</si>
  <si>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</si>
  <si>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</si>
  <si>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</si>
  <si>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</si>
  <si>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</si>
  <si>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</si>
  <si>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</si>
  <si>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</si>
  <si>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</si>
  <si>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</si>
  <si>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</si>
  <si>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</si>
  <si>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</si>
  <si>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</si>
  <si>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</si>
  <si>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</si>
  <si>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</si>
  <si>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</si>
  <si>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</si>
  <si>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</si>
  <si>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</si>
  <si>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</si>
  <si>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</si>
  <si>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</si>
  <si>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</si>
  <si>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</si>
  <si>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</si>
  <si>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</si>
  <si>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</si>
  <si>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</si>
  <si>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</si>
  <si>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</si>
  <si>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</si>
  <si>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</si>
  <si>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</si>
  <si>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</si>
  <si>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</si>
  <si>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</si>
  <si>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</si>
  <si>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</si>
  <si>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</si>
  <si>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</si>
  <si>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</si>
  <si>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</si>
  <si>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</si>
  <si>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</si>
  <si>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</si>
  <si>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</si>
  <si>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</si>
  <si>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</si>
  <si>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</si>
  <si>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</si>
  <si>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</si>
  <si>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</si>
  <si>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</si>
  <si>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</si>
  <si>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</si>
  <si>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</si>
  <si>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</si>
  <si>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</si>
  <si>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</si>
  <si>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</si>
  <si>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</si>
  <si>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</si>
  <si>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</si>
  <si>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</si>
  <si>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</si>
  <si>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</si>
  <si>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</si>
  <si>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</si>
  <si>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</si>
  <si>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</si>
  <si>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</si>
  <si>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</si>
  <si>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</si>
  <si>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</si>
  <si>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</si>
  <si>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</si>
  <si>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</si>
  <si>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</si>
  <si>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</si>
  <si>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</si>
  <si>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</si>
  <si>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</si>
  <si>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</si>
  <si>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</si>
  <si>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</si>
  <si>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</si>
  <si>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</si>
  <si>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</si>
  <si>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</si>
  <si>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</si>
  <si>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</si>
  <si>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</si>
  <si>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</si>
  <si>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</si>
  <si>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</si>
  <si>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</si>
  <si>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</si>
  <si>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</si>
  <si>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</si>
  <si>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</si>
  <si>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</si>
  <si>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</si>
  <si>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</si>
  <si>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</si>
  <si>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</si>
  <si>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</si>
  <si>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</si>
  <si>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</si>
  <si>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</si>
  <si>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</si>
  <si>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</si>
  <si>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</si>
  <si>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</si>
  <si>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</si>
  <si>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</si>
  <si>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</si>
  <si>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</si>
  <si>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</si>
  <si>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</si>
  <si>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</si>
  <si>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</si>
  <si>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</si>
  <si>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</si>
  <si>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</si>
  <si>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</si>
  <si>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</si>
  <si>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</si>
  <si>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</si>
  <si>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</si>
  <si>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</si>
  <si>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</si>
  <si>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</si>
  <si>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</si>
  <si>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</si>
  <si>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</si>
  <si>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</si>
  <si>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</si>
  <si>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</si>
  <si>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</si>
  <si>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</si>
  <si>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</si>
  <si>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</si>
  <si>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</si>
  <si>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</si>
  <si>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</si>
  <si>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</si>
  <si>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</si>
  <si>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</si>
  <si>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</si>
  <si>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</si>
  <si>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</si>
  <si>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</si>
  <si>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</si>
  <si>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</si>
  <si>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</si>
  <si>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</si>
  <si>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</si>
  <si>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</si>
  <si>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</si>
  <si>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</si>
  <si>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</si>
  <si>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</si>
  <si>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</si>
  <si>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</si>
  <si>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</si>
  <si>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</si>
  <si>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</si>
  <si>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</si>
  <si>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</si>
  <si>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</si>
  <si>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</si>
  <si>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</si>
  <si>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</si>
  <si>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</si>
  <si>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</si>
  <si>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</si>
  <si>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</si>
  <si>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</si>
  <si>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</si>
  <si>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</si>
  <si>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</si>
  <si>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</si>
  <si>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</si>
  <si>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</si>
  <si>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</si>
  <si>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</si>
  <si>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</si>
  <si>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</si>
  <si>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</si>
  <si>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</si>
  <si>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</si>
  <si>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</si>
  <si>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</si>
  <si>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</si>
  <si>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</si>
  <si>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</si>
  <si>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</si>
  <si>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</si>
  <si>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</si>
  <si>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</si>
  <si>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</si>
  <si>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</si>
  <si>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</si>
  <si>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</si>
  <si>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</si>
  <si>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</si>
  <si>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</si>
  <si>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</si>
  <si>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</si>
  <si>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</si>
  <si>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</si>
  <si>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</si>
  <si>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</si>
  <si>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</si>
  <si>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</si>
  <si>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</si>
  <si>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</si>
  <si>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</si>
  <si>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</si>
  <si>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</si>
  <si>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</si>
  <si>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</si>
  <si>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</si>
  <si>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</si>
  <si>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</si>
  <si>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</si>
  <si>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</si>
  <si>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</si>
  <si>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</si>
  <si>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</si>
  <si>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</si>
  <si>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</si>
  <si>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</si>
  <si>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</si>
  <si>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</si>
  <si>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</si>
  <si>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</si>
  <si>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</si>
  <si>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</si>
  <si>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</si>
  <si>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</si>
  <si>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</si>
  <si>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</si>
  <si>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</si>
  <si>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</si>
  <si>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</si>
  <si>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</si>
  <si>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</si>
  <si>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</si>
  <si>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</si>
  <si>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</si>
  <si>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</si>
  <si>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</si>
  <si>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</si>
  <si>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</si>
  <si>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</si>
  <si>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</si>
  <si>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</si>
  <si>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</si>
  <si>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</si>
  <si>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</si>
  <si>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</si>
  <si>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</si>
  <si>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</si>
  <si>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</si>
  <si>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</si>
  <si>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</si>
  <si>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</si>
  <si>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</si>
  <si>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</si>
  <si>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</si>
  <si>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</si>
  <si>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</si>
  <si>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</si>
  <si>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</si>
  <si>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</si>
  <si>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</si>
  <si>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</si>
  <si>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</si>
  <si>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</si>
  <si>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</si>
  <si>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</si>
  <si>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</si>
  <si>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</si>
  <si>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</si>
  <si>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</si>
  <si>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</si>
  <si>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</si>
  <si>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</si>
  <si>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</si>
  <si>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</si>
  <si>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</si>
  <si>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</si>
  <si>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</si>
  <si>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</si>
  <si>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</si>
  <si>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</si>
  <si>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</si>
  <si>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</si>
  <si>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</si>
  <si>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</si>
  <si>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</si>
  <si>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</si>
  <si>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</si>
  <si>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</si>
  <si>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</si>
  <si>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</si>
  <si>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</si>
  <si>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</si>
  <si>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</si>
  <si>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</si>
  <si>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</si>
  <si>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</si>
  <si>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</si>
  <si>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</si>
  <si>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</si>
  <si>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</si>
  <si>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</si>
  <si>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</si>
  <si>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</si>
  <si>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</si>
  <si>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</si>
  <si>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</si>
  <si>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</si>
  <si>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</si>
  <si>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</si>
  <si>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</si>
  <si>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</si>
  <si>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</si>
  <si>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</si>
  <si>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</si>
  <si>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</si>
  <si>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</si>
  <si>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</si>
  <si>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</si>
  <si>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</si>
  <si>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</si>
  <si>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</si>
  <si>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</si>
  <si>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</si>
  <si>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</si>
  <si>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</si>
  <si>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</si>
  <si>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</si>
  <si>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</si>
  <si>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</si>
  <si>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</si>
  <si>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</si>
  <si>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</si>
  <si>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</si>
  <si>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</si>
  <si>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</si>
  <si>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</si>
  <si>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</si>
  <si>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</si>
  <si>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</si>
  <si>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</si>
  <si>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</si>
  <si>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</si>
  <si>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</si>
  <si>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</si>
  <si>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</si>
  <si>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</si>
  <si>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</si>
  <si>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</si>
  <si>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</si>
  <si>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</si>
  <si>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</si>
  <si>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</si>
  <si>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</si>
  <si>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</si>
  <si>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</si>
  <si>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</si>
  <si>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</si>
  <si>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</si>
  <si>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</si>
  <si>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</si>
  <si>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</si>
  <si>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</si>
  <si>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</si>
  <si>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</si>
  <si>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</si>
  <si>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</si>
  <si>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</si>
  <si>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</si>
  <si>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</si>
  <si>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</si>
  <si>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</si>
  <si>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</si>
  <si>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</si>
  <si>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</si>
  <si>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</si>
  <si>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</si>
  <si>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</si>
  <si>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</si>
  <si>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</si>
  <si>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</si>
  <si>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</si>
  <si>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</si>
  <si>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</si>
  <si>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</si>
  <si>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</si>
  <si>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</si>
  <si>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</si>
  <si>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</si>
  <si>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</si>
  <si>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</si>
  <si>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</si>
  <si>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</si>
  <si>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</si>
  <si>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</si>
  <si>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</si>
  <si>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</si>
  <si>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</si>
  <si>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</si>
  <si>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</si>
  <si>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</si>
  <si>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</si>
  <si>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</si>
  <si>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</si>
  <si>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</si>
  <si>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</si>
  <si>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</si>
  <si>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</si>
  <si>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</si>
  <si>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</si>
  <si>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</si>
  <si>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</si>
  <si>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</si>
  <si>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</si>
  <si>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</si>
  <si>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</si>
  <si>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</si>
  <si>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</si>
  <si>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</si>
  <si>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</si>
  <si>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</si>
  <si>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</si>
  <si>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</si>
  <si>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</si>
  <si>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</si>
  <si>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</si>
  <si>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</si>
  <si>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</si>
  <si>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</si>
  <si>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</si>
  <si>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</si>
  <si>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</si>
  <si>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</si>
  <si>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</si>
  <si>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</si>
  <si>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</si>
  <si>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</si>
  <si>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</si>
  <si>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</si>
  <si>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</si>
  <si>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</si>
  <si>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</si>
  <si>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</si>
  <si>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</si>
  <si>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</si>
  <si>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</si>
  <si>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</si>
  <si>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</si>
  <si>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</si>
  <si>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</si>
  <si>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</si>
  <si>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</si>
  <si>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</si>
  <si>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</si>
  <si>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</si>
  <si>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</si>
  <si>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</si>
  <si>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</si>
  <si>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</si>
  <si>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</si>
  <si>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</si>
  <si>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</si>
  <si>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</si>
  <si>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</si>
  <si>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</si>
  <si>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</si>
  <si>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</si>
  <si>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</si>
  <si>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</si>
  <si>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</si>
  <si>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</si>
  <si>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</si>
  <si>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</si>
  <si>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</si>
  <si>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</si>
  <si>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</si>
  <si>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</si>
  <si>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</si>
  <si>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</si>
  <si>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</si>
  <si>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</si>
  <si>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</si>
  <si>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</si>
  <si>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</si>
  <si>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</si>
  <si>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</si>
  <si>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</si>
  <si>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</si>
  <si>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</si>
  <si>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</si>
  <si>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</si>
  <si>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</si>
  <si>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</si>
  <si>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</si>
  <si>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</si>
  <si>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</si>
  <si>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</si>
  <si>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</si>
  <si>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</si>
  <si>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</si>
  <si>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</si>
  <si>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</si>
  <si>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</si>
  <si>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</si>
  <si>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</si>
  <si>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</si>
  <si>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</si>
  <si>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</si>
  <si>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</si>
  <si>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</si>
  <si>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</si>
  <si>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</si>
  <si>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</si>
  <si>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</si>
  <si>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</si>
  <si>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</si>
  <si>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</si>
  <si>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</si>
  <si>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</si>
  <si>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</si>
  <si>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</si>
  <si>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</si>
  <si>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</si>
  <si>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</si>
  <si>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</si>
  <si>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</si>
  <si>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</si>
  <si>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</si>
  <si>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</si>
  <si>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</si>
  <si>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</si>
  <si>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</si>
  <si>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</si>
  <si>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</si>
  <si>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</si>
  <si>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</si>
  <si>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</si>
  <si>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</si>
  <si>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</si>
  <si>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</si>
  <si>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</si>
  <si>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</si>
  <si>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</si>
  <si>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</si>
  <si>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</si>
  <si>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</si>
  <si>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</si>
  <si>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</si>
  <si>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</si>
  <si>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</si>
  <si>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</si>
  <si>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</si>
  <si>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</si>
  <si>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</si>
  <si>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</si>
  <si>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</si>
  <si>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</si>
  <si>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</si>
  <si>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</si>
  <si>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</si>
  <si>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</si>
  <si>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</si>
  <si>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</si>
  <si>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</si>
  <si>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</si>
  <si>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</si>
  <si>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</si>
  <si>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</si>
  <si>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</si>
  <si>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</si>
  <si>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</si>
  <si>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</si>
  <si>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</si>
  <si>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</si>
  <si>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</si>
  <si>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</si>
  <si>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</si>
  <si>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</si>
  <si>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</si>
  <si>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</si>
  <si>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</si>
  <si>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</si>
  <si>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</si>
  <si>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</si>
  <si>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</si>
  <si>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</si>
  <si>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</si>
  <si>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</si>
  <si>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</si>
  <si>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</si>
  <si>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</si>
  <si>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</si>
  <si>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</si>
  <si>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</si>
  <si>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</si>
  <si>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</si>
  <si>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</si>
  <si>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</si>
  <si>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</si>
  <si>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</si>
  <si>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</si>
  <si>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</si>
  <si>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</si>
  <si>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</si>
  <si>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</si>
  <si>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</si>
  <si>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</si>
  <si>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</si>
  <si>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</si>
  <si>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</si>
  <si>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</si>
  <si>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</si>
  <si>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</si>
  <si>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</si>
  <si>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</si>
  <si>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</si>
  <si>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</si>
  <si>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</si>
  <si>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</si>
  <si>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</si>
  <si>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</si>
  <si>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</si>
  <si>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</si>
  <si>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</si>
  <si>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</si>
  <si>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</si>
  <si>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</si>
  <si>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</si>
  <si>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</si>
  <si>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</si>
  <si>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</si>
  <si>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</si>
  <si>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</si>
  <si>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</si>
  <si>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</si>
  <si>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</si>
  <si>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</si>
  <si>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</si>
  <si>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</si>
  <si>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</si>
  <si>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</si>
  <si>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</si>
  <si>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</si>
  <si>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</si>
  <si>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</si>
  <si>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</si>
  <si>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</si>
  <si>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</si>
  <si>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</si>
  <si>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</si>
  <si>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</si>
  <si>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</si>
  <si>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</si>
  <si>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</si>
  <si>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</si>
  <si>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</si>
  <si>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</si>
  <si>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</si>
  <si>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</si>
  <si>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</si>
  <si>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</si>
  <si>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</si>
  <si>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</si>
  <si>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</si>
  <si>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</si>
  <si>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</si>
  <si>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</si>
  <si>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</si>
  <si>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</si>
  <si>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</si>
  <si>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</si>
  <si>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</si>
  <si>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</si>
  <si>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</si>
  <si>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</si>
  <si>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</si>
  <si>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</si>
  <si>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</si>
  <si>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</si>
  <si>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</si>
  <si>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</si>
  <si>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</si>
  <si>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</si>
  <si>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</si>
  <si>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</si>
  <si>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</si>
  <si>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</si>
  <si>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</si>
  <si>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</si>
  <si>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</si>
  <si>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</si>
  <si>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</si>
  <si>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</si>
  <si>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</si>
  <si>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</si>
  <si>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</si>
  <si>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</si>
  <si>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</si>
  <si>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</si>
  <si>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</si>
  <si>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</si>
  <si>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</si>
  <si>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</si>
  <si>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</si>
  <si>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</si>
  <si>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</si>
  <si>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</si>
  <si>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</si>
  <si>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</si>
  <si>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</si>
  <si>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</si>
  <si>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</si>
  <si>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</si>
  <si>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</si>
  <si>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</si>
  <si>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</si>
  <si>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</si>
  <si>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</si>
  <si>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</si>
  <si>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</si>
  <si>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</si>
  <si>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</si>
  <si>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</si>
  <si>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</si>
  <si>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</si>
  <si>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</si>
  <si>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</si>
  <si>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</si>
  <si>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</si>
  <si>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</si>
  <si>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</si>
  <si>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</si>
  <si>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</si>
  <si>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</si>
  <si>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</si>
  <si>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</si>
  <si>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</si>
  <si>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</si>
  <si>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</si>
  <si>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</si>
  <si>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</si>
  <si>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</si>
  <si>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</si>
  <si>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</si>
  <si>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</si>
  <si>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</si>
  <si>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</si>
  <si>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</si>
  <si>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</si>
  <si>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</si>
  <si>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</si>
  <si>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</si>
  <si>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</si>
  <si>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</si>
  <si>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</si>
  <si>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</si>
  <si>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</si>
  <si>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</si>
  <si>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</si>
  <si>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</si>
  <si>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</si>
  <si>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</si>
  <si>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</si>
  <si>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</si>
  <si>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</si>
  <si>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</si>
  <si>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</si>
  <si>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</si>
  <si>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</si>
  <si>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</si>
  <si>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</si>
  <si>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</si>
  <si>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</si>
  <si>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</si>
  <si>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</si>
  <si>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</si>
  <si>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</si>
  <si>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</si>
  <si>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</si>
  <si>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</si>
  <si>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</si>
  <si>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</si>
  <si>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</si>
  <si>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</si>
  <si>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</si>
  <si>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</si>
  <si>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</si>
  <si>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</si>
  <si>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</si>
  <si>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</si>
  <si>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</si>
  <si>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</si>
  <si>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</si>
  <si>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</si>
  <si>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</si>
  <si>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</si>
  <si>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</si>
  <si>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</si>
  <si>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</si>
  <si>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</si>
  <si>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</si>
  <si>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</si>
  <si>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</si>
  <si>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</si>
  <si>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</si>
  <si>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</si>
  <si>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</si>
  <si>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</si>
  <si>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</si>
  <si>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</si>
  <si>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</si>
  <si>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</si>
  <si>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</si>
  <si>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</si>
  <si>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</si>
  <si>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</si>
  <si>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</si>
  <si>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</si>
  <si>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</si>
  <si>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</si>
  <si>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</si>
  <si>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</si>
  <si>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</si>
  <si>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</si>
  <si>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</si>
  <si>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</si>
  <si>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</si>
  <si>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</si>
  <si>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</si>
  <si>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</si>
  <si>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</si>
  <si>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</si>
  <si>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</si>
  <si>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</si>
  <si>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</si>
  <si>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</si>
  <si>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</si>
  <si>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</si>
  <si>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</si>
  <si>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</si>
  <si>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</si>
  <si>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</si>
  <si>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</si>
  <si>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</si>
  <si>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</si>
  <si>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</si>
  <si>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</si>
  <si>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</si>
  <si>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</si>
  <si>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</si>
  <si>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</si>
  <si>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</si>
  <si>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</si>
  <si>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</si>
  <si>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</si>
  <si>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</si>
  <si>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</si>
  <si>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</si>
  <si>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</si>
  <si>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</si>
  <si>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</si>
  <si>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</si>
  <si>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</si>
  <si>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</si>
  <si>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</si>
  <si>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</si>
  <si>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</si>
  <si>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</si>
  <si>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</si>
  <si>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</si>
  <si>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</si>
  <si>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</si>
  <si>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</si>
  <si>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</si>
  <si>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</si>
  <si>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</si>
  <si>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</si>
  <si>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</si>
  <si>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</si>
  <si>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</si>
  <si>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</si>
  <si>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</si>
  <si>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</si>
  <si>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</si>
  <si>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</si>
  <si>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</si>
  <si>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</si>
  <si>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</si>
  <si>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</si>
  <si>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</si>
  <si>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</si>
  <si>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</si>
  <si>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</si>
  <si>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</si>
  <si>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</si>
  <si>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</si>
  <si>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</si>
  <si>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</si>
  <si>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</si>
  <si>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</si>
  <si>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</si>
  <si>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</si>
  <si>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</si>
  <si>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</si>
  <si>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</si>
  <si>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</si>
  <si>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</si>
  <si>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</si>
  <si>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</si>
  <si>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</si>
  <si>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</si>
  <si>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</si>
  <si>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</si>
  <si>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</si>
  <si>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</si>
  <si>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</si>
  <si>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</si>
  <si>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</si>
  <si>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</si>
  <si>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</si>
  <si>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</si>
  <si>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</si>
  <si>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</si>
  <si>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</si>
  <si>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</si>
  <si>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</si>
  <si>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</si>
  <si>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</si>
  <si>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</si>
  <si>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</si>
  <si>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</si>
  <si>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</si>
  <si>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</si>
  <si>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</si>
  <si>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</si>
  <si>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</si>
  <si>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</si>
  <si>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</si>
  <si>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</si>
  <si>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</si>
  <si>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</si>
  <si>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</si>
  <si>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</si>
  <si>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</si>
  <si>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</si>
  <si>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</si>
  <si>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</si>
  <si>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</si>
  <si>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</si>
  <si>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</si>
  <si>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</si>
  <si>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</si>
  <si>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</si>
  <si>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</si>
  <si>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</si>
  <si>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</si>
  <si>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</si>
  <si>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</si>
  <si>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</si>
  <si>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</si>
  <si>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</si>
  <si>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</si>
  <si>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</si>
  <si>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</si>
  <si>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</si>
  <si>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</si>
  <si>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</si>
  <si>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</si>
  <si>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</si>
  <si>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</si>
  <si>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</si>
  <si>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</si>
  <si>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</si>
  <si>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</si>
  <si>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</si>
  <si>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</si>
  <si>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</si>
  <si>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</si>
  <si>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</si>
  <si>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</si>
  <si>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</si>
  <si>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</si>
  <si>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</si>
  <si>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</si>
  <si>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</si>
  <si>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</si>
  <si>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</si>
  <si>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</si>
  <si>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</si>
  <si>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</si>
  <si>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</si>
  <si>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</si>
  <si>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</si>
  <si>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</si>
  <si>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</si>
  <si>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</si>
  <si>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</si>
  <si>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</si>
  <si>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</si>
  <si>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</si>
  <si>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</si>
  <si>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</si>
  <si>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</si>
  <si>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</si>
  <si>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</si>
  <si>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</si>
  <si>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</si>
  <si>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</si>
  <si>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</si>
  <si>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</si>
  <si>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</si>
  <si>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</si>
  <si>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</si>
  <si>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</si>
  <si>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</si>
  <si>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</si>
  <si>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</si>
  <si>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</si>
  <si>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</si>
  <si>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</si>
  <si>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</si>
  <si>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</si>
  <si>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</si>
  <si>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</si>
  <si>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</si>
  <si>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</si>
  <si>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</si>
  <si>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</si>
  <si>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</si>
  <si>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</si>
  <si>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</si>
  <si>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</si>
  <si>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</si>
  <si>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</si>
  <si>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</si>
  <si>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</si>
  <si>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</si>
  <si>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</si>
  <si>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</si>
  <si>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</si>
  <si>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</si>
  <si>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</si>
  <si>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</si>
  <si>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</si>
  <si>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</si>
  <si>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</si>
  <si>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</si>
  <si>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</si>
  <si>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</si>
  <si>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</si>
  <si>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</si>
  <si>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</si>
  <si>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</si>
  <si>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</si>
  <si>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</si>
  <si>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</si>
  <si>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</si>
  <si>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</si>
  <si>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</si>
  <si>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</si>
  <si>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</si>
  <si>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</si>
  <si>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</si>
  <si>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</si>
  <si>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</si>
  <si>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</si>
  <si>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</si>
  <si>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</si>
  <si>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</si>
  <si>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</si>
  <si>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</si>
  <si>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</si>
  <si>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</si>
  <si>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</si>
  <si>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</si>
  <si>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</si>
  <si>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</si>
  <si>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</si>
  <si>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</si>
  <si>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</si>
  <si>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</si>
  <si>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</si>
  <si>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</si>
  <si>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</si>
  <si>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</si>
  <si>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</si>
  <si>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</si>
  <si>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</si>
  <si>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</si>
  <si>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</si>
  <si>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</si>
  <si>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</si>
  <si>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</si>
  <si>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</si>
  <si>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</si>
  <si>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</si>
  <si>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</si>
  <si>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</si>
  <si>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</si>
  <si>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</si>
  <si>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</si>
  <si>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</si>
  <si>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</si>
  <si>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</si>
  <si>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</si>
  <si>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</si>
  <si>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</si>
  <si>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</si>
  <si>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</si>
  <si>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</si>
  <si>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</si>
  <si>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</si>
  <si>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</si>
  <si>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</si>
  <si>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</si>
  <si>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</si>
  <si>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</si>
  <si>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</si>
  <si>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</si>
  <si>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</si>
  <si>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</si>
  <si>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</si>
  <si>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</si>
  <si>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</si>
  <si>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</si>
  <si>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</si>
  <si>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</si>
  <si>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</si>
  <si>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</si>
  <si>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</si>
  <si>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</si>
  <si>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</si>
  <si>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</si>
  <si>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</si>
  <si>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</si>
  <si>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</si>
  <si>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</si>
  <si>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</si>
  <si>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</si>
  <si>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</si>
  <si>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</si>
  <si>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</si>
  <si>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</si>
  <si>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</si>
  <si>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</si>
  <si>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</si>
  <si>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</si>
  <si>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</si>
  <si>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</si>
  <si>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</si>
  <si>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</si>
  <si>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</si>
  <si>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</si>
  <si>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</si>
  <si>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</si>
  <si>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</si>
  <si>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</si>
  <si>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</si>
  <si>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</si>
  <si>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</si>
  <si>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</si>
  <si>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</si>
  <si>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</si>
  <si>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</si>
  <si>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</si>
  <si>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</si>
  <si>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</si>
  <si>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</si>
  <si>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</si>
  <si>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</si>
  <si>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</si>
  <si>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</si>
  <si>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</si>
  <si>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</si>
  <si>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</si>
  <si>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</si>
  <si>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</si>
  <si>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</si>
  <si>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</si>
  <si>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</si>
  <si>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</si>
  <si>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</si>
  <si>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</si>
  <si>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</si>
  <si>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</si>
  <si>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</si>
  <si>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</si>
  <si>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</si>
  <si>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</si>
  <si>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</si>
  <si>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</si>
  <si>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</si>
  <si>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</si>
  <si>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</si>
  <si>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</si>
  <si>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</si>
  <si>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</si>
  <si>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</si>
  <si>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</si>
  <si>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</si>
  <si>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</si>
  <si>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</si>
  <si>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</si>
  <si>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</si>
  <si>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</si>
  <si>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</si>
  <si>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</si>
  <si>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</si>
  <si>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</si>
  <si>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</si>
  <si>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</si>
  <si>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</si>
  <si>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</si>
  <si>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</si>
  <si>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</si>
  <si>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</si>
  <si>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</si>
  <si>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</si>
  <si>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</si>
  <si>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</si>
  <si>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</si>
  <si>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</si>
  <si>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</si>
  <si>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</si>
  <si>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</si>
  <si>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</si>
  <si>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</si>
  <si>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</si>
  <si>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</si>
  <si>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</si>
  <si>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</si>
  <si>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</si>
  <si>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</si>
  <si>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</si>
  <si>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</si>
  <si>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</si>
  <si>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</si>
  <si>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</si>
  <si>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</si>
  <si>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</si>
  <si>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</si>
  <si>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</si>
  <si>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</si>
  <si>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</si>
  <si>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</si>
  <si>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</si>
  <si>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</si>
  <si>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</si>
  <si>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</si>
  <si>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</si>
  <si>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</si>
  <si>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</si>
  <si>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</si>
  <si>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</si>
  <si>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</si>
  <si>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</si>
  <si>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</si>
  <si>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</si>
  <si>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</si>
  <si>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</si>
  <si>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</si>
  <si>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</si>
  <si>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</si>
  <si>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</si>
  <si>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</si>
  <si>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</si>
  <si>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</si>
  <si>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</si>
  <si>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</si>
  <si>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</si>
  <si>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</si>
  <si>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</si>
  <si>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</si>
  <si>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</si>
  <si>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</si>
  <si>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</si>
  <si>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</si>
  <si>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</si>
  <si>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</si>
  <si>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</si>
  <si>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</si>
  <si>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</si>
  <si>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</si>
  <si>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</si>
  <si>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</si>
  <si>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</si>
  <si>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</si>
  <si>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</si>
  <si>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</si>
  <si>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</si>
  <si>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</si>
  <si>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</si>
  <si>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</si>
  <si>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</si>
  <si>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</si>
  <si>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</si>
  <si>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</si>
  <si>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</si>
  <si>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</si>
  <si>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</si>
  <si>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</si>
  <si>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</si>
  <si>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</si>
  <si>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</si>
  <si>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</si>
  <si>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</si>
  <si>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</si>
  <si>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</si>
  <si>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</si>
  <si>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</si>
  <si>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</si>
  <si>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</si>
  <si>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</si>
  <si>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</si>
  <si>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</si>
  <si>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</si>
  <si>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</si>
  <si>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</si>
  <si>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</si>
  <si>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</si>
  <si>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</si>
  <si>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</si>
  <si>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</si>
  <si>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</si>
  <si>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</si>
  <si>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</si>
  <si>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</si>
  <si>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</si>
  <si>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</si>
  <si>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</si>
  <si>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</si>
  <si>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</si>
  <si>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</si>
  <si>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</si>
  <si>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</si>
  <si>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</si>
  <si>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</si>
  <si>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</si>
  <si>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</si>
  <si>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</si>
  <si>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</si>
  <si>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</si>
  <si>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</si>
  <si>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</si>
  <si>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</si>
  <si>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</si>
  <si>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</si>
  <si>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</si>
  <si>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</si>
  <si>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</si>
  <si>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</si>
  <si>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</si>
  <si>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</si>
  <si>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</si>
  <si>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</si>
  <si>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</si>
  <si>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</si>
  <si>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</si>
  <si>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</si>
  <si>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</si>
  <si>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</si>
  <si>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</si>
  <si>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</si>
  <si>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</si>
  <si>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</si>
  <si>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</si>
  <si>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</si>
  <si>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</si>
  <si>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</si>
  <si>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</si>
  <si>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</si>
  <si>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</si>
  <si>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</si>
  <si>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</si>
  <si>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</si>
  <si>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</si>
  <si>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</si>
  <si>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</si>
  <si>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</si>
  <si>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</si>
  <si>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</si>
  <si>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</si>
  <si>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</si>
  <si>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</si>
  <si>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</si>
  <si>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</si>
  <si>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</si>
  <si>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</si>
  <si>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</si>
  <si>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</si>
  <si>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</si>
  <si>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</si>
  <si>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</si>
  <si>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</si>
  <si>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</si>
  <si>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</si>
  <si>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</si>
  <si>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</si>
  <si>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</si>
  <si>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</si>
  <si>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</si>
  <si>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</si>
  <si>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</si>
  <si>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</si>
  <si>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</si>
  <si>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</si>
  <si>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</si>
  <si>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</si>
  <si>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</si>
  <si>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</si>
  <si>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</si>
  <si>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</si>
  <si>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</si>
  <si>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</si>
  <si>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</si>
  <si>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</si>
  <si>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</si>
  <si>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</si>
  <si>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</si>
  <si>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</si>
  <si>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</si>
  <si>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</si>
  <si>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</si>
  <si>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</si>
  <si>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</si>
  <si>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</si>
  <si>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</si>
  <si>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</si>
  <si>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</si>
  <si>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</si>
  <si>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</si>
  <si>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</si>
  <si>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</si>
  <si>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</si>
  <si>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</si>
  <si>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</si>
  <si>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</si>
  <si>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</si>
  <si>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</si>
  <si>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</si>
  <si>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</si>
  <si>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</si>
  <si>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</si>
  <si>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</si>
  <si>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</si>
  <si>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</si>
  <si>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</si>
  <si>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</si>
  <si>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</si>
  <si>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</si>
  <si>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</si>
  <si>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</si>
  <si>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</si>
  <si>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</si>
  <si>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</si>
  <si>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</si>
  <si>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</si>
  <si>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</si>
  <si>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</si>
  <si>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</si>
  <si>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</si>
  <si>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</si>
  <si>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</si>
  <si>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</si>
  <si>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</si>
  <si>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</si>
  <si>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</si>
  <si>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</si>
  <si>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</si>
  <si>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</si>
  <si>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</si>
  <si>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</si>
  <si>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</si>
  <si>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</si>
  <si>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</si>
  <si>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</si>
  <si>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</si>
  <si>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</si>
  <si>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</si>
  <si>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</si>
  <si>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</si>
  <si>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</si>
  <si>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</si>
  <si>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</si>
  <si>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</si>
  <si>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</si>
  <si>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</si>
  <si>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</si>
  <si>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</si>
  <si>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</si>
  <si>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</si>
  <si>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</si>
  <si>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</si>
  <si>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</si>
  <si>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</si>
  <si>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</si>
  <si>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</si>
  <si>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</si>
  <si>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</si>
  <si>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</si>
  <si>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</si>
  <si>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</si>
  <si>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</si>
  <si>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</si>
  <si>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</si>
  <si>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</si>
  <si>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</si>
  <si>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</si>
  <si>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</si>
  <si>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</si>
  <si>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</si>
  <si>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</si>
  <si>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</si>
  <si>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</si>
  <si>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</si>
  <si>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</si>
  <si>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</si>
  <si>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</si>
  <si>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</si>
  <si>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</si>
  <si>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</si>
  <si>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</si>
  <si>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</si>
  <si>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</si>
  <si>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</si>
  <si>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</si>
  <si>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</si>
  <si>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</si>
  <si>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</si>
  <si>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</si>
  <si>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</si>
  <si>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</si>
  <si>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</si>
  <si>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</si>
  <si>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</si>
  <si>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</si>
  <si>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</si>
  <si>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</si>
  <si>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</si>
  <si>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</si>
  <si>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</si>
  <si>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</si>
  <si>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</si>
  <si>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</si>
  <si>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</si>
  <si>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</si>
  <si>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</si>
  <si>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</si>
  <si>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</si>
  <si>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</si>
  <si>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</si>
  <si>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</si>
  <si>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</si>
  <si>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</si>
  <si>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</si>
  <si>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</si>
  <si>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</si>
  <si>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</si>
  <si>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</si>
  <si>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</si>
  <si>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</si>
  <si>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</si>
  <si>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</si>
  <si>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</si>
  <si>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</si>
  <si>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</si>
  <si>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</si>
  <si>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</si>
  <si>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</si>
  <si>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</si>
  <si>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</si>
  <si>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</si>
  <si>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</si>
  <si>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</si>
  <si>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</si>
  <si>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</si>
  <si>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</si>
  <si>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</si>
  <si>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</si>
  <si>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</si>
  <si>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</si>
  <si>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</si>
  <si>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</si>
  <si>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</si>
  <si>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</si>
  <si>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</si>
  <si>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</si>
  <si>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</si>
  <si>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</si>
  <si>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</si>
  <si>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</si>
  <si>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</si>
  <si>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</si>
  <si>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</si>
  <si>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</si>
  <si>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</si>
  <si>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</si>
  <si>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</si>
  <si>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</si>
  <si>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</si>
  <si>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</si>
  <si>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</si>
  <si>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</si>
  <si>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</si>
  <si>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</si>
  <si>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</si>
  <si>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</si>
  <si>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</si>
  <si>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</si>
  <si>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</si>
  <si>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</si>
  <si>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</si>
  <si>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</si>
  <si>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</si>
  <si>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</si>
  <si>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</si>
  <si>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</si>
  <si>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</si>
  <si>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</si>
  <si>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</si>
  <si>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</si>
  <si>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</si>
  <si>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</si>
  <si>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</si>
  <si>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</si>
  <si>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</si>
  <si>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</si>
  <si>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</si>
  <si>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</si>
  <si>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</si>
  <si>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</si>
  <si>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</si>
  <si>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</si>
  <si>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</si>
  <si>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</si>
  <si>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</si>
  <si>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</si>
  <si>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</si>
  <si>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</si>
  <si>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</si>
  <si>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</si>
  <si>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</si>
  <si>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</si>
  <si>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</si>
  <si>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</si>
  <si>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</si>
  <si>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</si>
  <si>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</si>
  <si>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</si>
  <si>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</si>
  <si>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</si>
  <si>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</si>
  <si>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</si>
  <si>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</si>
  <si>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</si>
  <si>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</si>
  <si>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</si>
  <si>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</si>
  <si>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</si>
  <si>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</si>
  <si>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</si>
  <si>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</si>
  <si>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</si>
  <si>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</si>
  <si>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</si>
  <si>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</si>
  <si>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</si>
  <si>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</si>
  <si>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</si>
  <si>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</si>
  <si>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</si>
  <si>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</si>
  <si>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</si>
  <si>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</si>
  <si>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</si>
  <si>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</si>
  <si>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</si>
  <si>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</si>
  <si>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</si>
  <si>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</si>
  <si>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</si>
  <si>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</si>
  <si>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</si>
  <si>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</si>
  <si>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</si>
  <si>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</si>
  <si>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</si>
  <si>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</si>
  <si>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</si>
  <si>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</si>
  <si>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</si>
  <si>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</si>
  <si>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</si>
  <si>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</si>
  <si>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</si>
  <si>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</si>
  <si>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</si>
  <si>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</si>
  <si>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</si>
  <si>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</si>
  <si>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</si>
  <si>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</si>
  <si>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</si>
  <si>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</si>
  <si>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</si>
  <si>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</si>
  <si>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</si>
  <si>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</si>
  <si>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</si>
  <si>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</si>
  <si>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</si>
  <si>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</si>
  <si>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</si>
  <si>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</si>
  <si>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</si>
  <si>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</si>
  <si>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</si>
  <si>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</si>
  <si>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</si>
  <si>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</si>
  <si>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</si>
  <si>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</si>
  <si>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</si>
  <si>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</si>
  <si>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</si>
  <si>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</si>
  <si>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</si>
  <si>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</si>
  <si>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</si>
  <si>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</si>
  <si>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</si>
  <si>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</si>
  <si>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</si>
  <si>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</si>
  <si>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</si>
  <si>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</si>
  <si>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</si>
  <si>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</si>
  <si>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</si>
  <si>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</si>
  <si>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</si>
  <si>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</si>
  <si>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</si>
  <si>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</si>
  <si>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</si>
  <si>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</si>
  <si>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</si>
  <si>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</si>
  <si>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</si>
  <si>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</si>
  <si>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</si>
  <si>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</si>
  <si>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</si>
  <si>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</si>
  <si>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</si>
  <si>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</si>
  <si>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</si>
  <si>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</si>
  <si>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</si>
  <si>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</si>
  <si>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</si>
  <si>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</si>
  <si>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</si>
  <si>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</si>
  <si>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</si>
  <si>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</si>
  <si>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</si>
  <si>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</si>
  <si>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</si>
  <si>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</si>
  <si>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</si>
  <si>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</si>
  <si>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</si>
  <si>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</si>
  <si>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</si>
  <si>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</si>
  <si>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</si>
  <si>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</si>
  <si>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</si>
  <si>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</si>
  <si>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</si>
  <si>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</si>
  <si>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</si>
  <si>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</si>
  <si>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</si>
  <si>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</si>
  <si>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</si>
  <si>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</si>
  <si>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</si>
  <si>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</si>
  <si>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</si>
  <si>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</si>
  <si>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</si>
  <si>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</si>
  <si>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</si>
  <si>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</si>
  <si>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</si>
  <si>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</si>
  <si>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</si>
  <si>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</si>
  <si>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</si>
  <si>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</si>
  <si>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</si>
  <si>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</si>
  <si>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</si>
  <si>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</si>
  <si>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</si>
  <si>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</si>
  <si>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</si>
  <si>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</si>
  <si>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</si>
  <si>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</si>
  <si>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</si>
  <si>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</si>
  <si>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</si>
  <si>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</si>
  <si>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</si>
  <si>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</si>
  <si>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</si>
  <si>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</si>
  <si>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</si>
  <si>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</si>
  <si>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</si>
  <si>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</si>
  <si>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</si>
  <si>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</si>
  <si>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</si>
  <si>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</si>
  <si>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</si>
  <si>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</si>
  <si>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</si>
  <si>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</si>
  <si>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</si>
  <si>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</si>
  <si>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</si>
  <si>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</si>
  <si>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</si>
  <si>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</si>
  <si>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</si>
  <si>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</si>
  <si>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</si>
  <si>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</si>
  <si>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</si>
  <si>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</si>
  <si>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</si>
  <si>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</si>
  <si>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</si>
  <si>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</si>
  <si>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</si>
  <si>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</si>
  <si>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</si>
  <si>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</si>
  <si>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</si>
  <si>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</si>
  <si>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</si>
  <si>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</si>
  <si>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</si>
  <si>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</si>
  <si>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</si>
  <si>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</si>
  <si>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</si>
  <si>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</si>
  <si>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</si>
  <si>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</si>
  <si>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</si>
  <si>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</si>
  <si>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</si>
  <si>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</si>
  <si>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</si>
  <si>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</si>
  <si>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</si>
  <si>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</si>
  <si>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</si>
  <si>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</si>
  <si>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</si>
  <si>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</si>
  <si>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</si>
  <si>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</si>
  <si>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</si>
  <si>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</si>
  <si>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</si>
  <si>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</si>
  <si>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</si>
  <si>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</si>
  <si>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</si>
  <si>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</si>
  <si>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</si>
  <si>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</si>
  <si>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</si>
  <si>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</si>
  <si>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</si>
  <si>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</si>
  <si>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</si>
  <si>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</si>
  <si>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</si>
  <si>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</si>
  <si>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</si>
  <si>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</si>
  <si>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</si>
  <si>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</si>
  <si>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</si>
  <si>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</si>
  <si>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</si>
  <si>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</si>
  <si>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</si>
  <si>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</si>
  <si>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</si>
  <si>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</si>
  <si>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</si>
  <si>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</si>
  <si>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</si>
  <si>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</si>
  <si>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</si>
  <si>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</si>
  <si>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</si>
  <si>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</si>
  <si>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</si>
  <si>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</si>
  <si>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</si>
  <si>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</si>
  <si>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</si>
  <si>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</si>
  <si>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</si>
  <si>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</si>
  <si>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</si>
  <si>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</si>
  <si>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</si>
  <si>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</si>
  <si>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</si>
  <si>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</si>
  <si>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</si>
  <si>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</si>
  <si>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</si>
  <si>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</si>
  <si>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</si>
  <si>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</si>
  <si>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</si>
  <si>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</si>
  <si>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</si>
  <si>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</si>
  <si>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</si>
  <si>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</si>
  <si>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</si>
  <si>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</si>
  <si>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</si>
  <si>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</si>
  <si>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</si>
  <si>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</si>
  <si>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</si>
  <si>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</si>
  <si>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</si>
  <si>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</si>
  <si>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</si>
  <si>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</si>
  <si>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</si>
  <si>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</si>
  <si>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</si>
  <si>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</si>
  <si>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</si>
  <si>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</si>
  <si>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</si>
  <si>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</si>
  <si>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</si>
  <si>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</si>
  <si>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</si>
  <si>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</si>
  <si>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</si>
  <si>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</si>
  <si>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</si>
  <si>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</si>
  <si>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</si>
  <si>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</si>
  <si>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</si>
  <si>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</si>
  <si>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</si>
  <si>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</si>
  <si>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</si>
  <si>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</si>
  <si>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</si>
  <si>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</si>
  <si>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</si>
  <si>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</si>
  <si>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</si>
  <si>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</si>
  <si>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</si>
  <si>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</si>
  <si>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</si>
  <si>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</si>
  <si>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</si>
  <si>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</si>
  <si>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</si>
  <si>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</si>
  <si>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</si>
  <si>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</si>
  <si>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</si>
  <si>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</si>
  <si>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</si>
  <si>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</si>
  <si>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</si>
  <si>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</si>
  <si>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</si>
  <si>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</si>
  <si>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</si>
  <si>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</si>
  <si>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</si>
  <si>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</si>
  <si>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</si>
  <si>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</si>
  <si>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</si>
  <si>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</si>
  <si>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</si>
  <si>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</si>
  <si>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</si>
  <si>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</si>
  <si>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</si>
  <si>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</si>
  <si>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</si>
  <si>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</si>
  <si>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</si>
  <si>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</si>
  <si>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</si>
  <si>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</si>
  <si>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</si>
  <si>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</si>
  <si>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</si>
  <si>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</si>
  <si>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</si>
  <si>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</si>
  <si>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</si>
  <si>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</si>
  <si>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</si>
  <si>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</si>
  <si>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</si>
  <si>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</si>
  <si>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</si>
  <si>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</si>
  <si>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</si>
  <si>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</si>
  <si>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</si>
  <si>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</si>
  <si>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</si>
  <si>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</si>
  <si>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</si>
  <si>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</si>
  <si>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</si>
  <si>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</si>
  <si>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</si>
  <si>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</si>
  <si>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</si>
  <si>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</si>
  <si>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</si>
  <si>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</si>
  <si>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</si>
  <si>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</si>
  <si>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</si>
  <si>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</si>
  <si>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</si>
  <si>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</si>
  <si>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</si>
  <si>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</si>
  <si>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</si>
  <si>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</si>
  <si>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</si>
  <si>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</si>
  <si>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</si>
  <si>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</si>
  <si>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</si>
  <si>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</si>
  <si>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</si>
  <si>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</si>
  <si>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</si>
  <si>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</si>
  <si>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</si>
  <si>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</si>
  <si>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</si>
  <si>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</si>
  <si>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</si>
  <si>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</si>
  <si>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</si>
  <si>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</si>
  <si>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</si>
  <si>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</si>
  <si>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</si>
  <si>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</si>
  <si>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</si>
  <si>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</si>
  <si>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</si>
  <si>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</si>
  <si>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</si>
  <si>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</si>
  <si>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</si>
  <si>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</si>
  <si>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</si>
  <si>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</si>
  <si>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</si>
  <si>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</si>
  <si>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</si>
  <si>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</si>
  <si>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</si>
  <si>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</si>
  <si>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</si>
  <si>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</si>
  <si>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</si>
  <si>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</si>
  <si>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</si>
  <si>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</si>
  <si>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</si>
  <si>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</si>
  <si>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</si>
  <si>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</si>
  <si>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</si>
  <si>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</si>
  <si>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</si>
  <si>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</si>
  <si>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</si>
  <si>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</si>
  <si>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</si>
  <si>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</si>
  <si>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</si>
  <si>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</si>
  <si>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</si>
  <si>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</si>
  <si>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</si>
  <si>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</si>
  <si>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</si>
  <si>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</si>
  <si>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</si>
  <si>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</si>
  <si>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</si>
  <si>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</si>
  <si>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</si>
  <si>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</si>
  <si>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</si>
  <si>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</si>
  <si>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</si>
  <si>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</si>
  <si>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</si>
  <si>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</si>
  <si>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</si>
  <si>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</si>
  <si>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</si>
  <si>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</si>
  <si>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</si>
  <si>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</si>
  <si>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</si>
  <si>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</si>
  <si>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</si>
  <si>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</si>
  <si>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</si>
  <si>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</si>
  <si>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</si>
  <si>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</si>
  <si>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</si>
  <si>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</si>
  <si>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</si>
  <si>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</si>
  <si>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</si>
  <si>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</si>
  <si>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</si>
  <si>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</si>
  <si>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</si>
  <si>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</si>
  <si>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</si>
  <si>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</si>
  <si>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</si>
  <si>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</si>
  <si>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</si>
  <si>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</si>
  <si>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</si>
  <si>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</si>
  <si>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</si>
  <si>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</si>
  <si>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</si>
  <si>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</si>
  <si>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</si>
  <si>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</si>
  <si>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</si>
  <si>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</si>
  <si>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</si>
  <si>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</si>
  <si>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</si>
  <si>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</si>
  <si>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</si>
  <si>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</si>
  <si>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</si>
  <si>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</si>
  <si>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</si>
  <si>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</si>
  <si>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</si>
  <si>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</si>
  <si>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</si>
  <si>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</si>
  <si>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</si>
  <si>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</si>
  <si>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</si>
  <si>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</si>
  <si>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</si>
  <si>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</si>
  <si>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</si>
  <si>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</si>
  <si>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</si>
  <si>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</si>
  <si>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</si>
  <si>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</si>
  <si>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</si>
  <si>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</si>
  <si>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</si>
  <si>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</si>
  <si>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</si>
  <si>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</si>
  <si>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</si>
  <si>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</si>
  <si>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</si>
  <si>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</si>
  <si>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</si>
  <si>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</si>
  <si>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</si>
  <si>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</si>
  <si>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</si>
  <si>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</si>
  <si>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</si>
  <si>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</si>
  <si>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</si>
  <si>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</si>
  <si>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</si>
  <si>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</si>
  <si>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</si>
  <si>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</si>
  <si>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</si>
  <si>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</si>
  <si>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</si>
  <si>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</si>
  <si>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</si>
  <si>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</si>
  <si>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</si>
  <si>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</si>
  <si>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</si>
  <si>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</si>
  <si>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</si>
  <si>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</si>
  <si>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</si>
  <si>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</si>
  <si>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</si>
  <si>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</si>
  <si>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</si>
  <si>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</si>
  <si>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</si>
  <si>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</si>
  <si>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</si>
  <si>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</si>
  <si>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</si>
  <si>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</si>
  <si>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</si>
  <si>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</si>
  <si>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</si>
  <si>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</si>
  <si>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</si>
  <si>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</si>
  <si>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</si>
  <si>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</si>
  <si>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</si>
  <si>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</si>
  <si>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</si>
  <si>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</si>
  <si>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</si>
  <si>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</si>
  <si>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</si>
  <si>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</si>
  <si>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</si>
  <si>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</si>
  <si>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</si>
  <si>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</si>
  <si>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</si>
  <si>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</si>
  <si>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</si>
  <si>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</si>
  <si>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</si>
  <si>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</si>
  <si>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</si>
  <si>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</si>
  <si>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</si>
  <si>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</si>
  <si>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</si>
  <si>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</si>
  <si>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</si>
  <si>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</si>
  <si>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</si>
  <si>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</si>
  <si>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</si>
  <si>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</si>
  <si>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</si>
  <si>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</si>
  <si>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</si>
  <si>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</si>
  <si>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</si>
  <si>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</si>
  <si>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</si>
  <si>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</si>
  <si>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</si>
  <si>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</si>
  <si>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</si>
  <si>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</si>
  <si>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</si>
  <si>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</si>
  <si>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</si>
  <si>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</si>
  <si>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</si>
  <si>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</si>
  <si>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</si>
  <si>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</si>
  <si>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</si>
  <si>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</si>
  <si>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</si>
  <si>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</si>
  <si>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</si>
  <si>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</si>
  <si>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</si>
  <si>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</si>
  <si>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</si>
  <si>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</si>
  <si>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</si>
  <si>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</si>
  <si>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</si>
  <si>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</si>
  <si>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</si>
  <si>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</si>
  <si>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</si>
  <si>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</si>
  <si>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</si>
  <si>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</si>
  <si>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</si>
  <si>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</si>
  <si>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</si>
  <si>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</si>
  <si>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</si>
  <si>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</si>
  <si>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</si>
  <si>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</si>
  <si>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</si>
  <si>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</si>
  <si>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</si>
  <si>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</si>
  <si>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</si>
  <si>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</si>
  <si>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</si>
  <si>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</si>
  <si>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</si>
  <si>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</si>
  <si>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</si>
  <si>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</si>
  <si>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</si>
  <si>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</si>
  <si>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</si>
  <si>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</si>
  <si>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</si>
  <si>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</si>
  <si>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</si>
  <si>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</si>
  <si>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</si>
  <si>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</si>
  <si>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</si>
  <si>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</si>
  <si>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</si>
  <si>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</si>
  <si>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</si>
  <si>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</si>
  <si>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</si>
  <si>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</si>
  <si>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</si>
  <si>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</si>
  <si>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</si>
  <si>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</si>
  <si>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</si>
  <si>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</si>
  <si>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</si>
  <si>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</si>
  <si>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</si>
  <si>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</si>
  <si>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</si>
  <si>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</si>
  <si>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</si>
  <si>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</si>
  <si>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</si>
  <si>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</si>
  <si>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</si>
  <si>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</si>
  <si>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</si>
  <si>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</si>
  <si>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</si>
  <si>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</si>
  <si>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</si>
  <si>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</si>
  <si>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</si>
  <si>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</si>
  <si>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</si>
  <si>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</si>
  <si>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</si>
  <si>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</si>
  <si>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</si>
  <si>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</si>
  <si>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</si>
  <si>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</si>
  <si>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</si>
  <si>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</si>
  <si>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</si>
  <si>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</si>
  <si>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</si>
  <si>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</si>
  <si>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</si>
  <si>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</si>
  <si>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</si>
  <si>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</si>
  <si>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</si>
  <si>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</si>
  <si>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</si>
  <si>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</si>
  <si>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</si>
  <si>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</si>
  <si>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</si>
  <si>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</si>
  <si>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</si>
  <si>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</si>
  <si>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</si>
  <si>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</si>
  <si>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</si>
  <si>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</si>
  <si>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</si>
  <si>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</si>
  <si>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</si>
  <si>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</si>
  <si>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</si>
  <si>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</si>
  <si>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</si>
  <si>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</si>
  <si>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</si>
  <si>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</si>
  <si>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</si>
  <si>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</si>
  <si>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</si>
  <si>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</si>
  <si>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</si>
  <si>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</si>
  <si>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</si>
  <si>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</si>
  <si>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</si>
  <si>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</si>
  <si>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</si>
  <si>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</si>
  <si>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</si>
  <si>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</si>
  <si>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</si>
  <si>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</si>
  <si>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</si>
  <si>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</si>
  <si>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</si>
  <si>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</si>
  <si>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</si>
  <si>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</si>
  <si>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</si>
  <si>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</si>
  <si>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</si>
  <si>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</si>
  <si>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</si>
  <si>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</si>
  <si>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</si>
  <si>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</si>
  <si>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</si>
  <si>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</si>
  <si>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</si>
  <si>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</si>
  <si>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</si>
  <si>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</si>
  <si>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</si>
  <si>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</si>
  <si>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</si>
  <si>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</si>
  <si>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</si>
  <si>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</si>
  <si>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</si>
  <si>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</si>
  <si>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</si>
  <si>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</si>
  <si>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</si>
  <si>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</si>
  <si>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</si>
  <si>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</si>
  <si>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</si>
  <si>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</si>
  <si>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</si>
  <si>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</si>
  <si>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</si>
  <si>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</si>
  <si>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</si>
  <si>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</si>
  <si>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</si>
  <si>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</si>
  <si>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</si>
  <si>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</si>
  <si>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</si>
  <si>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</si>
  <si>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</si>
  <si>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</si>
  <si>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</si>
  <si>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</si>
  <si>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</si>
  <si>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</si>
  <si>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</si>
  <si>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</si>
  <si>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</si>
  <si>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</si>
  <si>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</si>
  <si>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</si>
  <si>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</si>
  <si>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</si>
  <si>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</si>
  <si>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</si>
  <si>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</si>
  <si>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</si>
  <si>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</si>
  <si>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</si>
  <si>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</si>
  <si>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</si>
  <si>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</si>
  <si>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</si>
  <si>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</si>
  <si>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</si>
  <si>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</si>
  <si>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</si>
  <si>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</si>
  <si>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</si>
  <si>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</si>
  <si>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</si>
  <si>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</si>
  <si>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</si>
  <si>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</si>
  <si>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</si>
  <si>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</si>
  <si>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</si>
  <si>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</si>
  <si>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</si>
  <si>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</si>
  <si>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</si>
  <si>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</si>
  <si>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</si>
  <si>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</si>
  <si>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</si>
  <si>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</si>
  <si>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</si>
  <si>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</si>
  <si>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</si>
  <si>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</si>
  <si>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</si>
  <si>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</si>
  <si>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</si>
  <si>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</si>
  <si>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</si>
  <si>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</si>
  <si>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</si>
  <si>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</si>
  <si>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</si>
  <si>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</si>
  <si>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</si>
  <si>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</si>
  <si>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</si>
  <si>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</si>
  <si>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</si>
  <si>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</si>
  <si>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</si>
  <si>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</si>
  <si>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</si>
  <si>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</si>
  <si>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</si>
  <si>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</si>
  <si>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</si>
  <si>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</si>
  <si>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</si>
  <si>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</si>
  <si>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</si>
  <si>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</si>
  <si>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</si>
  <si>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</si>
  <si>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</si>
  <si>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</si>
  <si>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</si>
  <si>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</si>
  <si>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</si>
  <si>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</si>
  <si>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</si>
  <si>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</si>
  <si>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</si>
  <si>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</si>
  <si>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</si>
  <si>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</si>
  <si>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</si>
  <si>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</si>
  <si>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</si>
  <si>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</si>
  <si>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</si>
  <si>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</si>
  <si>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</si>
  <si>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</si>
  <si>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</si>
  <si>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</si>
  <si>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</si>
  <si>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</si>
  <si>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</si>
  <si>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</si>
  <si>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</si>
  <si>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</si>
  <si>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</si>
  <si>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</si>
  <si>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</si>
  <si>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</si>
  <si>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</si>
  <si>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</si>
  <si>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</si>
  <si>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</si>
  <si>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</si>
  <si>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</si>
  <si>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</si>
  <si>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</si>
  <si>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</si>
  <si>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</si>
  <si>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</si>
  <si>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</si>
  <si>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</si>
  <si>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</si>
  <si>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</si>
  <si>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</si>
  <si>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</si>
  <si>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</si>
  <si>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</si>
  <si>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</si>
  <si>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</si>
  <si>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</si>
  <si>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</si>
  <si>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</si>
  <si>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</si>
  <si>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</si>
  <si>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</si>
  <si>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</si>
  <si>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</si>
  <si>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</si>
  <si>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</si>
  <si>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</si>
  <si>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</si>
  <si>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</si>
  <si>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</si>
  <si>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</si>
  <si>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</si>
  <si>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</si>
  <si>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</si>
  <si>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</si>
  <si>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</si>
  <si>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</si>
  <si>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</si>
  <si>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</si>
  <si>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</si>
  <si>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</si>
  <si>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</si>
  <si>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</si>
  <si>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</si>
  <si>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</si>
  <si>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</si>
  <si>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</si>
  <si>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</si>
  <si>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</si>
  <si>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</si>
  <si>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</si>
  <si>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</si>
  <si>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</si>
  <si>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</si>
  <si>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</si>
  <si>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</si>
  <si>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</si>
  <si>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</si>
  <si>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</si>
  <si>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</si>
  <si>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</si>
  <si>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</si>
  <si>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</si>
  <si>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</si>
  <si>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</si>
  <si>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</si>
  <si>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</si>
  <si>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</si>
  <si>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</si>
  <si>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</si>
  <si>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</si>
  <si>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</si>
  <si>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</si>
  <si>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</si>
  <si>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</si>
  <si>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</si>
  <si>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</si>
  <si>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</si>
  <si>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</si>
  <si>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</si>
  <si>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</si>
  <si>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</si>
  <si>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</si>
  <si>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</si>
  <si>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</si>
  <si>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</si>
  <si>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</si>
  <si>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</si>
  <si>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</si>
  <si>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</si>
  <si>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</si>
  <si>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</si>
  <si>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</si>
  <si>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</si>
  <si>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</si>
  <si>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</si>
  <si>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</si>
  <si>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</si>
  <si>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</si>
  <si>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</si>
  <si>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</si>
  <si>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</si>
  <si>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</si>
  <si>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</si>
  <si>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</si>
  <si>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</si>
  <si>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</si>
  <si>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</si>
  <si>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</si>
  <si>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</si>
  <si>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</si>
  <si>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</si>
  <si>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</si>
  <si>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</si>
  <si>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</si>
  <si>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</si>
  <si>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</si>
  <si>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</si>
  <si>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</si>
  <si>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</si>
  <si>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</si>
  <si>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</si>
  <si>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</si>
  <si>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</si>
  <si>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</si>
  <si>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</si>
  <si>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</si>
  <si>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</si>
  <si>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</si>
  <si>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</si>
  <si>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</si>
  <si>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</si>
  <si>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</si>
  <si>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</si>
  <si>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</si>
  <si>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</si>
  <si>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</si>
  <si>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</si>
  <si>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</si>
  <si>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</si>
  <si>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</si>
  <si>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</si>
  <si>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</si>
  <si>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</si>
  <si>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</si>
  <si>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</si>
  <si>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</si>
  <si>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</si>
  <si>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</si>
  <si>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</si>
  <si>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</si>
  <si>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</si>
  <si>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</si>
  <si>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</si>
  <si>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</si>
  <si>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</si>
  <si>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</si>
  <si>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</si>
  <si>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</si>
  <si>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</si>
  <si>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</si>
  <si>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</si>
  <si>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</si>
  <si>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</si>
  <si>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</si>
  <si>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</si>
  <si>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</si>
  <si>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</si>
  <si>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</si>
  <si>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</si>
  <si>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</si>
  <si>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</si>
  <si>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</si>
  <si>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</si>
  <si>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</si>
  <si>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</si>
  <si>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</si>
  <si>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</si>
  <si>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</si>
  <si>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</si>
  <si>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</si>
  <si>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</si>
  <si>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</si>
  <si>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</si>
  <si>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</si>
  <si>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</si>
  <si>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</si>
  <si>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</si>
  <si>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</si>
  <si>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</si>
  <si>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</si>
  <si>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</si>
  <si>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</si>
  <si>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</si>
  <si>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</si>
  <si>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</si>
  <si>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</si>
  <si>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</si>
  <si>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</si>
  <si>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</si>
  <si>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</si>
  <si>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</si>
  <si>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</si>
  <si>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</si>
  <si>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</si>
  <si>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</si>
  <si>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</si>
  <si>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</si>
  <si>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</si>
  <si>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</si>
  <si>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</si>
  <si>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</si>
  <si>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</si>
  <si>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</si>
  <si>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</si>
  <si>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</si>
  <si>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</si>
  <si>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</si>
  <si>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</si>
  <si>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</si>
  <si>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</si>
  <si>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</si>
  <si>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</si>
  <si>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</si>
  <si>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</si>
  <si>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</si>
  <si>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</si>
  <si>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</si>
  <si>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</si>
  <si>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</si>
  <si>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</si>
  <si>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</si>
  <si>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</si>
  <si>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</si>
  <si>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</si>
  <si>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</si>
  <si>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</si>
  <si>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</si>
  <si>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</si>
  <si>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</si>
  <si>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</si>
  <si>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</si>
  <si>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</si>
  <si>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</si>
  <si>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</si>
  <si>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</si>
  <si>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</si>
  <si>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</si>
  <si>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</si>
  <si>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</si>
  <si>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</si>
  <si>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</si>
  <si>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</si>
  <si>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</si>
  <si>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</si>
  <si>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</si>
  <si>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</si>
  <si>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</si>
  <si>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</si>
  <si>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</si>
  <si>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</si>
  <si>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</si>
  <si>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</si>
  <si>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</si>
  <si>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</si>
  <si>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</si>
  <si>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</si>
  <si>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</si>
  <si>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</si>
  <si>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</si>
  <si>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</si>
  <si>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</si>
  <si>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</si>
  <si>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</si>
  <si>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</si>
  <si>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</si>
  <si>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</si>
  <si>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</si>
  <si>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</si>
  <si>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</si>
  <si>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</si>
  <si>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</si>
  <si>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</si>
  <si>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</si>
  <si>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</si>
  <si>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</si>
  <si>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</si>
  <si>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</si>
  <si>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</si>
  <si>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</si>
  <si>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</si>
  <si>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</si>
  <si>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</si>
  <si>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</si>
  <si>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</si>
  <si>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</si>
  <si>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</si>
  <si>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</si>
  <si>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</si>
  <si>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</si>
  <si>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</si>
  <si>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</si>
  <si>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</si>
  <si>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</si>
  <si>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</si>
  <si>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</si>
  <si>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</si>
  <si>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</si>
  <si>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</si>
  <si>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</si>
  <si>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</si>
  <si>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</si>
  <si>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</si>
  <si>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</si>
  <si>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</si>
  <si>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</si>
  <si>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</si>
  <si>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</si>
  <si>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</si>
  <si>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</si>
  <si>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</si>
  <si>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</si>
  <si>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</si>
  <si>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</si>
  <si>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</si>
  <si>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</si>
  <si>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</si>
  <si>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</si>
  <si>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</si>
  <si>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</si>
  <si>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</si>
  <si>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</si>
  <si>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</si>
  <si>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</si>
  <si>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</si>
  <si>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</si>
  <si>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</si>
  <si>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</si>
  <si>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</si>
  <si>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</si>
  <si>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</si>
  <si>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</si>
  <si>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</si>
  <si>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</si>
  <si>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</si>
  <si>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</si>
  <si>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</si>
  <si>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</si>
  <si>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</si>
  <si>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</si>
  <si>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</si>
  <si>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</si>
  <si>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</si>
  <si>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</si>
  <si>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</si>
  <si>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</si>
  <si>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</si>
  <si>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</si>
  <si>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</si>
  <si>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</si>
  <si>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</si>
  <si>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</si>
  <si>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</si>
  <si>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</si>
  <si>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</si>
  <si>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</si>
  <si>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</si>
  <si>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</si>
  <si>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</si>
  <si>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</si>
  <si>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</si>
  <si>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</si>
  <si>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</si>
  <si>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</si>
  <si>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</si>
  <si>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</si>
  <si>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</si>
  <si>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</si>
  <si>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</si>
  <si>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</si>
  <si>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</si>
  <si>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</si>
  <si>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</si>
  <si>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</si>
  <si>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</si>
  <si>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</si>
  <si>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</si>
  <si>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</si>
  <si>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</si>
  <si>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</si>
  <si>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</si>
  <si>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</si>
  <si>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</si>
  <si>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</si>
  <si>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</si>
  <si>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</si>
  <si>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</si>
  <si>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</si>
  <si>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</si>
  <si>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</si>
  <si>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</si>
  <si>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</si>
  <si>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</si>
  <si>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</si>
  <si>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</si>
  <si>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</si>
  <si>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</si>
  <si>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</si>
  <si>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</si>
  <si>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</si>
  <si>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</si>
  <si>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</si>
  <si>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</si>
  <si>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</si>
  <si>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</si>
  <si>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</si>
  <si>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</si>
  <si>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</si>
  <si>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</si>
  <si>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</si>
  <si>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</si>
  <si>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</si>
  <si>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</si>
  <si>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</si>
  <si>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</si>
  <si>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</si>
  <si>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</si>
  <si>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</si>
  <si>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</si>
  <si>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</si>
  <si>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</si>
  <si>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</si>
  <si>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</si>
  <si>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</si>
  <si>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</si>
  <si>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</si>
  <si>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</si>
  <si>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</si>
  <si>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</si>
  <si>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</si>
  <si>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</si>
  <si>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</si>
  <si>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</si>
  <si>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</si>
  <si>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</si>
  <si>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</si>
  <si>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</si>
  <si>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</si>
  <si>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</si>
  <si>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</si>
  <si>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</si>
  <si>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</si>
  <si>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</si>
  <si>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</si>
  <si>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</si>
  <si>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</si>
  <si>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</si>
  <si>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</si>
  <si>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</si>
  <si>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</si>
  <si>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</si>
  <si>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</si>
  <si>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</si>
  <si>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</si>
  <si>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</si>
  <si>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</si>
  <si>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</si>
  <si>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</si>
  <si>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</si>
  <si>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</si>
  <si>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</si>
  <si>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</si>
  <si>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</si>
  <si>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</si>
  <si>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</si>
  <si>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</si>
  <si>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</si>
  <si>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</si>
  <si>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</si>
  <si>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</si>
  <si>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</si>
  <si>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</si>
  <si>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</si>
  <si>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</si>
  <si>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</si>
  <si>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</si>
  <si>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</si>
  <si>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</si>
  <si>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</si>
  <si>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</si>
  <si>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</si>
  <si>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</si>
  <si>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</si>
  <si>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</si>
  <si>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</si>
  <si>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</si>
  <si>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</si>
  <si>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</si>
  <si>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</si>
  <si>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</si>
  <si>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</si>
  <si>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</si>
  <si>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</si>
  <si>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</si>
  <si>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</si>
  <si>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</si>
  <si>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</si>
  <si>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</si>
  <si>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</si>
  <si>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</si>
  <si>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</si>
  <si>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</si>
  <si>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</si>
  <si>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</si>
  <si>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</si>
  <si>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</si>
  <si>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</si>
  <si>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</si>
  <si>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</si>
  <si>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</si>
  <si>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</si>
  <si>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</si>
  <si>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</si>
  <si>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</si>
  <si>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</si>
  <si>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</si>
  <si>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</si>
  <si>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</si>
  <si>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</si>
  <si>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</si>
  <si>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</si>
  <si>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</si>
  <si>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</si>
  <si>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</si>
  <si>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</si>
  <si>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</si>
  <si>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</si>
  <si>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</si>
  <si>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</si>
  <si>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</si>
  <si>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</si>
  <si>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</si>
  <si>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</si>
  <si>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</si>
  <si>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</si>
  <si>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</si>
  <si>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</si>
  <si>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</si>
  <si>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</si>
  <si>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</si>
  <si>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</si>
  <si>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</si>
  <si>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</si>
  <si>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</si>
  <si>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</si>
  <si>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</si>
  <si>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</si>
  <si>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</si>
  <si>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</si>
  <si>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</si>
  <si>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</si>
  <si>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</si>
  <si>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</si>
  <si>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</si>
  <si>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</si>
  <si>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</si>
  <si>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</si>
  <si>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</si>
  <si>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</si>
  <si>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</si>
  <si>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</si>
  <si>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</si>
  <si>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</si>
  <si>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</si>
  <si>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</si>
  <si>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</si>
  <si>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</si>
  <si>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</si>
  <si>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</si>
  <si>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</si>
  <si>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</si>
  <si>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</si>
  <si>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</si>
  <si>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</si>
  <si>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</si>
  <si>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</si>
  <si>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</si>
  <si>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</si>
  <si>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</si>
  <si>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</si>
  <si>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</si>
  <si>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</si>
  <si>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</si>
  <si>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</si>
  <si>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</si>
  <si>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</si>
  <si>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</si>
  <si>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</si>
  <si>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</si>
  <si>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</si>
  <si>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</si>
  <si>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</si>
  <si>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</si>
  <si>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</si>
  <si>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</si>
  <si>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</si>
  <si>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</si>
  <si>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</si>
  <si>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</si>
  <si>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</si>
  <si>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</si>
  <si>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</si>
  <si>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</si>
  <si>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</si>
  <si>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</si>
  <si>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</si>
  <si>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</si>
  <si>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</si>
  <si>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</si>
  <si>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</si>
  <si>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</si>
  <si>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</si>
  <si>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</si>
  <si>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</si>
  <si>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</si>
  <si>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</si>
  <si>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</si>
  <si>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</si>
  <si>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</si>
  <si>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</si>
  <si>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</si>
  <si>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</si>
  <si>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</si>
  <si>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</si>
  <si>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</si>
  <si>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</si>
  <si>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</si>
  <si>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</si>
  <si>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</si>
  <si>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</si>
  <si>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</si>
  <si>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</si>
  <si>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</si>
  <si>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</si>
  <si>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</si>
  <si>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</si>
  <si>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</si>
  <si>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</si>
  <si>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</si>
  <si>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</si>
  <si>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</si>
  <si>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</si>
  <si>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</si>
  <si>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</si>
  <si>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</si>
  <si>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</si>
  <si>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</si>
  <si>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</si>
  <si>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</si>
  <si>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</si>
  <si>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</si>
  <si>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</si>
  <si>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</si>
  <si>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</si>
  <si>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</si>
  <si>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</si>
  <si>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</si>
  <si>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</si>
  <si>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</si>
  <si>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</si>
  <si>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</si>
  <si>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</si>
  <si>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</si>
  <si>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</si>
  <si>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</si>
  <si>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</si>
  <si>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</si>
  <si>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</si>
  <si>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</si>
  <si>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</si>
  <si>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</si>
  <si>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</si>
  <si>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</si>
  <si>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</si>
  <si>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</si>
  <si>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</si>
  <si>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</si>
  <si>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</si>
  <si>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</si>
  <si>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</si>
  <si>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</si>
  <si>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</si>
  <si>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</si>
  <si>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</si>
  <si>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</si>
  <si>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</si>
  <si>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</si>
  <si>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</si>
  <si>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</si>
  <si>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</si>
  <si>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</si>
  <si>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</si>
  <si>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</si>
  <si>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</si>
  <si>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</si>
  <si>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</si>
  <si>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</si>
  <si>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</si>
  <si>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</si>
  <si>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</si>
  <si>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</si>
  <si>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</si>
  <si>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</si>
  <si>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</si>
  <si>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</si>
  <si>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</si>
  <si>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</si>
  <si>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</si>
  <si>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</si>
  <si>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</si>
  <si>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</si>
  <si>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</si>
  <si>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</si>
  <si>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</si>
  <si>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</si>
  <si>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</si>
  <si>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</si>
  <si>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</si>
  <si>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</si>
  <si>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</si>
  <si>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</si>
  <si>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</si>
  <si>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</si>
  <si>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</si>
  <si>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</si>
  <si>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</si>
  <si>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</si>
  <si>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</si>
  <si>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</si>
  <si>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</si>
  <si>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</si>
  <si>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</si>
  <si>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</si>
  <si>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</si>
  <si>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</si>
  <si>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</si>
  <si>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</si>
  <si>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</si>
  <si>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</si>
  <si>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</si>
  <si>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</si>
  <si>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</si>
  <si>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</si>
  <si>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</si>
  <si>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</si>
  <si>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</si>
  <si>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</si>
  <si>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</si>
  <si>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</si>
  <si>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</si>
  <si>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</si>
  <si>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</si>
  <si>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</si>
  <si>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</si>
  <si>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</si>
  <si>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</si>
  <si>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</si>
  <si>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</si>
  <si>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</si>
  <si>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</si>
  <si>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</si>
  <si>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</si>
  <si>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</si>
  <si>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</si>
  <si>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</si>
  <si>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</si>
  <si>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</si>
  <si>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</si>
  <si>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</si>
  <si>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</si>
  <si>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</si>
  <si>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</si>
  <si>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</si>
  <si>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</si>
  <si>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</si>
  <si>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</si>
  <si>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</si>
  <si>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</si>
  <si>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</si>
  <si>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</si>
  <si>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</si>
  <si>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</si>
  <si>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</si>
  <si>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</si>
  <si>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</si>
  <si>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</si>
  <si>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</si>
  <si>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</si>
  <si>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</si>
  <si>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</si>
  <si>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</si>
  <si>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</si>
  <si>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</si>
  <si>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</si>
  <si>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</si>
  <si>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</si>
  <si>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</si>
  <si>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</si>
  <si>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</si>
  <si>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</si>
  <si>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</si>
  <si>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</si>
  <si>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</si>
  <si>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</si>
  <si>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</si>
  <si>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</si>
  <si>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</si>
  <si>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</si>
  <si>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</si>
  <si>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</si>
  <si>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</si>
  <si>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</si>
  <si>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</si>
  <si>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</si>
  <si>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</si>
  <si>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</si>
  <si>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</si>
  <si>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</si>
  <si>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</si>
  <si>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</si>
  <si>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</si>
  <si>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</si>
  <si>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</si>
  <si>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</si>
  <si>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</si>
  <si>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</si>
  <si>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</si>
  <si>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</si>
  <si>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</si>
  <si>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</si>
  <si>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</si>
  <si>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</si>
  <si>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</si>
  <si>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</si>
  <si>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</si>
  <si>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</si>
  <si>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</si>
  <si>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</si>
  <si>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</si>
  <si>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</si>
  <si>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</si>
  <si>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</si>
  <si>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</si>
  <si>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</si>
  <si>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</si>
  <si>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</si>
  <si>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</si>
  <si>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</si>
  <si>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</si>
  <si>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</si>
  <si>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</si>
  <si>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</si>
  <si>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</si>
  <si>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</si>
  <si>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</si>
  <si>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</si>
  <si>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</si>
  <si>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</si>
  <si>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</si>
  <si>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</si>
  <si>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</si>
  <si>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</si>
  <si>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</si>
  <si>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</si>
  <si>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</si>
  <si>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</si>
  <si>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</si>
  <si>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</si>
  <si>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</si>
  <si>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</si>
  <si>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</si>
  <si>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</si>
  <si>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</si>
  <si>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</si>
  <si>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</si>
  <si>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</si>
  <si>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</si>
  <si>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</si>
  <si>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</si>
  <si>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</si>
  <si>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</si>
  <si>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</si>
  <si>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</si>
  <si>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</si>
  <si>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</si>
  <si>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</si>
  <si>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</si>
  <si>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</si>
  <si>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</si>
  <si>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</si>
  <si>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</si>
  <si>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</si>
  <si>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</si>
  <si>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</si>
  <si>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</si>
  <si>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</si>
  <si>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</si>
  <si>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</si>
  <si>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</si>
  <si>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</si>
  <si>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</si>
  <si>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</si>
  <si>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</si>
  <si>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</si>
  <si>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</si>
  <si>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</si>
  <si>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</si>
  <si>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</si>
  <si>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</si>
  <si>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</si>
  <si>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</si>
  <si>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</si>
  <si>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</si>
  <si>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</si>
  <si>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</si>
  <si>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</si>
  <si>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</si>
  <si>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</si>
  <si>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</si>
  <si>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</si>
  <si>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</si>
  <si>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</si>
  <si>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</si>
  <si>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</si>
  <si>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</si>
  <si>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</si>
  <si>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</si>
  <si>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</si>
  <si>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</si>
  <si>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</si>
  <si>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</si>
  <si>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</si>
  <si>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</si>
  <si>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</si>
  <si>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</si>
  <si>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</si>
  <si>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</si>
  <si>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</si>
  <si>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</si>
  <si>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</si>
  <si>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</si>
  <si>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</si>
  <si>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</si>
  <si>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</si>
  <si>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</si>
  <si>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</si>
  <si>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</si>
  <si>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</si>
  <si>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</si>
  <si>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</si>
  <si>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</si>
  <si>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</si>
  <si>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</si>
  <si>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</si>
  <si>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</si>
  <si>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</si>
  <si>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</si>
  <si>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</si>
  <si>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</si>
  <si>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</si>
  <si>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</si>
  <si>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</si>
  <si>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</si>
  <si>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</si>
  <si>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</si>
  <si>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</si>
  <si>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</si>
  <si>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</si>
  <si>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</si>
  <si>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</si>
  <si>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</si>
  <si>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</si>
  <si>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</si>
  <si>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</si>
  <si>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</si>
  <si>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</si>
  <si>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</si>
  <si>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</si>
  <si>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</si>
  <si>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</si>
  <si>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</si>
  <si>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</si>
  <si>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</si>
  <si>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</si>
  <si>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</si>
  <si>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</si>
  <si>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</si>
  <si>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</si>
  <si>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</si>
  <si>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</si>
  <si>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</si>
  <si>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</si>
  <si>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</si>
  <si>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</si>
  <si>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</si>
  <si>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</si>
  <si>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</si>
  <si>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</si>
  <si>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</si>
  <si>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</si>
  <si>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</si>
  <si>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</si>
  <si>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</si>
  <si>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</si>
  <si>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</si>
  <si>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</si>
  <si>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</si>
  <si>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</si>
  <si>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</si>
  <si>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</si>
  <si>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</si>
  <si>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</si>
  <si>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</si>
  <si>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</si>
  <si>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</si>
  <si>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</si>
  <si>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</si>
  <si>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</si>
  <si>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</si>
  <si>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</si>
  <si>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</si>
  <si>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</si>
  <si>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</si>
  <si>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</si>
  <si>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</si>
  <si>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</si>
  <si>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</si>
  <si>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</si>
  <si>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</si>
  <si>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</si>
  <si>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</si>
  <si>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</si>
  <si>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</si>
  <si>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</si>
  <si>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</si>
  <si>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</si>
  <si>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</si>
  <si>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</si>
  <si>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</si>
  <si>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</si>
  <si>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</si>
  <si>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</si>
  <si>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</si>
  <si>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</si>
  <si>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</si>
  <si>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</si>
  <si>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</si>
  <si>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</si>
  <si>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</si>
  <si>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</si>
  <si>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</si>
  <si>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</si>
  <si>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</si>
  <si>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</si>
  <si>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</si>
  <si>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</si>
  <si>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</si>
  <si>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</si>
  <si>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</si>
  <si>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</si>
  <si>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</si>
  <si>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</si>
  <si>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</si>
  <si>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</si>
  <si>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</si>
  <si>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</si>
  <si>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</si>
  <si>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</si>
  <si>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</si>
  <si>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</si>
  <si>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</si>
  <si>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</si>
  <si>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</si>
  <si>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</si>
  <si>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</si>
  <si>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</si>
  <si>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</si>
  <si>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</si>
  <si>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</si>
  <si>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</si>
  <si>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</si>
  <si>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</si>
  <si>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</si>
  <si>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</si>
  <si>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</si>
  <si>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</si>
  <si>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</si>
  <si>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</si>
  <si>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</si>
  <si>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</si>
  <si>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</si>
  <si>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</si>
  <si>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</si>
  <si>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</si>
  <si>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</si>
  <si>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</si>
  <si>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</si>
  <si>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</si>
  <si>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</si>
  <si>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</si>
  <si>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</si>
  <si>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</si>
  <si>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</si>
  <si>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</si>
  <si>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</si>
  <si>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</si>
  <si>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</si>
  <si>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</si>
  <si>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</si>
  <si>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</si>
  <si>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</si>
  <si>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</si>
  <si>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</si>
  <si>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</si>
  <si>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</si>
  <si>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</si>
  <si>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</si>
  <si>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</si>
  <si>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</si>
  <si>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</si>
  <si>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</si>
  <si>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</si>
  <si>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</si>
  <si>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</si>
  <si>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</si>
  <si>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</si>
  <si>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</si>
  <si>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</si>
  <si>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</si>
  <si>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</si>
  <si>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</si>
  <si>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</si>
  <si>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</si>
  <si>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</si>
  <si>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</si>
  <si>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</si>
  <si>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</si>
  <si>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</si>
  <si>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</si>
  <si>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</si>
  <si>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</si>
  <si>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</si>
  <si>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</si>
  <si>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</si>
  <si>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</si>
  <si>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</si>
  <si>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</si>
  <si>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</si>
  <si>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</si>
  <si>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</si>
  <si>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</si>
  <si>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</si>
  <si>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</si>
  <si>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</si>
  <si>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</si>
  <si>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</si>
  <si>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</si>
  <si>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</si>
  <si>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</si>
  <si>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</si>
  <si>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</si>
  <si>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</si>
  <si>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</si>
  <si>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</si>
  <si>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</si>
  <si>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</si>
  <si>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</si>
  <si>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</si>
  <si>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</si>
  <si>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</si>
  <si>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</si>
  <si>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</si>
  <si>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</si>
  <si>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</si>
  <si>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</si>
  <si>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</si>
  <si>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</si>
  <si>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</si>
  <si>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</si>
  <si>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</si>
  <si>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</si>
  <si>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</si>
  <si>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</si>
  <si>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</si>
  <si>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</si>
  <si>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</si>
  <si>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</si>
  <si>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</si>
  <si>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</si>
  <si>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</si>
  <si>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</si>
  <si>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</si>
  <si>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</si>
  <si>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</si>
  <si>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</si>
  <si>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</si>
  <si>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</si>
  <si>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</si>
  <si>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</si>
  <si>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</si>
  <si>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</si>
  <si>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</si>
  <si>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</si>
  <si>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</si>
  <si>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</si>
  <si>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</si>
  <si>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</si>
  <si>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</si>
  <si>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</si>
  <si>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</si>
  <si>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</si>
  <si>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</si>
  <si>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</si>
  <si>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</si>
  <si>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</si>
  <si>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</si>
  <si>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</si>
  <si>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</si>
  <si>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</si>
  <si>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</si>
  <si>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</si>
  <si>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</si>
  <si>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</si>
  <si>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</si>
  <si>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</si>
  <si>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</si>
  <si>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</si>
  <si>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</si>
  <si>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</si>
  <si>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</si>
  <si>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</si>
  <si>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</si>
  <si>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</si>
  <si>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</si>
  <si>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</si>
  <si>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</si>
  <si>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</si>
  <si>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</si>
  <si>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</si>
  <si>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</si>
  <si>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</si>
  <si>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</si>
  <si>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</si>
  <si>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</si>
  <si>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</si>
  <si>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</si>
  <si>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</si>
  <si>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</si>
  <si>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</si>
  <si>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</si>
  <si>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</si>
  <si>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</si>
  <si>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</si>
  <si>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</si>
  <si>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</si>
  <si>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</si>
  <si>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</si>
  <si>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</si>
  <si>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</si>
  <si>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</si>
  <si>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</si>
  <si>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</si>
  <si>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</si>
  <si>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</si>
  <si>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</si>
  <si>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</si>
  <si>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</si>
  <si>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</si>
  <si>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</si>
  <si>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</si>
  <si>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</si>
  <si>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</si>
  <si>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</si>
  <si>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</si>
  <si>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</si>
  <si>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</si>
  <si>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</si>
  <si>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</si>
  <si>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</si>
  <si>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</si>
  <si>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</si>
  <si>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</si>
  <si>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</si>
  <si>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</si>
  <si>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</si>
  <si>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</si>
  <si>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</si>
  <si>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</si>
  <si>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</si>
  <si>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</si>
  <si>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</si>
  <si>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</si>
  <si>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</si>
  <si>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</si>
  <si>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</si>
  <si>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</si>
  <si>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</si>
  <si>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</si>
  <si>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</si>
  <si>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</si>
  <si>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</si>
  <si>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</si>
  <si>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</si>
  <si>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</si>
  <si>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</si>
  <si>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</si>
  <si>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</si>
  <si>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</si>
  <si>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</si>
  <si>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</si>
  <si>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</si>
  <si>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</si>
  <si>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</si>
  <si>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</si>
  <si>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</si>
  <si>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</si>
  <si>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</si>
  <si>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</si>
  <si>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</si>
  <si>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</si>
  <si>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</si>
  <si>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</si>
  <si>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</si>
  <si>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</si>
  <si>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</si>
  <si>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</si>
  <si>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</si>
  <si>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</si>
  <si>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</si>
  <si>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</si>
  <si>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</si>
  <si>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</si>
  <si>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</si>
  <si>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</si>
  <si>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</si>
  <si>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</si>
  <si>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</si>
  <si>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</si>
  <si>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</si>
  <si>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</si>
  <si>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</si>
  <si>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</si>
  <si>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</si>
  <si>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</si>
  <si>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</si>
  <si>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</si>
  <si>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</si>
  <si>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</si>
  <si>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</si>
  <si>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</si>
  <si>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</si>
  <si>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</si>
  <si>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</si>
  <si>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</si>
  <si>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</si>
  <si>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</si>
  <si>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</si>
  <si>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</si>
  <si>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</si>
  <si>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</si>
  <si>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</si>
  <si>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</si>
  <si>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</si>
  <si>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</si>
  <si>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</si>
  <si>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</si>
  <si>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</si>
  <si>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</si>
  <si>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</si>
  <si>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</si>
  <si>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</si>
  <si>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</si>
  <si>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</si>
  <si>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</si>
  <si>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</si>
  <si>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</si>
  <si>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</si>
  <si>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</si>
  <si>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</si>
  <si>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</si>
  <si>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</si>
  <si>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</si>
  <si>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</si>
  <si>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</si>
  <si>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</si>
  <si>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</si>
  <si>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</si>
  <si>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</si>
  <si>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</si>
  <si>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</si>
  <si>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</si>
  <si>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</si>
  <si>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</si>
  <si>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</si>
  <si>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</si>
  <si>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</si>
  <si>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</si>
  <si>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</si>
  <si>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</si>
  <si>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</si>
  <si>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</si>
  <si>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</si>
  <si>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</si>
  <si>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</si>
  <si>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</si>
  <si>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</si>
  <si>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</si>
  <si>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</si>
  <si>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</si>
  <si>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</si>
  <si>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</si>
  <si>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</si>
  <si>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</si>
  <si>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</si>
  <si>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</si>
  <si>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</si>
  <si>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</si>
  <si>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</si>
  <si>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</si>
  <si>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</si>
  <si>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</si>
  <si>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</si>
  <si>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</si>
  <si>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</si>
  <si>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</si>
  <si>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</si>
  <si>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</si>
  <si>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</si>
  <si>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</si>
  <si>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</si>
  <si>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</si>
  <si>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</si>
  <si>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</si>
  <si>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</si>
  <si>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</si>
  <si>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</si>
  <si>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</si>
  <si>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</si>
  <si>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</si>
  <si>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</si>
  <si>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</si>
  <si>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</si>
  <si>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</si>
  <si>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</si>
  <si>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</si>
  <si>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</si>
  <si>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</si>
  <si>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</si>
  <si>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</si>
  <si>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</si>
  <si>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</si>
  <si>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</si>
  <si>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</si>
  <si>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</si>
  <si>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</si>
  <si>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</si>
  <si>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</si>
  <si>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</si>
  <si>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</si>
  <si>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</si>
  <si>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</si>
  <si>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</si>
  <si>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</si>
  <si>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</si>
  <si>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</si>
  <si>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</si>
  <si>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</si>
  <si>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</si>
  <si>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</si>
  <si>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</si>
  <si>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</si>
  <si>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</si>
  <si>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</si>
  <si>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</si>
  <si>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</si>
  <si>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</si>
  <si>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</si>
  <si>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</si>
  <si>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</si>
  <si>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</si>
  <si>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</si>
  <si>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</si>
  <si>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</si>
  <si>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</si>
  <si>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</si>
  <si>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</si>
  <si>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</si>
  <si>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</si>
  <si>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</si>
  <si>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</si>
  <si>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</si>
  <si>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</si>
  <si>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</si>
  <si>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</si>
  <si>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</si>
  <si>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</si>
  <si>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</si>
  <si>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</si>
  <si>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</si>
  <si>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</si>
  <si>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</si>
  <si>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</si>
  <si>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</si>
  <si>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</si>
  <si>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</si>
  <si>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</si>
  <si>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</si>
  <si>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</si>
  <si>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</si>
  <si>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</si>
  <si>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</si>
  <si>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</si>
  <si>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</si>
  <si>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</si>
  <si>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</si>
  <si>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</si>
  <si>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</si>
  <si>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</si>
  <si>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</si>
  <si>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</si>
  <si>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</si>
  <si>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</si>
  <si>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</si>
  <si>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</si>
  <si>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</si>
  <si>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</si>
  <si>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</si>
  <si>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</si>
  <si>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</si>
  <si>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</si>
  <si>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</si>
  <si>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</si>
  <si>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</si>
  <si>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</si>
  <si>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</si>
  <si>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</si>
  <si>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</si>
  <si>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</si>
  <si>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</si>
  <si>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</si>
  <si>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</si>
  <si>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</si>
  <si>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</si>
  <si>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</si>
  <si>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</si>
  <si>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</si>
  <si>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</si>
  <si>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</si>
  <si>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</si>
  <si>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</si>
  <si>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</si>
  <si>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</si>
  <si>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</si>
  <si>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</si>
  <si>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</si>
  <si>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</si>
  <si>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</si>
  <si>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</si>
  <si>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</si>
  <si>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</si>
  <si>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</si>
  <si>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</si>
  <si>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</si>
  <si>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</si>
  <si>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</si>
  <si>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</si>
  <si>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</si>
  <si>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</si>
  <si>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</si>
  <si>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</si>
  <si>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</si>
  <si>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</si>
  <si>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</si>
  <si>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</si>
  <si>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</si>
  <si>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</si>
  <si>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</si>
  <si>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</si>
  <si>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</si>
  <si>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</si>
  <si>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</si>
  <si>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</si>
  <si>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</si>
  <si>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</si>
  <si>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</si>
  <si>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</si>
  <si>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</si>
  <si>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</si>
  <si>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</si>
  <si>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</si>
  <si>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</si>
  <si>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</si>
  <si>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</si>
  <si>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</si>
  <si>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</si>
  <si>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</si>
  <si>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</si>
  <si>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</si>
  <si>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</si>
  <si>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</si>
  <si>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</si>
  <si>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</si>
  <si>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</si>
  <si>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</si>
  <si>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</si>
  <si>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</si>
  <si>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</si>
  <si>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</si>
  <si>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</si>
  <si>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</si>
  <si>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</si>
  <si>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</si>
  <si>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</si>
  <si>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</si>
  <si>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</si>
  <si>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</si>
  <si>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</si>
  <si>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</si>
  <si>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</si>
  <si>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</si>
  <si>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</si>
  <si>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</si>
  <si>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</si>
  <si>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</si>
  <si>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</si>
  <si>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</si>
  <si>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</si>
  <si>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</si>
  <si>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</si>
  <si>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</si>
  <si>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</si>
  <si>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</si>
  <si>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</si>
  <si>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</si>
  <si>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</si>
  <si>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</si>
  <si>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</si>
  <si>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</si>
  <si>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</si>
  <si>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</si>
  <si>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</si>
  <si>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</si>
  <si>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</si>
  <si>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</si>
  <si>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</si>
  <si>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</si>
  <si>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</si>
  <si>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</si>
  <si>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</si>
  <si>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</si>
  <si>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</si>
  <si>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</si>
  <si>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</si>
  <si>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</si>
  <si>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</si>
  <si>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</si>
  <si>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</si>
  <si>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</si>
  <si>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</si>
  <si>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</si>
  <si>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</si>
  <si>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</si>
  <si>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</si>
  <si>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</si>
  <si>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</si>
  <si>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</si>
  <si>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</si>
  <si>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</si>
  <si>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</si>
  <si>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</si>
  <si>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</si>
  <si>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</si>
  <si>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</si>
  <si>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</si>
  <si>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</si>
  <si>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</si>
  <si>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</si>
  <si>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</si>
  <si>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</si>
  <si>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</si>
  <si>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</si>
  <si>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</si>
  <si>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</si>
  <si>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</si>
  <si>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</si>
  <si>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</si>
  <si>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</si>
  <si>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</si>
  <si>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</si>
  <si>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</si>
  <si>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</si>
  <si>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</si>
  <si>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</si>
  <si>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</si>
  <si>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</si>
  <si>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</si>
  <si>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</si>
  <si>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</si>
  <si>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</si>
  <si>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</si>
  <si>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</si>
  <si>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</si>
  <si>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</si>
  <si>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</si>
  <si>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</si>
  <si>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</si>
  <si>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</si>
  <si>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</si>
  <si>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</si>
  <si>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</si>
  <si>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</si>
  <si>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</si>
  <si>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</si>
  <si>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</si>
  <si>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</si>
  <si>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</si>
  <si>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</si>
  <si>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</si>
  <si>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</si>
  <si>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</si>
  <si>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</si>
  <si>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</si>
  <si>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</si>
  <si>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</si>
  <si>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</si>
  <si>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</si>
  <si>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</si>
  <si>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</si>
  <si>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</si>
  <si>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</si>
  <si>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</si>
  <si>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</si>
  <si>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</si>
  <si>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</si>
  <si>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</si>
  <si>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</si>
  <si>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</si>
  <si>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</si>
  <si>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</si>
  <si>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</si>
  <si>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</si>
  <si>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</si>
  <si>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</si>
  <si>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</si>
  <si>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</si>
  <si>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</si>
  <si>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</si>
  <si>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</si>
  <si>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</si>
  <si>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</si>
  <si>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</si>
  <si>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</si>
  <si>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</si>
  <si>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</si>
  <si>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</si>
  <si>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</si>
  <si>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</si>
  <si>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</si>
  <si>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</si>
  <si>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</si>
  <si>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</si>
  <si>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</si>
  <si>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</si>
  <si>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</si>
  <si>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</si>
  <si>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</si>
  <si>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</si>
  <si>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</si>
  <si>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</si>
  <si>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</si>
  <si>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</si>
  <si>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</si>
  <si>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</si>
  <si>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</si>
  <si>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</si>
  <si>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</si>
  <si>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</si>
  <si>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</si>
  <si>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</si>
  <si>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</si>
  <si>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</si>
  <si>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</si>
  <si>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</si>
  <si>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</si>
  <si>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</si>
  <si>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</si>
  <si>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</si>
  <si>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</si>
  <si>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</si>
  <si>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</si>
  <si>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</si>
  <si>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</si>
  <si>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</si>
  <si>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</si>
  <si>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</si>
  <si>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</si>
  <si>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</si>
  <si>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</si>
  <si>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</si>
  <si>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</si>
  <si>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</si>
  <si>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</si>
  <si>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</si>
  <si>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</si>
  <si>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</si>
  <si>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</si>
  <si>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</si>
  <si>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</si>
  <si>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</si>
  <si>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</si>
  <si>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</si>
  <si>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</si>
  <si>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</si>
  <si>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</si>
  <si>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</si>
  <si>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</si>
  <si>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</si>
  <si>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</si>
  <si>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</si>
  <si>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</si>
  <si>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</si>
  <si>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</si>
  <si>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</si>
  <si>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</si>
  <si>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</si>
  <si>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</si>
  <si>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</si>
  <si>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</si>
  <si>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</si>
  <si>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</si>
  <si>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</si>
  <si>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</si>
  <si>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</si>
  <si>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</si>
  <si>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</si>
  <si>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</si>
  <si>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</si>
  <si>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</si>
  <si>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</si>
  <si>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</si>
  <si>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</si>
  <si>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</si>
  <si>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</si>
  <si>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</si>
  <si>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</si>
  <si>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</si>
  <si>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</si>
  <si>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</si>
  <si>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</si>
  <si>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</si>
  <si>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</si>
  <si>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</si>
  <si>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</si>
  <si>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</si>
  <si>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</si>
  <si>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</si>
  <si>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</si>
  <si>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</si>
  <si>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</si>
  <si>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</si>
  <si>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</si>
  <si>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</si>
  <si>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</si>
  <si>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</si>
  <si>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</si>
  <si>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</si>
  <si>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</si>
  <si>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</si>
  <si>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</si>
  <si>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</si>
  <si>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</si>
  <si>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</si>
  <si>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</si>
  <si>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</si>
  <si>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</si>
  <si>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</si>
  <si>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</si>
  <si>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</si>
  <si>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</si>
  <si>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</si>
  <si>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</si>
  <si>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</si>
  <si>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</si>
  <si>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</si>
  <si>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</si>
  <si>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</si>
  <si>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</si>
  <si>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</si>
  <si>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</si>
  <si>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</si>
  <si>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</si>
  <si>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</si>
  <si>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</si>
  <si>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</si>
  <si>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</si>
  <si>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</si>
  <si>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</si>
  <si>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</si>
  <si>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</si>
  <si>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</si>
  <si>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</si>
  <si>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</si>
  <si>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</si>
  <si>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</si>
  <si>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</si>
  <si>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</si>
  <si>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</si>
  <si>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</si>
  <si>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</si>
  <si>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</si>
  <si>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</si>
  <si>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</si>
  <si>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</si>
  <si>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</si>
  <si>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</si>
  <si>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</si>
  <si>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</si>
  <si>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</si>
  <si>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</si>
  <si>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</si>
  <si>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</si>
  <si>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</si>
  <si>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</si>
  <si>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</si>
  <si>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</si>
  <si>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</si>
  <si>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</si>
  <si>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</si>
  <si>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</si>
  <si>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</si>
  <si>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</si>
  <si>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</si>
  <si>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</si>
  <si>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</si>
  <si>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</si>
  <si>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</si>
  <si>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</si>
  <si>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</si>
  <si>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</si>
  <si>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</si>
  <si>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</si>
  <si>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</si>
  <si>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</si>
  <si>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</si>
  <si>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</si>
  <si>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</si>
  <si>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</si>
  <si>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</si>
  <si>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</si>
  <si>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</si>
  <si>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</si>
  <si>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</si>
  <si>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</si>
  <si>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</si>
  <si>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</si>
  <si>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</si>
  <si>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</si>
  <si>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</si>
  <si>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</si>
  <si>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</si>
  <si>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</si>
  <si>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</si>
  <si>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</si>
  <si>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</si>
  <si>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</si>
  <si>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</si>
  <si>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</si>
  <si>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</si>
  <si>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</si>
  <si>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</si>
  <si>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</si>
  <si>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</si>
  <si>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</si>
  <si>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</si>
  <si>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</si>
  <si>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</si>
  <si>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</si>
  <si>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</si>
  <si>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</si>
  <si>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</si>
  <si>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</si>
  <si>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</si>
  <si>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</si>
  <si>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</si>
  <si>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</si>
  <si>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</si>
  <si>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</si>
  <si>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</si>
  <si>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</si>
  <si>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</si>
  <si>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</si>
  <si>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</si>
  <si>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</si>
  <si>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</si>
  <si>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</si>
  <si>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</si>
  <si>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</si>
  <si>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</si>
  <si>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</si>
  <si>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</si>
  <si>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</si>
  <si>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</si>
  <si>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</si>
  <si>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</si>
  <si>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</si>
  <si>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</si>
  <si>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</si>
  <si>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</si>
  <si>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</si>
  <si>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</si>
  <si>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</si>
  <si>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</si>
  <si>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</si>
  <si>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</si>
  <si>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</si>
  <si>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</si>
  <si>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</si>
  <si>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</si>
  <si>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</si>
  <si>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</si>
  <si>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</si>
  <si>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</si>
  <si>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</si>
  <si>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</si>
  <si>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</si>
  <si>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</si>
  <si>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</si>
  <si>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</si>
  <si>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</si>
  <si>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</si>
  <si>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</si>
  <si>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</si>
  <si>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</si>
  <si>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</si>
  <si>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</si>
  <si>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</si>
  <si>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</si>
  <si>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</si>
  <si>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</si>
  <si>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</si>
  <si>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</si>
  <si>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</si>
  <si>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</si>
  <si>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</si>
  <si>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</si>
  <si>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</si>
  <si>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</si>
  <si>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</si>
  <si>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</si>
  <si>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</si>
  <si>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</si>
  <si>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</si>
  <si>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</si>
  <si>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</si>
  <si>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</si>
  <si>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</si>
  <si>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</si>
  <si>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</si>
  <si>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</si>
  <si>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</si>
  <si>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</si>
  <si>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</si>
  <si>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</si>
  <si>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</si>
  <si>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</si>
  <si>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</si>
  <si>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</si>
  <si>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</si>
  <si>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</si>
  <si>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</si>
  <si>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</si>
  <si>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</si>
  <si>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</si>
  <si>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</si>
  <si>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</si>
  <si>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</si>
  <si>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</si>
  <si>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</si>
  <si>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</si>
  <si>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</si>
  <si>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</si>
  <si>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</si>
  <si>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</si>
  <si>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</si>
  <si>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</si>
  <si>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</si>
  <si>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</si>
  <si>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</si>
  <si>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</si>
  <si>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</si>
  <si>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</si>
  <si>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</si>
  <si>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</si>
  <si>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</si>
  <si>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</si>
  <si>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</si>
  <si>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</si>
  <si>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</si>
  <si>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</si>
  <si>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</si>
  <si>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</si>
  <si>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</si>
  <si>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</si>
  <si>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</si>
  <si>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</si>
  <si>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</si>
  <si>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</si>
  <si>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</si>
  <si>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</si>
  <si>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</si>
  <si>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</si>
  <si>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</si>
  <si>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</si>
  <si>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</si>
  <si>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</si>
  <si>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</si>
  <si>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</si>
  <si>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</si>
  <si>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</si>
  <si>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</si>
  <si>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</si>
  <si>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</si>
  <si>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</si>
  <si>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</si>
  <si>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</si>
  <si>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</si>
  <si>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</si>
  <si>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</si>
  <si>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</si>
  <si>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</si>
  <si>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</si>
  <si>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</si>
  <si>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</si>
  <si>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</si>
  <si>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</si>
  <si>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</si>
  <si>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</si>
  <si>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</si>
  <si>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</si>
  <si>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</si>
  <si>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</si>
  <si>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</si>
  <si>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</si>
  <si>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</si>
  <si>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</si>
  <si>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</si>
  <si>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</si>
  <si>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</si>
  <si>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</si>
  <si>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</si>
  <si>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</si>
  <si>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</si>
  <si>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</si>
  <si>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</si>
  <si>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</si>
  <si>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</si>
  <si>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</si>
  <si>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</si>
  <si>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</si>
  <si>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</si>
  <si>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</si>
  <si>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</si>
  <si>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</si>
  <si>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</si>
  <si>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</si>
  <si>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</si>
  <si>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</si>
  <si>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</si>
  <si>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</si>
  <si>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</si>
  <si>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</si>
  <si>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</si>
  <si>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</si>
  <si>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</si>
  <si>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</si>
  <si>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</si>
  <si>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</si>
  <si>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</si>
  <si>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</si>
  <si>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</si>
  <si>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</si>
  <si>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</si>
  <si>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</si>
  <si>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</si>
  <si>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</si>
  <si>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</si>
  <si>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</si>
  <si>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</si>
  <si>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</si>
  <si>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</si>
  <si>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</si>
  <si>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</si>
  <si>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</si>
  <si>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</si>
  <si>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</si>
  <si>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</si>
  <si>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</si>
  <si>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</si>
  <si>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</si>
  <si>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</si>
  <si>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</si>
  <si>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</si>
  <si>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</si>
  <si>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</si>
  <si>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</si>
  <si>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</si>
  <si>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</si>
  <si>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</si>
  <si>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</si>
  <si>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</si>
  <si>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</si>
  <si>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</si>
  <si>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</si>
  <si>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</si>
  <si>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</si>
  <si>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</si>
  <si>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</si>
  <si>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</si>
  <si>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</si>
  <si>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</si>
  <si>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</si>
  <si>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</si>
  <si>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</si>
  <si>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</si>
  <si>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</si>
  <si>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</si>
  <si>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</si>
  <si>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</si>
  <si>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</si>
  <si>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</si>
  <si>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</si>
  <si>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</si>
  <si>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</si>
  <si>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</si>
  <si>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</si>
  <si>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</si>
  <si>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</si>
  <si>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</si>
  <si>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</si>
  <si>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</si>
  <si>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</si>
  <si>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</si>
  <si>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</si>
  <si>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</si>
  <si>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</si>
  <si>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</si>
  <si>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</si>
  <si>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</si>
  <si>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</si>
  <si>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</si>
  <si>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</si>
  <si>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</si>
  <si>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</si>
  <si>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</si>
  <si>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</si>
  <si>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</si>
  <si>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</si>
  <si>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</si>
  <si>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</si>
  <si>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</si>
  <si>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</si>
  <si>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</si>
  <si>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</si>
  <si>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</si>
  <si>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</si>
  <si>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</si>
  <si>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</si>
  <si>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</si>
  <si>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</si>
  <si>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</si>
  <si>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</si>
  <si>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</si>
  <si>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</si>
  <si>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</si>
  <si>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</si>
  <si>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</si>
  <si>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</si>
  <si>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</si>
  <si>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</si>
  <si>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</si>
  <si>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</si>
  <si>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</si>
  <si>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</si>
  <si>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</si>
  <si>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</si>
  <si>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</si>
  <si>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</si>
  <si>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</si>
  <si>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</si>
  <si>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</si>
  <si>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</si>
  <si>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</si>
  <si>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</si>
  <si>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</si>
  <si>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</si>
  <si>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</si>
  <si>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</si>
  <si>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</si>
  <si>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</si>
  <si>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</si>
  <si>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</si>
  <si>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</si>
  <si>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</si>
  <si>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</si>
  <si>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</si>
  <si>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</si>
  <si>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</si>
  <si>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</si>
  <si>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</si>
  <si>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</si>
  <si>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</si>
  <si>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</si>
  <si>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</si>
  <si>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</si>
  <si>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</si>
  <si>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</si>
  <si>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</si>
  <si>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</si>
  <si>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</si>
  <si>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</si>
  <si>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</si>
  <si>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</si>
  <si>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</si>
  <si>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</si>
  <si>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</si>
  <si>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</si>
  <si>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</si>
  <si>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</si>
  <si>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</si>
  <si>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</si>
  <si>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</si>
  <si>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</si>
  <si>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</si>
  <si>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</si>
  <si>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</si>
  <si>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</si>
  <si>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</si>
  <si>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</si>
  <si>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</si>
  <si>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</si>
  <si>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</si>
  <si>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</si>
  <si>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</si>
  <si>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</si>
  <si>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</si>
  <si>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</si>
  <si>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</si>
  <si>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</si>
  <si>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</si>
  <si>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</si>
  <si>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</si>
  <si>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</si>
  <si>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</si>
  <si>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</si>
  <si>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</si>
  <si>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</si>
  <si>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</si>
  <si>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</si>
  <si>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</si>
  <si>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</si>
  <si>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</si>
  <si>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</si>
  <si>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</si>
  <si>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</si>
  <si>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</si>
  <si>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</si>
  <si>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</si>
  <si>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</si>
  <si>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</si>
  <si>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</si>
  <si>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</si>
  <si>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</si>
  <si>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</si>
  <si>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</si>
  <si>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</si>
  <si>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</si>
  <si>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</si>
  <si>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</si>
  <si>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</si>
  <si>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</si>
  <si>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</si>
  <si>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</si>
  <si>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</si>
  <si>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</si>
  <si>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</si>
  <si>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</si>
  <si>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</si>
  <si>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</si>
  <si>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</si>
  <si>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</si>
  <si>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</si>
  <si>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</si>
  <si>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</si>
  <si>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</si>
  <si>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</si>
  <si>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</si>
  <si>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</si>
  <si>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</si>
  <si>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</si>
  <si>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</si>
  <si>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</si>
  <si>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</si>
  <si>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</si>
  <si>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</si>
  <si>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</si>
  <si>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</si>
  <si>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</si>
  <si>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</si>
  <si>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</si>
  <si>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</si>
  <si>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</si>
  <si>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</si>
  <si>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</si>
  <si>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</si>
  <si>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</si>
  <si>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</si>
  <si>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</si>
  <si>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</si>
  <si>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</si>
  <si>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</si>
  <si>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</si>
  <si>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</si>
  <si>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</si>
  <si>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</si>
  <si>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</si>
  <si>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</si>
  <si>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</si>
  <si>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</si>
  <si>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</si>
  <si>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</si>
  <si>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</si>
  <si>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</si>
  <si>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</si>
  <si>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</si>
  <si>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</si>
  <si>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</si>
  <si>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</si>
  <si>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</si>
  <si>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</si>
  <si>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</si>
  <si>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</si>
  <si>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</si>
  <si>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</si>
  <si>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</si>
  <si>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</si>
  <si>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</si>
  <si>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</si>
  <si>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</si>
  <si>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</si>
  <si>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</si>
  <si>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</si>
  <si>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</si>
  <si>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</si>
  <si>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</si>
  <si>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</si>
  <si>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</si>
  <si>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</si>
  <si>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</si>
  <si>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</si>
  <si>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</si>
  <si>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</si>
  <si>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</si>
  <si>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</si>
  <si>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</si>
  <si>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</si>
  <si>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</si>
  <si>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</si>
  <si>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</si>
  <si>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</si>
  <si>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</si>
  <si>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</si>
  <si>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</si>
  <si>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</si>
  <si>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</si>
  <si>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</si>
  <si>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</si>
  <si>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</si>
  <si>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</si>
  <si>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</si>
  <si>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</si>
  <si>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</si>
  <si>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</si>
  <si>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</si>
  <si>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</si>
  <si>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</si>
  <si>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</si>
  <si>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</si>
  <si>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</si>
  <si>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</si>
  <si>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</si>
  <si>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</si>
  <si>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</si>
  <si>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</si>
  <si>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</si>
  <si>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</si>
  <si>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</si>
  <si>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</si>
  <si>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</si>
  <si>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</si>
  <si>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</si>
  <si>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</si>
  <si>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</si>
  <si>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</si>
  <si>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</si>
  <si>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</si>
  <si>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</si>
  <si>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</si>
  <si>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</si>
  <si>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</si>
  <si>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</si>
  <si>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</si>
  <si>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</si>
  <si>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</si>
  <si>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</si>
  <si>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</si>
  <si>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</si>
  <si>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</si>
  <si>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</si>
  <si>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</si>
  <si>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</si>
  <si>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</si>
  <si>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</si>
  <si>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</si>
  <si>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</si>
  <si>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</si>
  <si>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</si>
  <si>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</si>
  <si>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</si>
  <si>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</si>
  <si>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</si>
  <si>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</si>
  <si>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</si>
  <si>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</si>
  <si>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</si>
  <si>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</si>
  <si>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</si>
  <si>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</si>
  <si>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</si>
  <si>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</si>
  <si>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</si>
  <si>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</si>
  <si>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</si>
  <si>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</si>
  <si>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</si>
  <si>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</si>
  <si>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</si>
  <si>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</si>
  <si>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</si>
  <si>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</si>
  <si>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</si>
  <si>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</si>
  <si>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</si>
  <si>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</si>
  <si>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</si>
  <si>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</si>
  <si>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</si>
  <si>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</si>
  <si>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</si>
  <si>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</si>
  <si>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</si>
  <si>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</si>
  <si>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</si>
  <si>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</si>
  <si>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</si>
  <si>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</si>
  <si>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</si>
  <si>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</si>
  <si>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</si>
  <si>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</si>
  <si>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</si>
  <si>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</si>
  <si>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</si>
  <si>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</si>
  <si>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</si>
  <si>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</si>
  <si>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</si>
  <si>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</si>
  <si>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</si>
  <si>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</si>
  <si>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</si>
  <si>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</si>
  <si>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</si>
  <si>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</si>
  <si>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</si>
  <si>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</si>
  <si>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</si>
  <si>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</si>
  <si>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</si>
  <si>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</si>
  <si>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</si>
  <si>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</si>
  <si>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</si>
  <si>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</si>
  <si>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</si>
  <si>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</si>
  <si>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</si>
  <si>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</si>
  <si>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</si>
  <si>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</si>
  <si>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</si>
  <si>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</si>
  <si>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</si>
  <si>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</si>
  <si>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</si>
  <si>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</si>
  <si>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</si>
  <si>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</si>
  <si>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</si>
  <si>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</si>
  <si>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</si>
  <si>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</si>
  <si>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</si>
  <si>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</si>
  <si>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</si>
  <si>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</si>
  <si>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</si>
  <si>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</si>
  <si>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</si>
  <si>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</si>
  <si>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</si>
  <si>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</si>
  <si>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</si>
  <si>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</si>
  <si>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</si>
  <si>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</si>
  <si>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</si>
  <si>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</si>
  <si>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</si>
  <si>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</si>
  <si>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</si>
  <si>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</si>
  <si>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</si>
  <si>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</si>
  <si>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</si>
  <si>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</si>
  <si>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</si>
  <si>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</si>
  <si>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</si>
  <si>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</si>
  <si>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</si>
  <si>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</si>
  <si>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</si>
  <si>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</si>
  <si>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</si>
  <si>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</si>
  <si>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</si>
  <si>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</si>
  <si>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</si>
  <si>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</si>
  <si>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</si>
  <si>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</si>
  <si>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</si>
  <si>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</si>
  <si>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</si>
  <si>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</si>
  <si>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</si>
  <si>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</si>
  <si>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</si>
  <si>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</si>
  <si>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</si>
  <si>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</si>
  <si>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</si>
  <si>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</si>
  <si>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</si>
  <si>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</si>
  <si>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</si>
  <si>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</si>
  <si>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</si>
  <si>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</si>
  <si>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</si>
  <si>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</si>
  <si>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</si>
  <si>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</si>
  <si>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</si>
  <si>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</si>
  <si>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</si>
  <si>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</si>
  <si>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</si>
  <si>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</si>
  <si>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</si>
  <si>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</si>
  <si>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</si>
  <si>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</si>
  <si>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</si>
  <si>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</si>
  <si>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</si>
  <si>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</si>
  <si>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</si>
  <si>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</si>
  <si>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</si>
  <si>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</si>
  <si>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</si>
  <si>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</si>
  <si>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</si>
  <si>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</si>
  <si>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</si>
  <si>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</si>
  <si>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</si>
  <si>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</si>
  <si>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</si>
  <si>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</si>
  <si>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</si>
  <si>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</si>
  <si>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</si>
  <si>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</si>
  <si>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</si>
  <si>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</si>
  <si>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</si>
  <si>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</si>
  <si>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</si>
  <si>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</si>
  <si>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</si>
  <si>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</si>
  <si>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</si>
  <si>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</si>
  <si>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</si>
  <si>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</si>
  <si>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</si>
  <si>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</si>
  <si>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</si>
  <si>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</si>
  <si>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</si>
  <si>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</si>
  <si>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</si>
  <si>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</si>
  <si>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</si>
  <si>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</si>
  <si>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</si>
  <si>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</si>
  <si>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</si>
  <si>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</si>
  <si>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</si>
  <si>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</si>
  <si>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</si>
  <si>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</si>
  <si>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</si>
  <si>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</si>
  <si>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</si>
  <si>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</si>
  <si>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</si>
  <si>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</si>
  <si>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</si>
  <si>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</si>
  <si>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</si>
  <si>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</si>
  <si>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</si>
  <si>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</si>
  <si>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</si>
  <si>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</si>
  <si>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</si>
  <si>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</si>
  <si>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</si>
  <si>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</si>
  <si>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</si>
  <si>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</si>
  <si>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</si>
  <si>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</si>
  <si>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</si>
  <si>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</si>
  <si>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</si>
  <si>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</si>
  <si>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</si>
  <si>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</si>
  <si>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</si>
  <si>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</si>
  <si>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</si>
  <si>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</si>
  <si>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</si>
  <si>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</si>
  <si>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</si>
  <si>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</si>
  <si>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</si>
  <si>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</si>
  <si>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</si>
  <si>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</si>
  <si>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</si>
  <si>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</si>
  <si>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</si>
  <si>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</si>
  <si>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</si>
  <si>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</si>
  <si>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</si>
  <si>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</si>
  <si>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</si>
  <si>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</si>
  <si>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</si>
  <si>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</si>
  <si>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</si>
  <si>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</si>
  <si>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</si>
  <si>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</si>
  <si>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</si>
  <si>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</si>
  <si>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</si>
  <si>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</si>
  <si>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</si>
  <si>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</si>
  <si>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</si>
  <si>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</si>
  <si>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</si>
  <si>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</si>
  <si>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</si>
  <si>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</si>
  <si>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</si>
  <si>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</si>
  <si>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</si>
  <si>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</si>
  <si>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</si>
  <si>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</si>
  <si>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</si>
  <si>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</si>
  <si>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</si>
  <si>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</si>
  <si>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</si>
  <si>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</si>
  <si>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</si>
  <si>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</si>
  <si>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</si>
  <si>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</si>
  <si>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</si>
  <si>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</si>
  <si>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</si>
  <si>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</si>
  <si>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</si>
  <si>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</si>
  <si>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</si>
  <si>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</si>
  <si>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</si>
  <si>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</si>
  <si>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</si>
  <si>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</si>
  <si>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</si>
  <si>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</si>
  <si>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</si>
  <si>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</si>
  <si>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</si>
  <si>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</si>
  <si>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</si>
  <si>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</si>
  <si>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</si>
  <si>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</si>
  <si>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</si>
  <si>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</si>
  <si>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</si>
  <si>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</si>
  <si>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</si>
  <si>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</si>
  <si>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</si>
  <si>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</si>
  <si>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</si>
  <si>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</si>
  <si>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</si>
  <si>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</si>
  <si>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</si>
  <si>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</si>
  <si>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</si>
  <si>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</si>
  <si>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</si>
  <si>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</si>
  <si>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</si>
  <si>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</si>
  <si>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</si>
  <si>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</si>
  <si>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</si>
  <si>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</si>
  <si>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</si>
  <si>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</si>
  <si>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</si>
  <si>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</si>
  <si>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</si>
  <si>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</si>
  <si>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</si>
  <si>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</si>
  <si>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</si>
  <si>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</si>
  <si>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</si>
  <si>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</si>
  <si>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</si>
  <si>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</si>
  <si>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</si>
  <si>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</si>
  <si>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</si>
  <si>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</si>
  <si>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</si>
  <si>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</si>
  <si>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</si>
  <si>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</si>
  <si>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</si>
  <si>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</si>
  <si>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</si>
  <si>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</si>
  <si>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</si>
  <si>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</si>
  <si>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</si>
  <si>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</si>
  <si>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</si>
  <si>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</si>
  <si>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</si>
  <si>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</si>
  <si>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</si>
  <si>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</si>
  <si>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</si>
  <si>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</si>
  <si>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</si>
  <si>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</si>
  <si>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</si>
  <si>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</si>
  <si>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</si>
  <si>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</si>
  <si>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</si>
  <si>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</si>
  <si>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</si>
  <si>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</si>
  <si>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</si>
  <si>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</si>
  <si>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</si>
  <si>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</si>
  <si>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</si>
  <si>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</si>
  <si>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</si>
  <si>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</si>
  <si>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</si>
  <si>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</si>
  <si>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</si>
  <si>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</si>
  <si>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</si>
  <si>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</si>
  <si>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</si>
  <si>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</si>
  <si>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</si>
  <si>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</si>
  <si>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</si>
  <si>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</si>
  <si>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</si>
  <si>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</si>
  <si>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</si>
  <si>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</si>
  <si>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</si>
  <si>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</si>
  <si>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</si>
  <si>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</si>
  <si>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</si>
  <si>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</si>
  <si>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</si>
  <si>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</si>
  <si>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</si>
  <si>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</si>
  <si>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</si>
  <si>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</si>
  <si>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</si>
  <si>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</si>
  <si>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</si>
  <si>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</si>
  <si>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</si>
  <si>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</si>
  <si>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</si>
  <si>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</si>
  <si>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</si>
  <si>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</si>
  <si>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</si>
  <si>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</si>
  <si>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</si>
  <si>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</si>
  <si>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</si>
  <si>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</si>
  <si>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</si>
  <si>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</si>
  <si>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</si>
  <si>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</si>
  <si>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</si>
  <si>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</si>
  <si>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</si>
  <si>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</si>
  <si>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</si>
  <si>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</si>
  <si>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</si>
  <si>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</si>
  <si>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</si>
  <si>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</si>
  <si>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</si>
  <si>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</si>
  <si>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</si>
  <si>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</si>
  <si>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</si>
  <si>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</si>
  <si>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</si>
  <si>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</si>
  <si>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</si>
  <si>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</si>
  <si>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</si>
  <si>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</si>
  <si>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</si>
  <si>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</si>
  <si>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</si>
  <si>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</si>
  <si>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</si>
  <si>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</si>
  <si>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</si>
  <si>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</si>
  <si>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</si>
  <si>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</si>
  <si>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</si>
  <si>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</si>
  <si>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</si>
  <si>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</si>
  <si>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</si>
  <si>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</si>
  <si>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</si>
  <si>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</si>
  <si>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</si>
  <si>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</si>
  <si>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</si>
  <si>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</si>
  <si>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</si>
  <si>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</si>
  <si>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</si>
  <si>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</si>
  <si>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</si>
  <si>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</si>
  <si>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</si>
  <si>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</si>
  <si>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</si>
  <si>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</si>
  <si>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</si>
  <si>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</si>
  <si>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</si>
  <si>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</si>
  <si>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</si>
  <si>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</si>
  <si>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</si>
  <si>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</si>
  <si>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</si>
  <si>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</si>
  <si>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</si>
  <si>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</si>
  <si>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</si>
  <si>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</si>
  <si>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</si>
  <si>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</si>
  <si>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</si>
  <si>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</si>
  <si>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</si>
  <si>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</si>
  <si>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</si>
  <si>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</si>
  <si>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</si>
  <si>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</si>
  <si>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</si>
  <si>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</si>
  <si>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</si>
  <si>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</si>
  <si>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</si>
  <si>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</si>
  <si>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</si>
  <si>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</si>
  <si>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</si>
  <si>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</si>
  <si>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</si>
  <si>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</si>
  <si>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</si>
  <si>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</si>
  <si>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</si>
  <si>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</si>
  <si>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</si>
  <si>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</si>
  <si>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</si>
  <si>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</si>
  <si>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</si>
  <si>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</si>
  <si>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</si>
  <si>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</si>
  <si>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</si>
  <si>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</si>
  <si>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</si>
  <si>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</si>
  <si>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</si>
  <si>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</si>
  <si>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</si>
  <si>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</si>
  <si>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</si>
  <si>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</si>
  <si>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</si>
  <si>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</si>
  <si>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</si>
  <si>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</si>
  <si>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</si>
  <si>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</si>
  <si>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</si>
  <si>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</si>
  <si>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</si>
  <si>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</si>
  <si>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</si>
  <si>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</si>
  <si>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</si>
  <si>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</si>
  <si>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</si>
  <si>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</si>
  <si>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</si>
  <si>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</si>
  <si>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</si>
  <si>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</si>
  <si>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</si>
  <si>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</si>
  <si>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</si>
  <si>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</si>
  <si>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</si>
  <si>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</si>
  <si>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</si>
  <si>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</si>
  <si>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</si>
  <si>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</si>
  <si>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</si>
  <si>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</si>
  <si>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</si>
  <si>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</si>
  <si>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</si>
  <si>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</si>
  <si>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</si>
  <si>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</si>
  <si>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</si>
  <si>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</si>
  <si>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</si>
  <si>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</si>
  <si>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</si>
  <si>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</si>
  <si>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</si>
  <si>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</si>
  <si>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</si>
  <si>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</si>
  <si>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</si>
  <si>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</si>
  <si>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</si>
  <si>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</si>
  <si>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</si>
  <si>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</si>
  <si>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</si>
  <si>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</si>
  <si>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</si>
  <si>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</si>
  <si>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</si>
  <si>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</si>
  <si>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</si>
  <si>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</si>
  <si>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</si>
  <si>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</si>
  <si>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</si>
  <si>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</si>
  <si>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</si>
  <si>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</si>
  <si>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</si>
  <si>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</si>
  <si>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</si>
  <si>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</si>
  <si>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</si>
  <si>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</si>
  <si>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</si>
  <si>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</si>
  <si>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</si>
  <si>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</si>
  <si>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</si>
  <si>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</si>
  <si>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</si>
  <si>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</si>
  <si>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</si>
  <si>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</si>
  <si>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</si>
  <si>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</si>
  <si>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</si>
  <si>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</si>
  <si>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</si>
  <si>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</si>
  <si>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</si>
  <si>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</si>
  <si>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</si>
  <si>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</si>
  <si>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</si>
  <si>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</si>
  <si>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</si>
  <si>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</si>
  <si>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</si>
  <si>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</si>
  <si>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</si>
  <si>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</si>
  <si>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</si>
  <si>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</si>
  <si>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</si>
  <si>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</si>
  <si>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</si>
  <si>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</si>
  <si>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</si>
  <si>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</si>
  <si>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</si>
  <si>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</si>
  <si>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</si>
  <si>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</si>
  <si>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</si>
  <si>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</si>
  <si>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</si>
  <si>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</si>
  <si>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</si>
  <si>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</si>
  <si>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</si>
  <si>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</si>
  <si>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</si>
  <si>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</si>
  <si>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</si>
  <si>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</si>
  <si>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</si>
  <si>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</si>
  <si>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</si>
  <si>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</si>
  <si>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</si>
  <si>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</si>
  <si>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</si>
  <si>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</si>
  <si>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</si>
  <si>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</si>
  <si>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</si>
  <si>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</si>
  <si>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</si>
  <si>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</si>
  <si>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</si>
  <si>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</si>
  <si>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</si>
  <si>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</si>
  <si>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</si>
  <si>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</si>
  <si>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</si>
  <si>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</si>
  <si>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</si>
  <si>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</si>
  <si>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</si>
  <si>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</si>
  <si>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</si>
  <si>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</si>
  <si>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</si>
  <si>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</si>
  <si>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</si>
  <si>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</si>
  <si>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</si>
  <si>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</si>
  <si>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</si>
  <si>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</si>
  <si>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</si>
  <si>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</si>
  <si>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</si>
  <si>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</si>
  <si>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</si>
  <si>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</si>
  <si>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</si>
  <si>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</si>
  <si>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</si>
  <si>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</si>
  <si>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</si>
  <si>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</si>
  <si>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</si>
  <si>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</si>
  <si>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</si>
  <si>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</si>
  <si>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</si>
  <si>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</si>
  <si>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</si>
  <si>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</si>
  <si>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</si>
  <si>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</si>
  <si>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</si>
  <si>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</si>
  <si>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</si>
  <si>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</si>
  <si>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</si>
  <si>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</si>
  <si>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</si>
  <si>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</si>
  <si>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</si>
  <si>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</si>
  <si>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</si>
  <si>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</si>
  <si>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</si>
  <si>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</si>
  <si>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</si>
  <si>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</si>
  <si>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</si>
  <si>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</si>
  <si>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</si>
  <si>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</si>
  <si>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</si>
  <si>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</si>
  <si>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</si>
  <si>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</si>
  <si>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</si>
  <si>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</si>
  <si>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</si>
  <si>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</si>
  <si>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</si>
  <si>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</si>
  <si>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</si>
  <si>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</si>
  <si>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</si>
  <si>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</si>
  <si>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</si>
  <si>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</si>
  <si>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</si>
  <si>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</si>
  <si>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</si>
  <si>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</si>
  <si>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</si>
  <si>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</si>
  <si>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</si>
  <si>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</si>
  <si>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</si>
  <si>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</si>
  <si>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</si>
  <si>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</si>
  <si>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</si>
  <si>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</si>
  <si>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</si>
  <si>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</si>
  <si>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</si>
  <si>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</si>
  <si>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</si>
  <si>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</si>
  <si>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</si>
  <si>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</si>
  <si>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</si>
  <si>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</si>
  <si>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</si>
  <si>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</si>
  <si>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</si>
  <si>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</si>
  <si>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</si>
  <si>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</si>
  <si>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</si>
  <si>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</si>
  <si>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</si>
  <si>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</si>
  <si>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</si>
  <si>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</si>
  <si>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</si>
  <si>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</si>
  <si>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</si>
  <si>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</si>
  <si>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</si>
  <si>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</si>
  <si>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</si>
  <si>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</si>
  <si>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</si>
  <si>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</si>
  <si>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</si>
  <si>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</si>
  <si>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</si>
  <si>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</si>
  <si>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</si>
  <si>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</si>
  <si>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</si>
  <si>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</si>
  <si>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</si>
  <si>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</si>
  <si>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</si>
  <si>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</si>
  <si>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</si>
  <si>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</si>
  <si>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</si>
  <si>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</si>
  <si>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</si>
  <si>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</si>
  <si>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</si>
  <si>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</si>
  <si>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</si>
  <si>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</si>
  <si>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</si>
  <si>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</si>
  <si>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</si>
  <si>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</si>
  <si>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</si>
  <si>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</si>
  <si>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</si>
  <si>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</si>
  <si>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</si>
  <si>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</si>
  <si>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</si>
  <si>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</si>
  <si>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</si>
  <si>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</si>
  <si>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</si>
  <si>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</si>
  <si>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</si>
  <si>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</si>
  <si>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</si>
  <si>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</si>
  <si>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</si>
  <si>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</si>
  <si>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</si>
  <si>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</si>
  <si>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</si>
  <si>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</si>
  <si>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</si>
  <si>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</si>
  <si>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</si>
  <si>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</si>
  <si>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</si>
  <si>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</si>
  <si>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</si>
  <si>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</si>
  <si>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</si>
  <si>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</si>
  <si>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</si>
  <si>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</si>
  <si>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</si>
  <si>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</si>
  <si>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</si>
  <si>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</si>
  <si>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</si>
  <si>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</si>
  <si>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</si>
  <si>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</si>
  <si>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</si>
  <si>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</si>
  <si>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</si>
  <si>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</si>
  <si>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</si>
  <si>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</si>
  <si>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</si>
  <si>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</si>
  <si>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</si>
  <si>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</si>
  <si>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</si>
  <si>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</si>
  <si>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</si>
  <si>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</si>
  <si>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</si>
  <si>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</si>
  <si>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</si>
  <si>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</si>
  <si>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</si>
  <si>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</si>
  <si>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</si>
  <si>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</si>
  <si>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</si>
  <si>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</si>
  <si>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</si>
  <si>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</si>
  <si>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</si>
  <si>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</si>
  <si>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</si>
  <si>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</si>
  <si>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</si>
  <si>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</si>
  <si>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</si>
  <si>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</si>
  <si>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</si>
  <si>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</si>
  <si>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</si>
  <si>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</si>
  <si>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</si>
  <si>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</si>
  <si>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</si>
  <si>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</si>
  <si>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</si>
  <si>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</si>
  <si>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</si>
  <si>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</si>
  <si>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</si>
  <si>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</si>
  <si>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</si>
  <si>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</si>
  <si>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</si>
  <si>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</si>
  <si>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</si>
  <si>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</si>
  <si>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</si>
  <si>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</si>
  <si>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</si>
  <si>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</si>
  <si>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</si>
  <si>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</si>
  <si>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</si>
  <si>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</si>
  <si>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</si>
  <si>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</si>
  <si>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</si>
  <si>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</si>
  <si>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</si>
  <si>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</si>
  <si>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</si>
  <si>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</si>
  <si>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</si>
  <si>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</si>
  <si>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</si>
  <si>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</si>
  <si>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</si>
  <si>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</si>
  <si>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</si>
  <si>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</si>
  <si>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</si>
  <si>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</si>
  <si>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</si>
  <si>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</si>
  <si>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</si>
  <si>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</si>
  <si>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</si>
  <si>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</si>
  <si>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</si>
  <si>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</si>
  <si>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</si>
  <si>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</si>
  <si>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</si>
  <si>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</si>
  <si>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</si>
  <si>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</si>
  <si>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</si>
  <si>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</si>
  <si>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</si>
  <si>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</si>
  <si>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</si>
  <si>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</si>
  <si>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</si>
  <si>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</si>
  <si>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</si>
  <si>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</si>
  <si>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</si>
  <si>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</si>
  <si>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</si>
  <si>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</si>
  <si>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</si>
  <si>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</si>
  <si>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</si>
  <si>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</si>
  <si>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</si>
  <si>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</si>
  <si>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</si>
  <si>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</si>
  <si>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</si>
  <si>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</si>
  <si>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</si>
  <si>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</si>
  <si>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</si>
  <si>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</si>
  <si>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</si>
  <si>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</si>
  <si>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</si>
  <si>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</si>
  <si>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</si>
  <si>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</si>
  <si>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</si>
  <si>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</si>
  <si>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</si>
  <si>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</si>
  <si>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</si>
  <si>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</si>
  <si>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</si>
  <si>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</si>
  <si>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</si>
  <si>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</si>
  <si>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</si>
  <si>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</si>
  <si>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</si>
  <si>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</si>
  <si>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</si>
  <si>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</si>
  <si>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</si>
  <si>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</si>
  <si>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</si>
  <si>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</si>
  <si>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</si>
  <si>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</si>
  <si>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</si>
  <si>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</si>
  <si>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</si>
  <si>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</si>
  <si>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</si>
  <si>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</si>
  <si>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</si>
  <si>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</si>
  <si>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</si>
  <si>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</si>
  <si>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</si>
  <si>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</si>
  <si>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</si>
  <si>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</si>
  <si>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</si>
  <si>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</si>
  <si>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</si>
  <si>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</si>
  <si>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</si>
  <si>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</si>
  <si>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</si>
  <si>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</si>
  <si>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</si>
  <si>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</si>
  <si>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</si>
  <si>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</si>
  <si>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</si>
  <si>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</si>
  <si>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</si>
  <si>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</si>
  <si>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</si>
  <si>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</si>
  <si>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</si>
  <si>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</si>
  <si>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</si>
  <si>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</si>
  <si>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</si>
  <si>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</si>
  <si>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</si>
  <si>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</si>
  <si>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</si>
  <si>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</si>
  <si>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</si>
  <si>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</si>
  <si>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</si>
  <si>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</si>
  <si>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</si>
  <si>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</si>
  <si>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</si>
  <si>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</si>
  <si>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</si>
  <si>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</si>
  <si>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</si>
  <si>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</si>
  <si>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</si>
  <si>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</si>
  <si>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</si>
  <si>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</si>
  <si>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</si>
  <si>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</si>
  <si>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</si>
  <si>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</si>
  <si>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</si>
  <si>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</si>
  <si>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</si>
  <si>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</si>
  <si>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</si>
  <si>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</si>
  <si>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</si>
  <si>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</si>
  <si>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</si>
  <si>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</si>
  <si>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</si>
  <si>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</si>
  <si>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</si>
  <si>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</si>
  <si>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</si>
  <si>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</si>
  <si>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</si>
  <si>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</si>
  <si>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</si>
  <si>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</si>
  <si>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</si>
  <si>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</si>
  <si>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</si>
  <si>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</si>
  <si>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</si>
  <si>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</si>
  <si>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</si>
  <si>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</si>
  <si>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</si>
  <si>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</si>
  <si>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</si>
  <si>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</si>
  <si>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</si>
  <si>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</si>
  <si>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</si>
  <si>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</si>
  <si>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</si>
  <si>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</si>
  <si>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</si>
  <si>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</si>
  <si>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</si>
  <si>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</si>
  <si>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</si>
  <si>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</si>
  <si>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</si>
  <si>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</si>
  <si>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</si>
  <si>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</si>
  <si>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</si>
  <si>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</si>
  <si>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</si>
  <si>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</si>
  <si>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</si>
  <si>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</si>
  <si>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</si>
  <si>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</si>
  <si>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</si>
  <si>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</si>
  <si>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</si>
  <si>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</si>
  <si>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</si>
  <si>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</si>
  <si>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</si>
  <si>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</si>
  <si>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</si>
  <si>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</si>
  <si>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</si>
  <si>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</si>
  <si>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</si>
  <si>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</si>
  <si>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</si>
  <si>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</si>
  <si>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</si>
  <si>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</si>
  <si>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</si>
  <si>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</si>
  <si>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</si>
  <si>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</si>
  <si>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</si>
  <si>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</si>
  <si>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</si>
  <si>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</si>
  <si>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</si>
  <si>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</si>
  <si>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</si>
  <si>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</si>
  <si>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</si>
  <si>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</si>
  <si>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</si>
  <si>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</si>
  <si>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</si>
  <si>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</si>
  <si>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</si>
  <si>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</si>
  <si>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</si>
  <si>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</si>
  <si>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</si>
  <si>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</si>
  <si>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</si>
  <si>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</si>
  <si>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</si>
  <si>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</si>
  <si>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</si>
  <si>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</si>
  <si>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</si>
  <si>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</si>
  <si>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</si>
  <si>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</si>
  <si>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</si>
  <si>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</si>
  <si>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</si>
  <si>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</si>
  <si>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</si>
  <si>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</si>
  <si>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</si>
  <si>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</si>
  <si>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</si>
  <si>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</si>
  <si>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</si>
  <si>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</si>
  <si>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</si>
  <si>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</si>
  <si>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</si>
  <si>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</si>
  <si>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</si>
  <si>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</si>
  <si>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</si>
  <si>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</si>
  <si>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</si>
  <si>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</si>
  <si>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</si>
  <si>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</si>
  <si>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</si>
  <si>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</si>
  <si>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</si>
  <si>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</si>
  <si>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</si>
  <si>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</si>
  <si>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</si>
  <si>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</si>
  <si>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</si>
  <si>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</si>
  <si>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</si>
  <si>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</si>
  <si>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</si>
  <si>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</si>
  <si>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</si>
  <si>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</si>
  <si>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</si>
  <si>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</si>
  <si>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</si>
  <si>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</si>
  <si>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</si>
  <si>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</si>
  <si>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</si>
  <si>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</si>
  <si>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</si>
  <si>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</si>
  <si>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</si>
  <si>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</si>
  <si>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</si>
  <si>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</si>
  <si>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</si>
  <si>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</si>
  <si>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</si>
  <si>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</si>
  <si>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</si>
  <si>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</si>
  <si>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</si>
  <si>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</si>
  <si>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</si>
  <si>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</si>
  <si>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</si>
  <si>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</si>
  <si>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</si>
  <si>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</si>
  <si>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</si>
  <si>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</si>
  <si>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</si>
  <si>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</si>
  <si>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</si>
  <si>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</si>
  <si>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</si>
  <si>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</si>
  <si>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</si>
  <si>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</si>
  <si>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</si>
  <si>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</si>
  <si>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</si>
  <si>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</si>
  <si>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</si>
  <si>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</si>
  <si>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</si>
  <si>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</si>
  <si>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</si>
  <si>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</si>
  <si>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</si>
  <si>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</si>
  <si>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</si>
  <si>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</si>
  <si>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</si>
  <si>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</si>
  <si>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</si>
  <si>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</si>
  <si>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</si>
  <si>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</si>
  <si>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</si>
  <si>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</si>
  <si>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</si>
  <si>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</si>
  <si>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</si>
  <si>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</si>
  <si>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</si>
  <si>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</si>
  <si>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</si>
  <si>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</si>
  <si>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</si>
  <si>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</si>
  <si>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</si>
  <si>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</si>
  <si>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</si>
  <si>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</si>
  <si>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</si>
  <si>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</si>
  <si>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</si>
  <si>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</si>
  <si>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</si>
  <si>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</si>
  <si>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</si>
  <si>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</si>
  <si>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</si>
  <si>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</si>
  <si>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</si>
  <si>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</si>
  <si>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</si>
  <si>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</si>
  <si>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</si>
  <si>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</si>
  <si>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</si>
  <si>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</si>
  <si>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</si>
  <si>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</si>
  <si>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</si>
  <si>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</si>
  <si>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</si>
  <si>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</si>
  <si>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</si>
  <si>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</si>
  <si>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</si>
  <si>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</si>
  <si>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</si>
  <si>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</si>
  <si>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</si>
  <si>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</si>
  <si>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</si>
  <si>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</si>
  <si>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</si>
  <si>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</si>
  <si>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</si>
  <si>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</si>
  <si>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</si>
  <si>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</si>
  <si>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</si>
  <si>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</si>
  <si>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</si>
  <si>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</si>
  <si>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</si>
  <si>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</si>
  <si>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</si>
  <si>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</si>
  <si>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</si>
  <si>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</si>
  <si>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</si>
  <si>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</si>
  <si>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</si>
  <si>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</si>
  <si>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</si>
  <si>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</si>
  <si>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</si>
  <si>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</si>
  <si>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</si>
  <si>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</si>
  <si>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</si>
  <si>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</si>
  <si>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</si>
  <si>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</si>
  <si>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</si>
  <si>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</si>
  <si>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</si>
  <si>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</si>
  <si>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</si>
  <si>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</si>
  <si>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</si>
  <si>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</si>
  <si>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</si>
  <si>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</si>
  <si>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</si>
  <si>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</si>
  <si>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</si>
  <si>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</si>
  <si>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</si>
  <si>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</si>
  <si>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</si>
  <si>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</si>
  <si>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</si>
  <si>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</si>
  <si>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</si>
  <si>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</si>
  <si>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</si>
  <si>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</si>
  <si>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</si>
  <si>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</si>
  <si>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</si>
  <si>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</si>
  <si>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</si>
  <si>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</si>
  <si>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</si>
  <si>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</si>
  <si>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</si>
  <si>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</si>
  <si>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</si>
  <si>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</si>
  <si>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</si>
  <si>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</si>
  <si>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</si>
  <si>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</si>
  <si>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</si>
  <si>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</si>
  <si>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</si>
  <si>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</si>
  <si>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</si>
  <si>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</si>
  <si>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</si>
  <si>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</si>
  <si>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</si>
  <si>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</si>
  <si>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</si>
  <si>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</si>
  <si>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</si>
  <si>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</si>
  <si>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</si>
  <si>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</si>
  <si>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</si>
  <si>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</si>
  <si>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</si>
  <si>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</si>
  <si>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</si>
  <si>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</si>
  <si>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</si>
  <si>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</si>
  <si>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</si>
  <si>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</si>
  <si>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</si>
  <si>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</si>
  <si>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</si>
  <si>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</si>
  <si>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</si>
  <si>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</si>
  <si>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</si>
  <si>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</si>
  <si>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</si>
  <si>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</si>
  <si>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</si>
  <si>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</si>
  <si>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</si>
  <si>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</si>
  <si>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</si>
  <si>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</si>
  <si>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</si>
  <si>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</si>
  <si>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</si>
  <si>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</si>
  <si>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</si>
  <si>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</si>
  <si>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</si>
  <si>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</si>
  <si>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</si>
  <si>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</si>
  <si>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</si>
  <si>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</si>
  <si>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</si>
  <si>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</si>
  <si>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</si>
  <si>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</si>
  <si>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</si>
  <si>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</si>
  <si>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</si>
  <si>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</si>
  <si>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</si>
  <si>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</si>
  <si>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</si>
  <si>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</si>
  <si>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</si>
  <si>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</si>
  <si>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</si>
  <si>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</si>
  <si>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</si>
  <si>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</si>
  <si>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</si>
  <si>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</si>
  <si>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</si>
  <si>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</si>
  <si>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</si>
  <si>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</si>
  <si>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</si>
  <si>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</si>
  <si>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</si>
  <si>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</si>
  <si>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</si>
  <si>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</si>
  <si>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</si>
  <si>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</si>
  <si>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</si>
  <si>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</si>
  <si>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</si>
  <si>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</si>
  <si>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</si>
  <si>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</si>
  <si>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</si>
  <si>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</si>
  <si>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</si>
  <si>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</si>
  <si>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</si>
  <si>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</si>
  <si>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</si>
  <si>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</si>
  <si>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</si>
  <si>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</si>
  <si>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</si>
  <si>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</si>
  <si>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</si>
  <si>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</si>
  <si>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</si>
  <si>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</si>
  <si>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</si>
  <si>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</si>
  <si>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</si>
  <si>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</si>
  <si>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</si>
  <si>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</si>
  <si>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</si>
  <si>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</si>
  <si>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</si>
  <si>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</si>
  <si>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</si>
  <si>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</si>
  <si>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</si>
  <si>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</si>
  <si>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</si>
  <si>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</si>
  <si>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</si>
  <si>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</si>
  <si>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</si>
  <si>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</si>
  <si>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</si>
  <si>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</si>
  <si>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</si>
  <si>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</si>
  <si>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</si>
  <si>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</si>
  <si>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</si>
  <si>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</si>
  <si>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</si>
  <si>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</si>
  <si>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</si>
  <si>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</si>
  <si>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</si>
  <si>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</si>
  <si>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</si>
  <si>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</si>
  <si>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</si>
  <si>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</si>
  <si>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</si>
  <si>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</si>
  <si>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</si>
  <si>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</si>
  <si>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</si>
  <si>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</si>
  <si>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</si>
  <si>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</si>
  <si>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</si>
  <si>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</si>
  <si>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</si>
  <si>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</si>
  <si>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</si>
  <si>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</si>
  <si>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</si>
  <si>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</si>
  <si>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</si>
  <si>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</si>
  <si>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</si>
  <si>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</si>
  <si>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</si>
  <si>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</si>
  <si>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</si>
  <si>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</si>
  <si>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</si>
  <si>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</si>
  <si>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</si>
  <si>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</si>
  <si>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</si>
  <si>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</si>
  <si>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</si>
  <si>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</si>
  <si>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</si>
  <si>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</si>
  <si>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</si>
  <si>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</si>
  <si>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</si>
  <si>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</si>
  <si>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</si>
  <si>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</si>
  <si>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</si>
  <si>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</si>
  <si>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</si>
  <si>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</si>
  <si>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</si>
  <si>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</si>
  <si>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</si>
  <si>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</si>
  <si>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</si>
  <si>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</si>
  <si>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</si>
  <si>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</si>
  <si>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</si>
  <si>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</si>
  <si>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</si>
  <si>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</si>
  <si>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</si>
  <si>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</si>
  <si>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</si>
  <si>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</si>
  <si>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</si>
  <si>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</si>
  <si>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</si>
  <si>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</si>
  <si>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</si>
  <si>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</si>
  <si>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</si>
  <si>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</si>
  <si>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</si>
  <si>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</si>
  <si>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</si>
  <si>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</si>
  <si>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</si>
  <si>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</si>
  <si>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</si>
  <si>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</si>
  <si>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</si>
  <si>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</si>
  <si>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</si>
  <si>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</si>
  <si>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</si>
  <si>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</si>
  <si>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</si>
  <si>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</si>
  <si>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</si>
  <si>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</si>
  <si>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</si>
  <si>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</si>
  <si>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</si>
  <si>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</si>
  <si>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</si>
  <si>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</si>
  <si>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</si>
  <si>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</si>
  <si>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</si>
  <si>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</si>
  <si>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</si>
  <si>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</si>
  <si>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</si>
  <si>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</si>
  <si>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</si>
  <si>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</si>
  <si>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</si>
  <si>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</si>
  <si>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</si>
  <si>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</si>
  <si>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</si>
  <si>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</si>
  <si>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</si>
  <si>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</si>
  <si>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</si>
  <si>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</si>
  <si>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</si>
  <si>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</si>
  <si>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</si>
  <si>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</si>
  <si>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</si>
  <si>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</si>
  <si>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</si>
  <si>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</si>
  <si>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</si>
  <si>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</si>
  <si>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</si>
  <si>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</si>
  <si>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</si>
  <si>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</si>
  <si>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</si>
  <si>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</si>
  <si>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</si>
  <si>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</si>
  <si>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</si>
  <si>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</si>
  <si>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</si>
  <si>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</si>
  <si>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</si>
  <si>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</si>
  <si>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</si>
  <si>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</si>
  <si>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</si>
  <si>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</si>
  <si>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</si>
  <si>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</si>
  <si>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</si>
  <si>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</si>
  <si>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</si>
  <si>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</si>
  <si>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</si>
  <si>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</si>
  <si>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</si>
  <si>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</si>
  <si>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</si>
  <si>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</si>
  <si>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</si>
  <si>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</si>
  <si>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</si>
  <si>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</si>
  <si>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</si>
  <si>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</si>
  <si>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</si>
  <si>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</si>
  <si>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</si>
  <si>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</si>
  <si>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</si>
  <si>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</si>
  <si>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</si>
  <si>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</si>
  <si>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</si>
  <si>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</si>
  <si>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</si>
  <si>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</si>
  <si>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</si>
  <si>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</si>
  <si>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</si>
  <si>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</si>
  <si>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</si>
  <si>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</si>
  <si>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</si>
  <si>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</si>
  <si>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</si>
  <si>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</si>
  <si>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</si>
  <si>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</si>
  <si>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</si>
  <si>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</si>
  <si>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</si>
  <si>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</si>
  <si>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</si>
  <si>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</si>
  <si>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</si>
  <si>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</si>
  <si>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</si>
  <si>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</si>
  <si>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</si>
  <si>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</si>
  <si>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</si>
  <si>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</si>
  <si>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</si>
  <si>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</si>
  <si>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</si>
  <si>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</si>
  <si>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</si>
  <si>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</si>
  <si>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</si>
  <si>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</si>
  <si>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</si>
  <si>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</si>
  <si>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</si>
  <si>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</si>
  <si>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</si>
  <si>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</si>
  <si>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</si>
  <si>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</si>
  <si>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</si>
  <si>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</si>
  <si>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</si>
  <si>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</si>
  <si>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</si>
  <si>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</si>
  <si>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</si>
  <si>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</si>
  <si>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</si>
  <si>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</si>
  <si>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</si>
  <si>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</si>
  <si>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</si>
  <si>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</si>
  <si>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</si>
  <si>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</si>
  <si>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</si>
  <si>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</si>
  <si>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</si>
  <si>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</si>
  <si>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</si>
  <si>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</si>
  <si>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</si>
  <si>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</si>
  <si>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</si>
  <si>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</si>
  <si>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</si>
  <si>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</si>
  <si>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</si>
  <si>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</si>
  <si>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</si>
  <si>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</si>
  <si>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</si>
  <si>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</si>
  <si>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</si>
  <si>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</si>
  <si>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</si>
  <si>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</si>
  <si>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</si>
  <si>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</si>
  <si>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</si>
  <si>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</si>
  <si>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</si>
  <si>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</si>
  <si>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</si>
  <si>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</si>
  <si>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</si>
  <si>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</si>
  <si>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</si>
  <si>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</si>
  <si>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</si>
  <si>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</si>
  <si>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</si>
  <si>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</si>
  <si>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</si>
  <si>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</si>
  <si>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</si>
  <si>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</si>
  <si>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</si>
  <si>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</si>
  <si>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</si>
  <si>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</si>
  <si>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</si>
  <si>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</si>
  <si>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</si>
  <si>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</si>
  <si>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</si>
  <si>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</si>
  <si>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</si>
  <si>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</si>
  <si>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</si>
  <si>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</si>
  <si>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</si>
  <si>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</si>
  <si>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</si>
  <si>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</si>
  <si>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</si>
  <si>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</si>
  <si>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</si>
  <si>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</si>
  <si>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</si>
  <si>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</si>
  <si>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</si>
  <si>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</si>
  <si>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</si>
  <si>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</si>
  <si>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</si>
  <si>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</si>
  <si>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</si>
  <si>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</si>
  <si>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</si>
  <si>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</si>
  <si>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</si>
  <si>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</si>
  <si>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</si>
  <si>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</si>
  <si>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</si>
  <si>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</si>
  <si>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</si>
  <si>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</si>
  <si>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</si>
  <si>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</si>
  <si>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</si>
  <si>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</si>
  <si>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</si>
  <si>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</si>
  <si>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</si>
  <si>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</si>
  <si>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</si>
  <si>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</si>
  <si>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</si>
  <si>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</si>
  <si>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</si>
  <si>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</si>
  <si>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</si>
  <si>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</si>
  <si>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</si>
  <si>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</si>
  <si>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</si>
  <si>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</si>
  <si>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</si>
  <si>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</si>
  <si>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</si>
  <si>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</si>
  <si>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</si>
  <si>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</si>
  <si>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</si>
  <si>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</si>
  <si>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</si>
  <si>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</si>
  <si>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</si>
  <si>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</si>
  <si>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</si>
  <si>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</si>
  <si>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</si>
  <si>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</si>
  <si>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</si>
  <si>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</si>
  <si>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</si>
  <si>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</si>
  <si>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</si>
  <si>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</si>
  <si>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</si>
  <si>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</si>
  <si>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</si>
  <si>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</si>
  <si>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</si>
  <si>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</si>
  <si>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</si>
  <si>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</si>
  <si>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</si>
  <si>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</si>
  <si>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</si>
  <si>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</si>
  <si>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</si>
  <si>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</si>
  <si>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</si>
  <si>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</si>
  <si>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</si>
  <si>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</si>
  <si>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</si>
  <si>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</si>
  <si>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</si>
  <si>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</si>
  <si>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</si>
  <si>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</si>
  <si>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</si>
  <si>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</si>
  <si>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</si>
  <si>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</si>
  <si>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</si>
  <si>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</si>
  <si>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</si>
  <si>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</si>
  <si>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</si>
  <si>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</si>
  <si>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</si>
  <si>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</si>
  <si>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</si>
  <si>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</si>
  <si>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</si>
  <si>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</si>
  <si>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</si>
  <si>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</si>
  <si>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</si>
  <si>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</si>
  <si>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</si>
  <si>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</si>
  <si>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</si>
  <si>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</si>
  <si>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</si>
  <si>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</si>
  <si>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</si>
  <si>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</si>
  <si>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</si>
  <si>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</si>
  <si>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</si>
  <si>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</si>
  <si>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</si>
  <si>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</si>
  <si>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</si>
  <si>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</si>
  <si>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</si>
  <si>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</si>
  <si>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</si>
  <si>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</si>
  <si>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</si>
  <si>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</si>
  <si>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</si>
  <si>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</si>
  <si>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</si>
  <si>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</si>
  <si>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</si>
  <si>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</si>
  <si>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</si>
  <si>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</si>
  <si>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</si>
  <si>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</si>
  <si>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</si>
  <si>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</si>
  <si>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</si>
  <si>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</si>
  <si>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</si>
  <si>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</si>
  <si>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</si>
  <si>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</si>
  <si>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</si>
  <si>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</si>
  <si>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</si>
  <si>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</si>
  <si>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</si>
  <si>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</si>
  <si>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</si>
  <si>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</si>
  <si>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</si>
  <si>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</si>
  <si>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</si>
  <si>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</si>
  <si>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</si>
  <si>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</si>
  <si>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</si>
  <si>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</si>
  <si>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</si>
  <si>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</si>
  <si>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</si>
  <si>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</si>
  <si>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</si>
  <si>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</si>
  <si>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</si>
  <si>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</si>
  <si>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</si>
  <si>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</si>
  <si>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</si>
  <si>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</si>
  <si>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</si>
  <si>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</si>
  <si>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</si>
  <si>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</si>
  <si>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</si>
  <si>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</si>
  <si>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</si>
  <si>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</si>
  <si>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</si>
  <si>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</si>
  <si>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</si>
  <si>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</si>
  <si>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</si>
  <si>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</si>
  <si>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</si>
  <si>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</si>
  <si>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</si>
  <si>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</si>
  <si>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</si>
  <si>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</si>
  <si>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</si>
  <si>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</si>
  <si>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</si>
  <si>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</si>
  <si>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</si>
  <si>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</si>
  <si>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</si>
  <si>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</si>
  <si>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</si>
  <si>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</si>
  <si>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</si>
  <si>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</si>
  <si>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</si>
  <si>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</si>
  <si>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</si>
  <si>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</si>
  <si>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</si>
  <si>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</si>
  <si>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</si>
  <si>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</si>
  <si>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</si>
  <si>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</si>
  <si>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</si>
  <si>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</si>
  <si>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</si>
  <si>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</si>
  <si>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</si>
  <si>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</si>
  <si>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</si>
  <si>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</si>
  <si>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</si>
  <si>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</si>
  <si>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</si>
  <si>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</si>
  <si>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</si>
  <si>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</si>
  <si>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</si>
  <si>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</si>
  <si>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</si>
  <si>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</si>
  <si>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</si>
  <si>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</si>
  <si>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</si>
  <si>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</si>
  <si>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</si>
  <si>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</si>
  <si>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</si>
  <si>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</si>
  <si>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</si>
  <si>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</si>
  <si>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</si>
  <si>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</si>
  <si>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</si>
  <si>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</si>
  <si>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</si>
  <si>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</si>
  <si>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</si>
  <si>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</si>
  <si>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</si>
  <si>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</si>
  <si>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</si>
  <si>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</si>
  <si>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</si>
  <si>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</si>
  <si>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</si>
  <si>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</si>
  <si>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</si>
  <si>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</si>
  <si>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</si>
  <si>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</si>
  <si>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</si>
  <si>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</si>
  <si>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</si>
  <si>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</si>
  <si>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</si>
  <si>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</si>
  <si>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</si>
  <si>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</si>
  <si>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</si>
  <si>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</si>
  <si>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</si>
  <si>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</si>
  <si>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</si>
  <si>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</si>
  <si>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</si>
  <si>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</si>
  <si>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</si>
  <si>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</si>
  <si>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</si>
  <si>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</si>
  <si>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</si>
  <si>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</si>
  <si>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</si>
  <si>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</si>
  <si>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</si>
  <si>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</si>
  <si>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</si>
  <si>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</si>
  <si>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</si>
  <si>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</si>
  <si>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</si>
  <si>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</si>
  <si>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</si>
  <si>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</si>
  <si>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</si>
  <si>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</si>
  <si>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</si>
  <si>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</si>
  <si>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</si>
  <si>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</si>
  <si>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</si>
  <si>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</si>
  <si>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</si>
  <si>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</si>
  <si>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</si>
  <si>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</si>
  <si>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</si>
  <si>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</si>
  <si>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</si>
  <si>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</si>
  <si>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</si>
  <si>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</si>
  <si>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</si>
  <si>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</si>
  <si>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</si>
  <si>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</si>
  <si>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</si>
  <si>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</si>
  <si>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</si>
  <si>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</si>
  <si>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</si>
  <si>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</si>
  <si>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</si>
  <si>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</si>
  <si>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</si>
  <si>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</si>
  <si>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</si>
  <si>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</si>
  <si>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</si>
  <si>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</si>
  <si>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</si>
  <si>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</si>
  <si>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</si>
  <si>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</si>
  <si>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</si>
  <si>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</si>
  <si>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</si>
  <si>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</si>
  <si>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</si>
  <si>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</si>
  <si>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</si>
  <si>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</si>
  <si>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</si>
  <si>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</si>
  <si>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</si>
  <si>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</si>
  <si>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</si>
  <si>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</si>
  <si>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</si>
  <si>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</si>
  <si>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</si>
  <si>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</si>
  <si>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</si>
  <si>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</si>
  <si>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</si>
  <si>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</si>
  <si>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</si>
  <si>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</si>
  <si>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</si>
  <si>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</si>
  <si>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</si>
  <si>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</si>
  <si>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</si>
  <si>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</si>
  <si>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</si>
  <si>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</si>
  <si>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</si>
  <si>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</si>
  <si>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</si>
  <si>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</si>
  <si>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</si>
  <si>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</si>
  <si>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</si>
  <si>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</si>
  <si>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</si>
  <si>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</si>
  <si>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</si>
  <si>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</si>
  <si>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</si>
  <si>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</si>
  <si>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</si>
  <si>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</si>
  <si>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</si>
  <si>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</si>
  <si>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</si>
  <si>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</si>
  <si>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</si>
  <si>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</si>
  <si>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</si>
  <si>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</si>
  <si>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</si>
  <si>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</si>
  <si>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</si>
  <si>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</si>
  <si>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</si>
  <si>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</si>
  <si>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</si>
  <si>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</si>
  <si>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</si>
  <si>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</si>
  <si>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</si>
  <si>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</si>
  <si>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</si>
  <si>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</si>
  <si>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</si>
  <si>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</si>
  <si>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</si>
  <si>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</si>
  <si>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</si>
  <si>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</si>
  <si>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</si>
  <si>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</si>
  <si>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</si>
  <si>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</si>
  <si>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</si>
  <si>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</si>
  <si>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</si>
  <si>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</si>
  <si>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</si>
  <si>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</si>
  <si>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</si>
  <si>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</si>
  <si>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</si>
  <si>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</si>
  <si>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</si>
  <si>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</si>
  <si>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</si>
  <si>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</si>
  <si>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</si>
  <si>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</si>
  <si>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</si>
  <si>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</si>
  <si>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</si>
  <si>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</si>
  <si>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</si>
  <si>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</si>
  <si>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</si>
  <si>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</si>
  <si>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</si>
  <si>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</si>
  <si>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</si>
  <si>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</si>
  <si>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</si>
  <si>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</si>
  <si>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</si>
  <si>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</si>
  <si>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</si>
  <si>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</si>
  <si>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</si>
  <si>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</si>
  <si>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</si>
  <si>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</si>
  <si>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</si>
  <si>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</si>
  <si>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</si>
  <si>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</si>
  <si>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</si>
  <si>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</si>
  <si>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</si>
  <si>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</si>
  <si>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</si>
  <si>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</si>
  <si>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</si>
  <si>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</si>
  <si>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</si>
  <si>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</si>
  <si>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</si>
  <si>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</si>
  <si>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</si>
  <si>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</si>
  <si>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</si>
  <si>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</si>
  <si>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</si>
  <si>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</si>
  <si>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</si>
  <si>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</si>
  <si>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</si>
  <si>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</si>
  <si>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</si>
  <si>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</si>
  <si>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</si>
  <si>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</si>
  <si>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</si>
  <si>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</si>
  <si>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</si>
  <si>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</si>
  <si>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</si>
  <si>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</si>
  <si>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</si>
  <si>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</si>
  <si>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</si>
  <si>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</si>
  <si>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</si>
  <si>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</si>
  <si>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</si>
  <si>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</si>
  <si>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</si>
  <si>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</si>
  <si>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</si>
  <si>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</si>
  <si>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</si>
  <si>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</si>
  <si>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</si>
  <si>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</si>
  <si>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</si>
  <si>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</si>
  <si>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</si>
  <si>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</si>
  <si>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</si>
  <si>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</si>
  <si>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</si>
  <si>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</si>
  <si>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</si>
  <si>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</si>
  <si>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</si>
  <si>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</si>
  <si>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</si>
  <si>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</si>
  <si>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</si>
  <si>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</si>
  <si>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</si>
  <si>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</si>
  <si>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</si>
  <si>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</si>
  <si>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</si>
  <si>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</si>
  <si>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</si>
  <si>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</si>
  <si>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</si>
  <si>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</si>
  <si>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</si>
  <si>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</si>
  <si>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</si>
  <si>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</si>
  <si>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</si>
  <si>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</si>
  <si>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</si>
  <si>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</si>
  <si>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</si>
  <si>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</si>
  <si>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</si>
  <si>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</si>
  <si>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</si>
  <si>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</si>
  <si>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</si>
  <si>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</si>
  <si>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</si>
  <si>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</si>
  <si>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</si>
  <si>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</si>
  <si>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</si>
  <si>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</si>
  <si>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</si>
  <si>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</si>
  <si>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</si>
  <si>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</si>
  <si>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</si>
  <si>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</si>
  <si>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</si>
  <si>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</si>
  <si>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</si>
  <si>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</si>
  <si>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</si>
  <si>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</si>
  <si>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</si>
  <si>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</si>
  <si>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</si>
  <si>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</si>
  <si>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</si>
  <si>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</si>
  <si>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</si>
  <si>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</si>
  <si>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</si>
  <si>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</si>
  <si>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</si>
  <si>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</si>
  <si>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</si>
  <si>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</si>
  <si>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</si>
  <si>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</si>
  <si>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</si>
  <si>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</si>
  <si>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</si>
  <si>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</si>
  <si>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</si>
  <si>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</si>
  <si>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</si>
  <si>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</si>
  <si>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</si>
  <si>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</si>
  <si>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</si>
  <si>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</si>
  <si>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</si>
  <si>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</si>
  <si>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</si>
  <si>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</si>
  <si>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</si>
  <si>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</si>
  <si>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</si>
  <si>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</si>
  <si>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</si>
  <si>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</si>
  <si>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</si>
  <si>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</si>
  <si>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</si>
  <si>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</si>
  <si>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</si>
  <si>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</si>
  <si>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</si>
  <si>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</si>
  <si>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</si>
  <si>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</si>
  <si>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</si>
  <si>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</si>
  <si>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</si>
  <si>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</si>
  <si>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</si>
  <si>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</si>
  <si>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</si>
  <si>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</si>
  <si>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</si>
  <si>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</si>
  <si>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</si>
  <si>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</si>
  <si>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</si>
  <si>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</si>
  <si>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</si>
  <si>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</si>
  <si>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</si>
  <si>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</si>
  <si>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</si>
  <si>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</si>
  <si>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</si>
  <si>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</si>
  <si>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</si>
  <si>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</si>
  <si>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</si>
  <si>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</si>
  <si>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</si>
  <si>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</si>
  <si>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</si>
  <si>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</si>
  <si>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</si>
  <si>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</si>
  <si>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</si>
  <si>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</si>
  <si>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</si>
  <si>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</si>
  <si>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</si>
  <si>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</si>
  <si>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</si>
  <si>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</si>
  <si>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</si>
  <si>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</si>
  <si>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</si>
  <si>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</si>
  <si>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</si>
  <si>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</si>
  <si>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</si>
  <si>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</si>
  <si>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</si>
  <si>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</si>
  <si>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</si>
  <si>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</si>
  <si>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</si>
  <si>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</si>
  <si>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</si>
  <si>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</si>
  <si>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</si>
  <si>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</si>
  <si>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</si>
  <si>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</si>
  <si>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</si>
  <si>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</si>
  <si>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</si>
  <si>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</si>
  <si>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</si>
  <si>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</si>
  <si>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</si>
  <si>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</si>
  <si>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</si>
  <si>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</si>
  <si>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</si>
  <si>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</si>
  <si>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</si>
  <si>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</si>
  <si>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</si>
  <si>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</si>
  <si>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</si>
  <si>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</si>
  <si>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</si>
  <si>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</si>
  <si>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</si>
  <si>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</si>
  <si>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</si>
  <si>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</si>
  <si>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</si>
  <si>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</si>
  <si>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</si>
  <si>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</si>
  <si>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</si>
  <si>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</si>
  <si>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</si>
  <si>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</si>
  <si>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</si>
  <si>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</si>
  <si>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</si>
  <si>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</si>
  <si>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</si>
  <si>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</si>
  <si>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</si>
  <si>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</si>
  <si>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</si>
  <si>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</si>
  <si>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</si>
  <si>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</si>
  <si>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</si>
  <si>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</si>
  <si>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</si>
  <si>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</si>
  <si>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</si>
  <si>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</si>
  <si>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</si>
  <si>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</si>
  <si>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</si>
  <si>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</si>
  <si>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</si>
  <si>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</si>
  <si>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</si>
  <si>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</si>
  <si>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</si>
  <si>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</si>
  <si>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</si>
  <si>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</si>
  <si>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</si>
  <si>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</si>
  <si>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</si>
  <si>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</si>
  <si>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</si>
  <si>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</si>
  <si>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</si>
  <si>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</si>
  <si>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</si>
  <si>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</si>
  <si>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</si>
  <si>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</si>
  <si>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</si>
  <si>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</si>
  <si>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</si>
  <si>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</si>
  <si>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</si>
  <si>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</si>
  <si>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</si>
  <si>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</si>
  <si>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</si>
  <si>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</si>
  <si>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</si>
  <si>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</si>
  <si>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</si>
  <si>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</si>
  <si>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</si>
  <si>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</si>
  <si>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</si>
  <si>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</si>
  <si>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</si>
  <si>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</si>
  <si>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</si>
  <si>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</si>
  <si>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</si>
  <si>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</si>
  <si>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</si>
  <si>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</si>
  <si>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</si>
  <si>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</si>
  <si>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</si>
  <si>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</si>
  <si>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</si>
  <si>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</si>
  <si>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</si>
  <si>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</si>
  <si>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</si>
  <si>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</si>
  <si>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</si>
  <si>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</si>
  <si>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</si>
  <si>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</si>
  <si>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</si>
  <si>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</si>
  <si>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</si>
  <si>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</si>
  <si>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</si>
  <si>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</si>
  <si>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</si>
  <si>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</si>
  <si>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</si>
  <si>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</si>
  <si>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</si>
  <si>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</si>
  <si>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</si>
  <si>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</si>
  <si>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</si>
  <si>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</si>
  <si>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</si>
  <si>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</si>
  <si>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</si>
  <si>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</si>
  <si>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</si>
  <si>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</si>
  <si>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</si>
  <si>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</si>
  <si>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</si>
  <si>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</si>
  <si>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</si>
  <si>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</si>
  <si>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</si>
  <si>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</si>
  <si>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</si>
  <si>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</si>
  <si>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</si>
  <si>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</si>
  <si>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</si>
  <si>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</si>
  <si>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</si>
  <si>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</si>
  <si>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</si>
  <si>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</si>
  <si>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</si>
  <si>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</si>
  <si>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</si>
  <si>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</si>
  <si>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</si>
  <si>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</si>
  <si>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</si>
  <si>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</si>
  <si>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</si>
  <si>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</si>
  <si>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</si>
  <si>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</si>
  <si>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</si>
  <si>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</si>
  <si>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</si>
  <si>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</si>
  <si>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</si>
  <si>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</si>
  <si>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</si>
  <si>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</si>
  <si>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</si>
  <si>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</si>
  <si>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</si>
  <si>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</si>
  <si>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</si>
  <si>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</si>
  <si>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</si>
  <si>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</si>
  <si>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</si>
  <si>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</si>
  <si>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</si>
  <si>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</si>
  <si>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</si>
  <si>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</si>
  <si>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</si>
  <si>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</si>
  <si>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</si>
  <si>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</si>
  <si>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</si>
  <si>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</si>
  <si>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</si>
  <si>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</si>
  <si>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</si>
  <si>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</si>
  <si>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</si>
  <si>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</si>
  <si>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</si>
  <si>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</si>
  <si>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</si>
  <si>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</si>
  <si>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</si>
  <si>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</si>
  <si>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</si>
  <si>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</si>
  <si>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</si>
  <si>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</si>
  <si>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</si>
  <si>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</si>
  <si>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</si>
  <si>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</si>
  <si>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</si>
  <si>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</si>
  <si>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</si>
  <si>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</si>
  <si>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</si>
  <si>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</si>
  <si>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</si>
  <si>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</si>
  <si>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</si>
  <si>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</si>
  <si>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</si>
  <si>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</si>
  <si>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</si>
  <si>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</si>
  <si>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</si>
  <si>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</si>
  <si>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</si>
  <si>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</si>
  <si>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</si>
  <si>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</si>
  <si>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</si>
  <si>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</si>
  <si>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</si>
  <si>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</si>
  <si>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</si>
  <si>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</si>
  <si>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</si>
  <si>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</si>
  <si>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</si>
  <si>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</si>
  <si>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</si>
  <si>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</si>
  <si>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</si>
  <si>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</si>
  <si>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</si>
  <si>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</si>
  <si>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</si>
  <si>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</si>
  <si>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</si>
  <si>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</si>
  <si>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</si>
  <si>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</si>
  <si>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</si>
  <si>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</si>
  <si>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</si>
  <si>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</si>
  <si>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</si>
  <si>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</si>
  <si>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</si>
  <si>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</si>
  <si>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</si>
  <si>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</si>
  <si>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</si>
  <si>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</si>
  <si>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</si>
  <si>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</si>
  <si>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</si>
  <si>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</si>
  <si>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</si>
  <si>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</si>
  <si>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</si>
  <si>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</si>
  <si>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</si>
  <si>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</si>
  <si>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</si>
  <si>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</si>
  <si>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</si>
  <si>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</si>
  <si>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</si>
  <si>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</si>
  <si>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</si>
  <si>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</si>
  <si>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</si>
  <si>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</si>
  <si>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</si>
  <si>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</si>
  <si>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</si>
  <si>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</si>
  <si>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</si>
  <si>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</si>
  <si>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</si>
  <si>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</si>
  <si>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</si>
  <si>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</si>
  <si>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</si>
  <si>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</si>
  <si>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</si>
  <si>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</si>
  <si>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</si>
  <si>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</si>
  <si>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</si>
  <si>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</si>
  <si>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</si>
  <si>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</si>
  <si>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</si>
  <si>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</si>
  <si>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</si>
  <si>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</si>
  <si>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</si>
  <si>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</si>
  <si>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</si>
  <si>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</si>
  <si>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</si>
  <si>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</si>
  <si>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</si>
  <si>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</si>
  <si>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</si>
  <si>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</si>
  <si>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</si>
  <si>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</si>
  <si>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</si>
  <si>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</si>
  <si>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</si>
  <si>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</si>
  <si>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</si>
  <si>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</si>
  <si>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</si>
  <si>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</si>
  <si>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</si>
  <si>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</si>
  <si>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</si>
  <si>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</si>
  <si>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</si>
  <si>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</si>
  <si>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</si>
  <si>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</si>
  <si>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</si>
  <si>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</si>
  <si>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</si>
  <si>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</si>
  <si>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</si>
  <si>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</si>
  <si>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</si>
  <si>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</si>
  <si>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</si>
  <si>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</si>
  <si>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</si>
  <si>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</si>
  <si>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</si>
  <si>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</si>
  <si>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</si>
  <si>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</si>
  <si>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</si>
  <si>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</si>
  <si>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</si>
  <si>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</si>
  <si>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</si>
  <si>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</si>
  <si>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</si>
  <si>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</si>
  <si>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</si>
  <si>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</si>
  <si>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</si>
  <si>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</si>
  <si>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</si>
  <si>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</si>
  <si>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</si>
  <si>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</si>
  <si>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</si>
  <si>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</si>
  <si>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</si>
  <si>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</si>
  <si>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</si>
  <si>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</si>
  <si>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</si>
  <si>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</si>
  <si>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</si>
  <si>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</si>
  <si>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</si>
  <si>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</si>
  <si>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</si>
  <si>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</si>
  <si>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</si>
  <si>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</si>
  <si>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</si>
  <si>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</si>
  <si>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</si>
  <si>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</si>
  <si>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</si>
  <si>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</si>
  <si>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</si>
  <si>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</si>
  <si>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</si>
  <si>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</si>
  <si>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</si>
  <si>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</si>
  <si>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</si>
  <si>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</si>
  <si>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</si>
  <si>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</si>
  <si>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</si>
  <si>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</si>
  <si>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</si>
  <si>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</si>
  <si>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</si>
  <si>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</si>
  <si>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</si>
  <si>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</si>
  <si>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</si>
  <si>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</si>
  <si>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</si>
  <si>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</si>
  <si>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</si>
  <si>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</si>
  <si>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</si>
  <si>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</si>
  <si>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</si>
  <si>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</si>
  <si>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</si>
  <si>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</si>
  <si>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</si>
  <si>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</si>
  <si>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</si>
  <si>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</si>
  <si>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</si>
  <si>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</si>
  <si>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</si>
  <si>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</si>
  <si>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</si>
  <si>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</si>
  <si>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</si>
  <si>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</si>
  <si>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</si>
  <si>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</si>
  <si>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</si>
  <si>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</si>
  <si>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</si>
  <si>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</si>
  <si>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</si>
  <si>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</si>
  <si>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</si>
  <si>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</si>
  <si>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</si>
  <si>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</si>
  <si>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</si>
  <si>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</si>
  <si>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</si>
  <si>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</si>
  <si>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</si>
  <si>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</si>
  <si>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</si>
  <si>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</si>
  <si>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</si>
  <si>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</si>
  <si>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</si>
  <si>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</si>
  <si>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</si>
  <si>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</si>
  <si>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</si>
  <si>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</si>
  <si>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</si>
  <si>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</si>
  <si>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</si>
  <si>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</si>
  <si>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</si>
  <si>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</si>
  <si>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</si>
  <si>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</si>
  <si>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</si>
  <si>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</si>
  <si>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</si>
  <si>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</si>
  <si>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</si>
  <si>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</si>
  <si>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</si>
  <si>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</si>
  <si>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</si>
  <si>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</si>
  <si>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</si>
  <si>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</si>
  <si>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</si>
  <si>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</si>
  <si>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</si>
  <si>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</si>
  <si>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</si>
  <si>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</si>
  <si>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</si>
  <si>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</si>
  <si>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</si>
  <si>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</si>
  <si>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</si>
  <si>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</si>
  <si>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</si>
  <si>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</si>
  <si>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</si>
  <si>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</si>
  <si>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</si>
  <si>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</si>
  <si>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</si>
  <si>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</si>
  <si>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</si>
  <si>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</si>
  <si>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</si>
  <si>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</si>
  <si>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</si>
  <si>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</si>
  <si>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</si>
  <si>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</si>
  <si>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</si>
  <si>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</si>
  <si>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</si>
  <si>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</si>
  <si>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</si>
  <si>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</si>
  <si>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</si>
  <si>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</si>
  <si>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</si>
  <si>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</si>
  <si>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</si>
  <si>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</si>
  <si>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</si>
  <si>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</si>
  <si>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</si>
  <si>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</si>
  <si>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</si>
  <si>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</si>
  <si>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</si>
  <si>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</si>
  <si>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</si>
  <si>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</si>
  <si>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</si>
  <si>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</si>
  <si>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</si>
  <si>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</si>
  <si>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</si>
  <si>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</si>
  <si>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</si>
  <si>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</si>
  <si>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</si>
  <si>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</si>
  <si>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</si>
  <si>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</si>
  <si>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</si>
  <si>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</si>
  <si>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</si>
  <si>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</si>
  <si>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</si>
  <si>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</si>
  <si>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</si>
  <si>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</si>
  <si>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</si>
  <si>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</si>
  <si>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</si>
  <si>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</si>
  <si>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</si>
  <si>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</si>
  <si>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</si>
  <si>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</si>
  <si>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</si>
  <si>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</si>
  <si>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</si>
  <si>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</si>
  <si>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</si>
  <si>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</si>
  <si>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</si>
  <si>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</si>
  <si>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</si>
  <si>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</si>
  <si>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</si>
  <si>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</si>
  <si>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</si>
  <si>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</si>
  <si>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</si>
  <si>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</si>
  <si>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</si>
  <si>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</si>
  <si>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</si>
  <si>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</si>
  <si>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</si>
  <si>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</si>
  <si>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</si>
  <si>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</si>
  <si>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</si>
  <si>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</si>
  <si>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</si>
  <si>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</si>
  <si>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</si>
  <si>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</si>
  <si>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</si>
  <si>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</si>
  <si>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</si>
  <si>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</si>
  <si>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</si>
  <si>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</si>
  <si>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</si>
  <si>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</si>
  <si>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</si>
  <si>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</si>
  <si>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</si>
  <si>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</si>
  <si>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</si>
  <si>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</si>
  <si>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</si>
  <si>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</si>
  <si>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</si>
  <si>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</si>
  <si>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</si>
  <si>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</si>
  <si>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</si>
  <si>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</si>
  <si>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</si>
  <si>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</si>
  <si>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</si>
  <si>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</si>
  <si>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</si>
  <si>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</si>
  <si>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</si>
  <si>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</si>
  <si>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</si>
  <si>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</si>
  <si>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</si>
  <si>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</si>
  <si>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</si>
  <si>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</si>
  <si>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</si>
  <si>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</si>
  <si>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</si>
  <si>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</si>
  <si>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</si>
  <si>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</si>
  <si>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</si>
  <si>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</si>
  <si>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</si>
  <si>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</si>
  <si>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</si>
  <si>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</si>
  <si>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</si>
  <si>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</si>
  <si>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</si>
  <si>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</si>
  <si>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</si>
  <si>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</si>
  <si>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</si>
  <si>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</si>
  <si>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</si>
  <si>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</si>
  <si>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</si>
  <si>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</si>
  <si>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</si>
  <si>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</si>
  <si>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</si>
  <si>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</si>
  <si>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</si>
  <si>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</si>
  <si>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</si>
  <si>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</si>
  <si>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</si>
  <si>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</si>
  <si>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</si>
  <si>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</si>
  <si>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</si>
  <si>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</si>
  <si>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</si>
  <si>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</si>
  <si>
    <t>number_of_accounts</t>
  </si>
  <si>
    <t>revenue</t>
  </si>
  <si>
    <t>quota</t>
  </si>
  <si>
    <t>125%_of_quota</t>
  </si>
  <si>
    <t>150%_of_quota</t>
  </si>
  <si>
    <t>200%_of_quota</t>
  </si>
  <si>
    <t>%_to_quota</t>
  </si>
  <si>
    <t>quota_tier</t>
  </si>
  <si>
    <t>total_commission</t>
  </si>
  <si>
    <t>total_pay</t>
  </si>
  <si>
    <t>Number of Employees</t>
  </si>
  <si>
    <t>Gross Revenue</t>
  </si>
  <si>
    <t>Target Gross Revenue</t>
  </si>
  <si>
    <t>% to Target</t>
  </si>
  <si>
    <t>Number of Accounts Closed</t>
  </si>
  <si>
    <t>Avg Gross Revenue Per Account</t>
  </si>
  <si>
    <t>Avg Gross Revenue Per Employee</t>
  </si>
  <si>
    <t>Base Pay</t>
  </si>
  <si>
    <t>Commission</t>
  </si>
  <si>
    <t>Commission Per Account</t>
  </si>
  <si>
    <t>Total Compensation</t>
  </si>
  <si>
    <t>Net Revenue</t>
  </si>
  <si>
    <t>Avg Net Revenue Per Employee</t>
  </si>
  <si>
    <t>Base Assumptions</t>
  </si>
  <si>
    <t>New Assumptions</t>
  </si>
  <si>
    <t>Growth Rate</t>
  </si>
  <si>
    <t>Annual Raise</t>
  </si>
  <si>
    <t>Headcount</t>
  </si>
  <si>
    <t>FY 2019 Workforce Planning</t>
  </si>
  <si>
    <t>The purpose of this model is to optimize workforce planning to be in line with the $1B revenue goal of the company.</t>
  </si>
  <si>
    <t>Main goal: Combine 3 strategies, which involve modifying quotas, growth, headcount, and commision structure in order to optimize forecasted revenue for 2019.</t>
  </si>
  <si>
    <t>Strategy 1</t>
  </si>
  <si>
    <t>Strategy 2</t>
  </si>
  <si>
    <t>Strategy 3</t>
  </si>
  <si>
    <t>Combined Strategy</t>
  </si>
  <si>
    <t>Employee</t>
  </si>
  <si>
    <t>Employee Name</t>
  </si>
  <si>
    <t>Job Title</t>
  </si>
  <si>
    <t>Employee Full Name</t>
  </si>
  <si>
    <t>2018 Base Salary</t>
  </si>
  <si>
    <t>2018 Total Pay</t>
  </si>
  <si>
    <t>Benchmark Base Salary</t>
  </si>
  <si>
    <t>Ave Abbatini</t>
  </si>
  <si>
    <t>Gross Revenue Improvement</t>
  </si>
  <si>
    <t>Lorie Bamblett</t>
  </si>
  <si>
    <t>STRATEGY COMPENSATION COMPARISON</t>
  </si>
  <si>
    <t>Strategy 1: Assume consistent compensation structure and no growth in headcount. Optimize by assuming company grows its book of business.</t>
  </si>
  <si>
    <t>Strategy 2: Modify the pay structyure to boost incentives for employees and maximize their revenue.</t>
  </si>
  <si>
    <t>Strategy 3: Increase headcount.</t>
  </si>
  <si>
    <t>Combined Strategy: Comebine all 3 strategies to increase revenue to $1B goal</t>
  </si>
  <si>
    <t>&lt;--- Please choose strategy</t>
  </si>
  <si>
    <r>
      <t xml:space="preserve">Strategy Dashboard:  </t>
    </r>
    <r>
      <rPr>
        <sz val="16"/>
        <color theme="1"/>
        <rFont val="Calibri"/>
        <family val="2"/>
        <scheme val="minor"/>
      </rPr>
      <t>Shows the 2018 base compensation model. User can choose strategies from dropdown to compare.  Display combined strategy graph</t>
    </r>
  </si>
  <si>
    <r>
      <rPr>
        <b/>
        <sz val="16"/>
        <color theme="1"/>
        <rFont val="Calibri"/>
        <family val="2"/>
        <scheme val="minor"/>
      </rPr>
      <t xml:space="preserve">2018_commission_structure:  </t>
    </r>
    <r>
      <rPr>
        <sz val="16"/>
        <color theme="1"/>
        <rFont val="Calibri"/>
        <family val="2"/>
        <scheme val="minor"/>
      </rPr>
      <t>Worksheet containing caculated commission structures with strategy breakdowns</t>
    </r>
  </si>
  <si>
    <t>Calculations Worksheet:  contains all calculations on data</t>
  </si>
  <si>
    <t>2018_commision_structure:  worksheet contains all original commission structure data</t>
  </si>
  <si>
    <t>benchmark_Data:  contains all original benchmark data</t>
  </si>
  <si>
    <t>deals closed: worksheet contains all original data on deals closed</t>
  </si>
  <si>
    <t xml:space="preserve">base salary: worksheet contains raw data on salary </t>
  </si>
  <si>
    <t>Worksheets in this workbook</t>
  </si>
  <si>
    <t>5th</t>
  </si>
  <si>
    <t>4th</t>
  </si>
  <si>
    <t>3rd</t>
  </si>
  <si>
    <t>2nd</t>
  </si>
  <si>
    <t>Revenue</t>
  </si>
  <si>
    <t>Pos</t>
  </si>
  <si>
    <t>2nd-5th Top Performer</t>
  </si>
  <si>
    <t>Total Revenue</t>
  </si>
  <si>
    <t>Total Commissions</t>
  </si>
  <si>
    <t>Accounts Closed</t>
  </si>
  <si>
    <t>Position</t>
  </si>
  <si>
    <t>Number of Executives</t>
  </si>
  <si>
    <t>Top Employee From Each Department</t>
  </si>
  <si>
    <t>Tait Brewitt</t>
  </si>
  <si>
    <t>Position Information</t>
  </si>
  <si>
    <t>Alene Barneveld</t>
  </si>
  <si>
    <t>Bobette Advani</t>
  </si>
  <si>
    <t>Wash Aizlewood</t>
  </si>
  <si>
    <t>Sum of revenue</t>
  </si>
  <si>
    <t>Column Labels</t>
  </si>
  <si>
    <t>Row Labels</t>
  </si>
  <si>
    <t>Grand Total</t>
  </si>
  <si>
    <t>Abdul Thunnerclef</t>
  </si>
  <si>
    <t>Abra Lenney</t>
  </si>
  <si>
    <t>Abram Causton</t>
  </si>
  <si>
    <t>Abram Hopfer</t>
  </si>
  <si>
    <t>Adaline Waud</t>
  </si>
  <si>
    <t>Adelice Baudinet</t>
  </si>
  <si>
    <t>Adena Kop</t>
  </si>
  <si>
    <t>Adolf Underhill</t>
  </si>
  <si>
    <t>Adolpho Wickersham</t>
  </si>
  <si>
    <t>Agace Sterry</t>
  </si>
  <si>
    <t>Agretha Pevreal</t>
  </si>
  <si>
    <t>Ahmed Roizn</t>
  </si>
  <si>
    <t>Alaster Kencott</t>
  </si>
  <si>
    <t>Albertine Berntssen</t>
  </si>
  <si>
    <t>Alberto Morgan</t>
  </si>
  <si>
    <t>Aldin Dryburgh</t>
  </si>
  <si>
    <t>Alex Ateridge</t>
  </si>
  <si>
    <t>Alexa Balch</t>
  </si>
  <si>
    <t>Alfi Duesberry</t>
  </si>
  <si>
    <t>Alfie Ainsworth</t>
  </si>
  <si>
    <t>Ali Izaks</t>
  </si>
  <si>
    <t>Alleen Pymar</t>
  </si>
  <si>
    <t>Alric McNaught</t>
  </si>
  <si>
    <t>Aluino Eble</t>
  </si>
  <si>
    <t>Aluino Sheerin</t>
  </si>
  <si>
    <t>Alyse Abrahmer</t>
  </si>
  <si>
    <t>Alyssa Forsyth</t>
  </si>
  <si>
    <t>Amalea Murty</t>
  </si>
  <si>
    <t>Amalee Shaddock</t>
  </si>
  <si>
    <t>Amalle Lodo</t>
  </si>
  <si>
    <t>Amalle Reymers</t>
  </si>
  <si>
    <t>Amandie McDyer</t>
  </si>
  <si>
    <t>Amberly Pillman</t>
  </si>
  <si>
    <t>Amory Crasswell</t>
  </si>
  <si>
    <t>Anabel Shall</t>
  </si>
  <si>
    <t>Andre Wemyss</t>
  </si>
  <si>
    <t>Andreana Baly</t>
  </si>
  <si>
    <t>Andres Sackett</t>
  </si>
  <si>
    <t>Andria Zimmermanns</t>
  </si>
  <si>
    <t>Andris Dunbleton</t>
  </si>
  <si>
    <t>Andris Worboy</t>
  </si>
  <si>
    <t>Andros Graveson</t>
  </si>
  <si>
    <t>Anette Waldock</t>
  </si>
  <si>
    <t>Annis Francomb</t>
  </si>
  <si>
    <t>Anselma Paradise</t>
  </si>
  <si>
    <t>Anthe McNish</t>
  </si>
  <si>
    <t>Antonella Horrod</t>
  </si>
  <si>
    <t>Antonina Grammer</t>
  </si>
  <si>
    <t>Antons Porkiss</t>
  </si>
  <si>
    <t>Arabel Denison</t>
  </si>
  <si>
    <t>Arabella McGriffin</t>
  </si>
  <si>
    <t>Archy Petri</t>
  </si>
  <si>
    <t>Arden Lackner</t>
  </si>
  <si>
    <t>Ardine Carloni</t>
  </si>
  <si>
    <t>Arel Rolland</t>
  </si>
  <si>
    <t>Ariadne Willshire</t>
  </si>
  <si>
    <t>Aristotle Vibert</t>
  </si>
  <si>
    <t>Arleen Freezor</t>
  </si>
  <si>
    <t>Arlene Charlin</t>
  </si>
  <si>
    <t>Arlette Blinder</t>
  </si>
  <si>
    <t>Arleyne Piens</t>
  </si>
  <si>
    <t>Arlin Glacken</t>
  </si>
  <si>
    <t>Arline Fallowes</t>
  </si>
  <si>
    <t>Artair Runcie</t>
  </si>
  <si>
    <t>Arther Plant</t>
  </si>
  <si>
    <t>Artie Etheredge</t>
  </si>
  <si>
    <t>Arty Brobak</t>
  </si>
  <si>
    <t>Arvin Friar</t>
  </si>
  <si>
    <t>Arvy Phittiplace</t>
  </si>
  <si>
    <t>Ashley Somerton</t>
  </si>
  <si>
    <t>Ashli Clynter</t>
  </si>
  <si>
    <t>Aubrey Suthren</t>
  </si>
  <si>
    <t>Auguste Uren</t>
  </si>
  <si>
    <t>Augustine Layne</t>
  </si>
  <si>
    <t>Aura Server</t>
  </si>
  <si>
    <t>Aurelie Pickaver</t>
  </si>
  <si>
    <t>Austine Wyer</t>
  </si>
  <si>
    <t>Aviva Shayes</t>
  </si>
  <si>
    <t>Avivah Sante</t>
  </si>
  <si>
    <t>Ayn Angless</t>
  </si>
  <si>
    <t>Baird Hayhow</t>
  </si>
  <si>
    <t>Barbabas Cawt</t>
  </si>
  <si>
    <t>Barbabra Cramond</t>
  </si>
  <si>
    <t>Barbara Locker</t>
  </si>
  <si>
    <t>Barbi Ayshford</t>
  </si>
  <si>
    <t>Barbi Matysiak</t>
  </si>
  <si>
    <t>Barbra Pistol</t>
  </si>
  <si>
    <t>Barde Pound</t>
  </si>
  <si>
    <t>Barn Doram</t>
  </si>
  <si>
    <t>Barnabas Jozefczak</t>
  </si>
  <si>
    <t>Barnabe McCaighey</t>
  </si>
  <si>
    <t>Barr Orring</t>
  </si>
  <si>
    <t>Barth McGifford</t>
  </si>
  <si>
    <t>Bartlet Gerardeaux</t>
  </si>
  <si>
    <t>Basilio Shattock</t>
  </si>
  <si>
    <t>Basilius Hawlgarth</t>
  </si>
  <si>
    <t>Baudoin Normanville</t>
  </si>
  <si>
    <t>Baxter Toulamain</t>
  </si>
  <si>
    <t>Bea Gofton</t>
  </si>
  <si>
    <t>Bear Olczyk</t>
  </si>
  <si>
    <t>Beatrice MacRorie</t>
  </si>
  <si>
    <t>Beatrice Watkin</t>
  </si>
  <si>
    <t>Beaufort Rentcome</t>
  </si>
  <si>
    <t>Becki Grigorini</t>
  </si>
  <si>
    <t>Beitris Naulty</t>
  </si>
  <si>
    <t>Belita Kroll</t>
  </si>
  <si>
    <t>Benedetto Aymes</t>
  </si>
  <si>
    <t>Benedikt Leisk</t>
  </si>
  <si>
    <t>Bengt Shillum</t>
  </si>
  <si>
    <t>Bennie Drayton</t>
  </si>
  <si>
    <t>Berk Remnant</t>
  </si>
  <si>
    <t>Berkly Barg</t>
  </si>
  <si>
    <t>Bernard Lefeuvre</t>
  </si>
  <si>
    <t>Bernardina Fisbey</t>
  </si>
  <si>
    <t>Bernelle Blint</t>
  </si>
  <si>
    <t>Bernhard Hannan</t>
  </si>
  <si>
    <t>Bernice Nucci</t>
  </si>
  <si>
    <t>Bertie Turpey</t>
  </si>
  <si>
    <t>Bess Kubelka</t>
  </si>
  <si>
    <t>Beverie Ducket</t>
  </si>
  <si>
    <t>Beverlie Viccary</t>
  </si>
  <si>
    <t>Bianka Sertin</t>
  </si>
  <si>
    <t>Bil Riatt</t>
  </si>
  <si>
    <t>Bill Covil</t>
  </si>
  <si>
    <t>Billye Shwalbe</t>
  </si>
  <si>
    <t>Birdie Jesper</t>
  </si>
  <si>
    <t>Bjorn Seedman</t>
  </si>
  <si>
    <t>Blanche Folliott</t>
  </si>
  <si>
    <t>Bobbi Denis</t>
  </si>
  <si>
    <t>Bobine Congrave</t>
  </si>
  <si>
    <t>Bonny Oxteby</t>
  </si>
  <si>
    <t>Boycey MacDermott</t>
  </si>
  <si>
    <t>Boycie Marten</t>
  </si>
  <si>
    <t>Brade Torn</t>
  </si>
  <si>
    <t>Brandi Gratton</t>
  </si>
  <si>
    <t>Brandtr Lathwood</t>
  </si>
  <si>
    <t>Brantley Cristofolini</t>
  </si>
  <si>
    <t>Brendis Marsie</t>
  </si>
  <si>
    <t>Brew Aguirre</t>
  </si>
  <si>
    <t>Brewer Hartright</t>
  </si>
  <si>
    <t>Brewer Torres</t>
  </si>
  <si>
    <t>Brice O'Sheeryne</t>
  </si>
  <si>
    <t>Bride Fidelli</t>
  </si>
  <si>
    <t>Bridgette Stivers</t>
  </si>
  <si>
    <t>Brien Prate</t>
  </si>
  <si>
    <t>Broderic Osbourne</t>
  </si>
  <si>
    <t>Brooks Brouncker</t>
  </si>
  <si>
    <t>Bryn Tomas</t>
  </si>
  <si>
    <t>Burch Chat</t>
  </si>
  <si>
    <t>Caddric Armytage</t>
  </si>
  <si>
    <t>Cairistiona Lyver</t>
  </si>
  <si>
    <t>Cami Wagstaffe</t>
  </si>
  <si>
    <t>Camila MacGillespie</t>
  </si>
  <si>
    <t>Carce Maund</t>
  </si>
  <si>
    <t>Carey Bennellick</t>
  </si>
  <si>
    <t>Carleen Mingus</t>
  </si>
  <si>
    <t>Carley Niemetz</t>
  </si>
  <si>
    <t>Carlin Vivash</t>
  </si>
  <si>
    <t>Carlin Yardley</t>
  </si>
  <si>
    <t>Carlos Claxson</t>
  </si>
  <si>
    <t>Carmela Fliege</t>
  </si>
  <si>
    <t>Carmelia Quainton</t>
  </si>
  <si>
    <t>Carmelle Sothcott</t>
  </si>
  <si>
    <t>Carmelle Utridge</t>
  </si>
  <si>
    <t>Carmen Ferrick</t>
  </si>
  <si>
    <t>Caro Farrington</t>
  </si>
  <si>
    <t>Caroline Glidden</t>
  </si>
  <si>
    <t>Carree Crayker</t>
  </si>
  <si>
    <t>Carri Howis</t>
  </si>
  <si>
    <t>Caryn De La Coste</t>
  </si>
  <si>
    <t>Cassaundra Offield</t>
  </si>
  <si>
    <t>Cassius Roseaman</t>
  </si>
  <si>
    <t>Cate Devall</t>
  </si>
  <si>
    <t>Catherine Jerams</t>
  </si>
  <si>
    <t>Cecilia Livingstone</t>
  </si>
  <si>
    <t>Cecilius Messam</t>
  </si>
  <si>
    <t>Celine Ennew</t>
  </si>
  <si>
    <t>Celka Attoc</t>
  </si>
  <si>
    <t>Chaddie Record</t>
  </si>
  <si>
    <t>Chalmers Durrad</t>
  </si>
  <si>
    <t>Chan Shillabeare</t>
  </si>
  <si>
    <t>Chan Thorwarth</t>
  </si>
  <si>
    <t>Chancey Yarrell</t>
  </si>
  <si>
    <t>Chanda Bahls</t>
  </si>
  <si>
    <t>Chantalle Fedynski</t>
  </si>
  <si>
    <t>Charlotta Wines</t>
  </si>
  <si>
    <t>Chas Manthorpe</t>
  </si>
  <si>
    <t>Chastity Benninger</t>
  </si>
  <si>
    <t>Chen Dicker</t>
  </si>
  <si>
    <t>Cherye Grunbaum</t>
  </si>
  <si>
    <t>Chev McConnal</t>
  </si>
  <si>
    <t>Chloette Millard</t>
  </si>
  <si>
    <t>Christabella Timblett</t>
  </si>
  <si>
    <t>Christan Dukesbury</t>
  </si>
  <si>
    <t>Christina Augar</t>
  </si>
  <si>
    <t>Christye Spraging</t>
  </si>
  <si>
    <t>Chuck Petkov</t>
  </si>
  <si>
    <t>Cindy Pentecost</t>
  </si>
  <si>
    <t>Cirilo Bolf</t>
  </si>
  <si>
    <t>Claire Espinos</t>
  </si>
  <si>
    <t>Clarke Hemphall</t>
  </si>
  <si>
    <t>Claudie Armin</t>
  </si>
  <si>
    <t>Clem Girth</t>
  </si>
  <si>
    <t>Clemmie Harrap</t>
  </si>
  <si>
    <t>Cletis Temlett</t>
  </si>
  <si>
    <t>Clyve Dayley</t>
  </si>
  <si>
    <t>Cobb Avramow</t>
  </si>
  <si>
    <t>Codie Ardy</t>
  </si>
  <si>
    <t>Coleman Blunderfield</t>
  </si>
  <si>
    <t>Colette Mangon</t>
  </si>
  <si>
    <t>Colline Openshaw</t>
  </si>
  <si>
    <t>Conny Sommerly</t>
  </si>
  <si>
    <t>Consolata Rosier</t>
  </si>
  <si>
    <t>Constancia Jenne</t>
  </si>
  <si>
    <t>Constantin Laurisch</t>
  </si>
  <si>
    <t>Coralyn Dudney</t>
  </si>
  <si>
    <t>Cordelia Goodered</t>
  </si>
  <si>
    <t>Corene Diamant</t>
  </si>
  <si>
    <t>Corrie Naldrett</t>
  </si>
  <si>
    <t>Cory Duplan</t>
  </si>
  <si>
    <t>Costa Fincke</t>
  </si>
  <si>
    <t>Court Brightwell</t>
  </si>
  <si>
    <t>Craggie Paradin</t>
  </si>
  <si>
    <t>Cristiano Gyurko</t>
  </si>
  <si>
    <t>Cristina Seegar</t>
  </si>
  <si>
    <t>Crystie Guerrazzi</t>
  </si>
  <si>
    <t>Cull Slott</t>
  </si>
  <si>
    <t>Culley Bernardotti</t>
  </si>
  <si>
    <t>Currie Lethbury</t>
  </si>
  <si>
    <t>Curry Coiley</t>
  </si>
  <si>
    <t>Cymbre Giampietro</t>
  </si>
  <si>
    <t>Cyndi D'Agostino</t>
  </si>
  <si>
    <t>Cyndia Fratson</t>
  </si>
  <si>
    <t>Daile Kettel</t>
  </si>
  <si>
    <t>Damaris Metson</t>
  </si>
  <si>
    <t>Damon Albisser</t>
  </si>
  <si>
    <t>Daniela McMichael</t>
  </si>
  <si>
    <t>Danit Fosserd</t>
  </si>
  <si>
    <t>Danny Itscovitz</t>
  </si>
  <si>
    <t>Danny Snoddin</t>
  </si>
  <si>
    <t>Daphna Dyson</t>
  </si>
  <si>
    <t>Darcey Caldaro</t>
  </si>
  <si>
    <t>Darci Wixey</t>
  </si>
  <si>
    <t>Darcie Hylands</t>
  </si>
  <si>
    <t>Darcy Crosier</t>
  </si>
  <si>
    <t>Darin Landal</t>
  </si>
  <si>
    <t>Darnall Goodship</t>
  </si>
  <si>
    <t>Darryl Worgan</t>
  </si>
  <si>
    <t>Darsey Hooban</t>
  </si>
  <si>
    <t>Darwin Tinsley</t>
  </si>
  <si>
    <t>Daryle Custed</t>
  </si>
  <si>
    <t>Ddene Castree</t>
  </si>
  <si>
    <t>Ddene Iddiens</t>
  </si>
  <si>
    <t>De Devereux</t>
  </si>
  <si>
    <t>Deena Leeming</t>
  </si>
  <si>
    <t>Deirdre Wem</t>
  </si>
  <si>
    <t>Delia Fylan</t>
  </si>
  <si>
    <t>Della Tapson</t>
  </si>
  <si>
    <t>Delmore Harrild</t>
  </si>
  <si>
    <t>Deloria Jardine</t>
  </si>
  <si>
    <t>Deloris Nuzzti</t>
  </si>
  <si>
    <t>Delphine Denisard</t>
  </si>
  <si>
    <t>Demetri Goatman</t>
  </si>
  <si>
    <t>Demetris Hazlegrove</t>
  </si>
  <si>
    <t>Denney Behr</t>
  </si>
  <si>
    <t>Denney Whetland</t>
  </si>
  <si>
    <t>Denni Sadd</t>
  </si>
  <si>
    <t>Dennis Cranage</t>
  </si>
  <si>
    <t>Denny Pickard</t>
  </si>
  <si>
    <t>Deny Wiffler</t>
  </si>
  <si>
    <t>Denys Siggers</t>
  </si>
  <si>
    <t>Derk Latham</t>
  </si>
  <si>
    <t>Derrik Bacchus</t>
  </si>
  <si>
    <t>Derry Staniforth</t>
  </si>
  <si>
    <t>Desmond Simmins</t>
  </si>
  <si>
    <t>Devland Kohter</t>
  </si>
  <si>
    <t>Devland Le Prevost</t>
  </si>
  <si>
    <t>Dewie Dory</t>
  </si>
  <si>
    <t>Dex Hughill</t>
  </si>
  <si>
    <t>Dexter Ewington</t>
  </si>
  <si>
    <t>Diane Corben</t>
  </si>
  <si>
    <t>Dion Liccardi</t>
  </si>
  <si>
    <t>Dionis Climie</t>
  </si>
  <si>
    <t>Dionis Cumpton</t>
  </si>
  <si>
    <t>Dionisio Gethyn</t>
  </si>
  <si>
    <t>Donavon Cheer</t>
  </si>
  <si>
    <t>Donelle Eyckelbeck</t>
  </si>
  <si>
    <t>Donnell Preon</t>
  </si>
  <si>
    <t>Donovan Willingham</t>
  </si>
  <si>
    <t>Doralia Robshaw</t>
  </si>
  <si>
    <t>Doralynne Lexa</t>
  </si>
  <si>
    <t>Doria Lidgertwood</t>
  </si>
  <si>
    <t>Dorothea Gheeraert</t>
  </si>
  <si>
    <t>Drake Rawlison</t>
  </si>
  <si>
    <t>Duane Geoghegan</t>
  </si>
  <si>
    <t>Duffy Grimsdyke</t>
  </si>
  <si>
    <t>Durant Poag</t>
  </si>
  <si>
    <t>Dyane Rival</t>
  </si>
  <si>
    <t>Dyanne Simper</t>
  </si>
  <si>
    <t>Eal Ezzle</t>
  </si>
  <si>
    <t>Eddy Shilston</t>
  </si>
  <si>
    <t>Eddy Van Arsdale</t>
  </si>
  <si>
    <t>Edith Altree</t>
  </si>
  <si>
    <t>Ediva Screase</t>
  </si>
  <si>
    <t>Elaina Shelmardine</t>
  </si>
  <si>
    <t>Elbertina Gounet</t>
  </si>
  <si>
    <t>Elena Ilyukhov</t>
  </si>
  <si>
    <t>Elfrida Fone</t>
  </si>
  <si>
    <t>Elfrieda Merington</t>
  </si>
  <si>
    <t>Elie Cantillion</t>
  </si>
  <si>
    <t>Elisabetta Curzey</t>
  </si>
  <si>
    <t>Elisabetta Martinec</t>
  </si>
  <si>
    <t>Elizabet Kentish</t>
  </si>
  <si>
    <t>Ellen Dooman</t>
  </si>
  <si>
    <t>Ellen Kevis</t>
  </si>
  <si>
    <t>Ellery Renzini</t>
  </si>
  <si>
    <t>Ellwood Aronoff</t>
  </si>
  <si>
    <t>Elmore Gianullo</t>
  </si>
  <si>
    <t>Elroy Lenaghen</t>
  </si>
  <si>
    <t>Elroy Petrasso</t>
  </si>
  <si>
    <t>Elsey O'Shevlin</t>
  </si>
  <si>
    <t>Elsey Sanchez</t>
  </si>
  <si>
    <t>Elva Aumerle</t>
  </si>
  <si>
    <t>Elva Delepine</t>
  </si>
  <si>
    <t>Elva Hamsher</t>
  </si>
  <si>
    <t>Elwyn Keyzman</t>
  </si>
  <si>
    <t>Emanuel Devita</t>
  </si>
  <si>
    <t>Emanuele Blackden</t>
  </si>
  <si>
    <t>Emanuele Garfitt</t>
  </si>
  <si>
    <t>Emelyne Rochford</t>
  </si>
  <si>
    <t>Emilio Schimke</t>
  </si>
  <si>
    <t>Emmerich Longmuir</t>
  </si>
  <si>
    <t>Emmie Ivamy</t>
  </si>
  <si>
    <t>Engracia Rigolle</t>
  </si>
  <si>
    <t>Erika Forsaith</t>
  </si>
  <si>
    <t>Erin Ducker</t>
  </si>
  <si>
    <t>Erma Wilder</t>
  </si>
  <si>
    <t>Ernesta Rodd</t>
  </si>
  <si>
    <t>Erny Kesteven</t>
  </si>
  <si>
    <t>Erroll Tirkin</t>
  </si>
  <si>
    <t>Eryn Derle</t>
  </si>
  <si>
    <t>Esdras Blucher</t>
  </si>
  <si>
    <t>Esra Snibson</t>
  </si>
  <si>
    <t>Estele Murcott</t>
  </si>
  <si>
    <t>Etan Devericks</t>
  </si>
  <si>
    <t>Ethyl Klaff</t>
  </si>
  <si>
    <t>Eugene Lebourn</t>
  </si>
  <si>
    <t>Eulalie Bianco</t>
  </si>
  <si>
    <t>Eustacia Creamer</t>
  </si>
  <si>
    <t>Evania Grime</t>
  </si>
  <si>
    <t>Evvy Riedel</t>
  </si>
  <si>
    <t>Eward Cureton</t>
  </si>
  <si>
    <t>Ezequiel Kull</t>
  </si>
  <si>
    <t>Fabe Hutchinges</t>
  </si>
  <si>
    <t>Fancy Clitsome</t>
  </si>
  <si>
    <t>Farand Okie</t>
  </si>
  <si>
    <t>Farris Valance</t>
  </si>
  <si>
    <t>Faustine Hayward</t>
  </si>
  <si>
    <t>Felita Melpuss</t>
  </si>
  <si>
    <t>Ferdinand Filippucci</t>
  </si>
  <si>
    <t>Ferrel Gainforth</t>
  </si>
  <si>
    <t>Fianna Restorick</t>
  </si>
  <si>
    <t>Fidelia Pedrocco</t>
  </si>
  <si>
    <t>Fifine Jakeman</t>
  </si>
  <si>
    <t>Filbert Dahle</t>
  </si>
  <si>
    <t>Filip Stellman</t>
  </si>
  <si>
    <t>Filmore Kinvig</t>
  </si>
  <si>
    <t>Finn Dixey</t>
  </si>
  <si>
    <t>Florri Coldbath</t>
  </si>
  <si>
    <t>Foster Smith</t>
  </si>
  <si>
    <t>Frankie Witnall</t>
  </si>
  <si>
    <t>Franni Clemencet</t>
  </si>
  <si>
    <t>Franny Malarkey</t>
  </si>
  <si>
    <t>Frasquito Breach</t>
  </si>
  <si>
    <t>Fraze Crisell</t>
  </si>
  <si>
    <t>Fraze Laing</t>
  </si>
  <si>
    <t>Fredek Vaskin</t>
  </si>
  <si>
    <t>Fredelia Gianetti</t>
  </si>
  <si>
    <t>Fredi Dunkerly</t>
  </si>
  <si>
    <t>Freeland Kennerley</t>
  </si>
  <si>
    <t>Friederike Leve</t>
  </si>
  <si>
    <t>Fulvia Aldie</t>
  </si>
  <si>
    <t>Gabriela McVicker</t>
  </si>
  <si>
    <t>Gaby Shilston</t>
  </si>
  <si>
    <t>Gaelan Robrow</t>
  </si>
  <si>
    <t>Gale Batchelder</t>
  </si>
  <si>
    <t>Gar Mueller</t>
  </si>
  <si>
    <t>Garey Lambregts</t>
  </si>
  <si>
    <t>Garey Thow</t>
  </si>
  <si>
    <t>Garner Leatherbarrow</t>
  </si>
  <si>
    <t>Garnette Woodyear</t>
  </si>
  <si>
    <t>Garrot Redrup</t>
  </si>
  <si>
    <t>Gayelord Coffin</t>
  </si>
  <si>
    <t>Gayelord Gianelli</t>
  </si>
  <si>
    <t>Genni Glader</t>
  </si>
  <si>
    <t>Gennifer Bowdrey</t>
  </si>
  <si>
    <t>Gennifer Gaythwaite</t>
  </si>
  <si>
    <t>Gennifer Waple</t>
  </si>
  <si>
    <t>Geoff Greenmon</t>
  </si>
  <si>
    <t>Georgiana Doul</t>
  </si>
  <si>
    <t>Georgiana Nutten</t>
  </si>
  <si>
    <t>Georgie Seyler</t>
  </si>
  <si>
    <t>Gerick Callar</t>
  </si>
  <si>
    <t>Gerri Witherbed</t>
  </si>
  <si>
    <t>Giffer Toke</t>
  </si>
  <si>
    <t>Giles Fardy</t>
  </si>
  <si>
    <t>Gill Labrum</t>
  </si>
  <si>
    <t>Gina Biggadyke</t>
  </si>
  <si>
    <t>Giordano Rubie</t>
  </si>
  <si>
    <t>Giorgio Suett</t>
  </si>
  <si>
    <t>Gizela Lalley</t>
  </si>
  <si>
    <t>Glenn Gillespie</t>
  </si>
  <si>
    <t>Glenn O'Murtagh</t>
  </si>
  <si>
    <t>Glennie Giorgio</t>
  </si>
  <si>
    <t>Glynis Garaghan</t>
  </si>
  <si>
    <t>Godard Truett</t>
  </si>
  <si>
    <t>Golda Devigne</t>
  </si>
  <si>
    <t>Gonzalo Dudson</t>
  </si>
  <si>
    <t>Gothart Alven</t>
  </si>
  <si>
    <t>Gradey Frazier</t>
  </si>
  <si>
    <t>Granger Lewin</t>
  </si>
  <si>
    <t>Granger Norsworthy</t>
  </si>
  <si>
    <t>Grazia Didball</t>
  </si>
  <si>
    <t>Greer Mercey</t>
  </si>
  <si>
    <t>Gregoire Corington</t>
  </si>
  <si>
    <t>Grenville D'Orsay</t>
  </si>
  <si>
    <t>Gris Dewsnap</t>
  </si>
  <si>
    <t>Guilbert Duckett</t>
  </si>
  <si>
    <t>Had Drew</t>
  </si>
  <si>
    <t>Hamlin Matchitt</t>
  </si>
  <si>
    <t>Hanson Hadigate</t>
  </si>
  <si>
    <t>Harlan Mein</t>
  </si>
  <si>
    <t>Heddi McCurley</t>
  </si>
  <si>
    <t>Hedwig Wooding</t>
  </si>
  <si>
    <t>Hedwiga Plail</t>
  </si>
  <si>
    <t>Heinrick Conelly</t>
  </si>
  <si>
    <t>Helen Delwater</t>
  </si>
  <si>
    <t>Helyn McQuaker</t>
  </si>
  <si>
    <t>Henka McInulty</t>
  </si>
  <si>
    <t>Hermina Bowditch</t>
  </si>
  <si>
    <t>Herrick Utterson</t>
  </si>
  <si>
    <t>Hew Lamborne</t>
  </si>
  <si>
    <t>Hildagard White</t>
  </si>
  <si>
    <t>Hillary Westphalen</t>
  </si>
  <si>
    <t>Hillel Burdett</t>
  </si>
  <si>
    <t>Hillel Hutley</t>
  </si>
  <si>
    <t>Hillyer Garrique</t>
  </si>
  <si>
    <t>Hobie Munnis</t>
  </si>
  <si>
    <t>Horatio Franchyonok</t>
  </si>
  <si>
    <t>Horst Phelips</t>
  </si>
  <si>
    <t>Horton Stretton</t>
  </si>
  <si>
    <t>Hoyt O' Loughran</t>
  </si>
  <si>
    <t>Huey Strognell</t>
  </si>
  <si>
    <t>Hugo Mowbray</t>
  </si>
  <si>
    <t>Hunt Bachura</t>
  </si>
  <si>
    <t>Hunter Erni</t>
  </si>
  <si>
    <t>Hymie LeEstut</t>
  </si>
  <si>
    <t>Hynda Smee</t>
  </si>
  <si>
    <t>Iago Epine</t>
  </si>
  <si>
    <t>Idell Haskew</t>
  </si>
  <si>
    <t>Ike Pretorius</t>
  </si>
  <si>
    <t>Ingar Halpine</t>
  </si>
  <si>
    <t>Inger Chatenet</t>
  </si>
  <si>
    <t>Inger Jime</t>
  </si>
  <si>
    <t>Isadora Davana</t>
  </si>
  <si>
    <t>Isiahi Sealand</t>
  </si>
  <si>
    <t>Isidoro Vamplers</t>
  </si>
  <si>
    <t>Ivan Gonzalo</t>
  </si>
  <si>
    <t>Ivett Klass</t>
  </si>
  <si>
    <t>Ivor Davidy</t>
  </si>
  <si>
    <t>Izak Newbigging</t>
  </si>
  <si>
    <t>Izzy Glennon</t>
  </si>
  <si>
    <t>Jacinthe Vel</t>
  </si>
  <si>
    <t>Jacklin Agiolfinger</t>
  </si>
  <si>
    <t>Jacky Lovat</t>
  </si>
  <si>
    <t>Jae Reihm</t>
  </si>
  <si>
    <t>Jaimie Lisimore</t>
  </si>
  <si>
    <t>Jami Swinbourne</t>
  </si>
  <si>
    <t>Jamie Simmings</t>
  </si>
  <si>
    <t>Jamil Regnard</t>
  </si>
  <si>
    <t>Jammal McPhee</t>
  </si>
  <si>
    <t>Jana Polding</t>
  </si>
  <si>
    <t>Janenna Dailey</t>
  </si>
  <si>
    <t>Janeva Edelheid</t>
  </si>
  <si>
    <t>Jaquenetta Gorelli</t>
  </si>
  <si>
    <t>Jasmine Cathcart</t>
  </si>
  <si>
    <t>Javier Andriolli</t>
  </si>
  <si>
    <t>Jayson Rugg</t>
  </si>
  <si>
    <t>Jenda Villaron</t>
  </si>
  <si>
    <t>Jermain Ruthven</t>
  </si>
  <si>
    <t>Jermayne Duffie</t>
  </si>
  <si>
    <t>Jermayne O'Grady</t>
  </si>
  <si>
    <t>Jess Martini</t>
  </si>
  <si>
    <t>Jessa Wasbrough</t>
  </si>
  <si>
    <t>Jessica Derye-Barrett</t>
  </si>
  <si>
    <t>Jessica Sheather</t>
  </si>
  <si>
    <t>Jessie Peabody</t>
  </si>
  <si>
    <t>Jesus Mantle</t>
  </si>
  <si>
    <t>Jethro Percifer</t>
  </si>
  <si>
    <t>Jethro Vedishchev</t>
  </si>
  <si>
    <t>Jo ann Laurand</t>
  </si>
  <si>
    <t>Jo Saffen</t>
  </si>
  <si>
    <t>Joane O' Mulderrig</t>
  </si>
  <si>
    <t>Jolee Gladyer</t>
  </si>
  <si>
    <t>Joletta Lounds</t>
  </si>
  <si>
    <t>Jonah Crighton</t>
  </si>
  <si>
    <t>Jonah Lobb</t>
  </si>
  <si>
    <t>Jonathon Goodrum</t>
  </si>
  <si>
    <t>Jone Sleep</t>
  </si>
  <si>
    <t>Jorie Everex</t>
  </si>
  <si>
    <t>Josiah Pepi</t>
  </si>
  <si>
    <t>Josiah Saer</t>
  </si>
  <si>
    <t>Jourdain Patience</t>
  </si>
  <si>
    <t>Joye Mepham</t>
  </si>
  <si>
    <t>Judd Cowlard</t>
  </si>
  <si>
    <t>Juditha Robe</t>
  </si>
  <si>
    <t>Julianna Dunklee</t>
  </si>
  <si>
    <t>Juliet Semered</t>
  </si>
  <si>
    <t>Junina Galland</t>
  </si>
  <si>
    <t>Kaitlin Greeveson</t>
  </si>
  <si>
    <t>Kalindi Carmel</t>
  </si>
  <si>
    <t>Kalindi Hedin</t>
  </si>
  <si>
    <t>Kalli Beeze</t>
  </si>
  <si>
    <t>Karalee Durrance</t>
  </si>
  <si>
    <t>Kara-lynn Ingarfill</t>
  </si>
  <si>
    <t>Karlie Wennington</t>
  </si>
  <si>
    <t>Karney MacMillan</t>
  </si>
  <si>
    <t>Kathe Pauly</t>
  </si>
  <si>
    <t>Kathrine McDougald</t>
  </si>
  <si>
    <t>Katlin Garthland</t>
  </si>
  <si>
    <t>Katrina Danne</t>
  </si>
  <si>
    <t>Katya Sheaf</t>
  </si>
  <si>
    <t>Kean Keelinge</t>
  </si>
  <si>
    <t>Kean MacCrann</t>
  </si>
  <si>
    <t>Keefer Edmonson</t>
  </si>
  <si>
    <t>Keelby Lawie</t>
  </si>
  <si>
    <t>Keenan Kruszelnicki</t>
  </si>
  <si>
    <t>Kelsey Hassur</t>
  </si>
  <si>
    <t>Kendra March</t>
  </si>
  <si>
    <t>Kev Scogin</t>
  </si>
  <si>
    <t>Keven Chatters</t>
  </si>
  <si>
    <t>Kevin Wayvill</t>
  </si>
  <si>
    <t>Kevon Perl</t>
  </si>
  <si>
    <t>Kial Cuchey</t>
  </si>
  <si>
    <t>Kiel Woolveridge</t>
  </si>
  <si>
    <t>Kiley Lartice</t>
  </si>
  <si>
    <t>Kimberlyn Maffia</t>
  </si>
  <si>
    <t>Kimmi Erskin</t>
  </si>
  <si>
    <t>Kippar Ricardin</t>
  </si>
  <si>
    <t>Kippy Blaver</t>
  </si>
  <si>
    <t>Kit Tivolier</t>
  </si>
  <si>
    <t>Kitti Hedworth</t>
  </si>
  <si>
    <t>Klement Garrison</t>
  </si>
  <si>
    <t>Konstance Iacovelli</t>
  </si>
  <si>
    <t>Krisha Rotherham</t>
  </si>
  <si>
    <t>Krishnah Capelle</t>
  </si>
  <si>
    <t>Kristal Guitonneau</t>
  </si>
  <si>
    <t>Kristien Llewelly</t>
  </si>
  <si>
    <t>Kristoforo Claremont</t>
  </si>
  <si>
    <t>Kristy Hadland</t>
  </si>
  <si>
    <t>Kyle Hadlow</t>
  </si>
  <si>
    <t>Kyle Molan</t>
  </si>
  <si>
    <t>Laird Margiotta</t>
  </si>
  <si>
    <t>Lammond Tangye</t>
  </si>
  <si>
    <t>Lancelot Watmough</t>
  </si>
  <si>
    <t>Lark Nelmes</t>
  </si>
  <si>
    <t>Latrina Shropsheir</t>
  </si>
  <si>
    <t>Laural Teasey</t>
  </si>
  <si>
    <t>Laurice Miall</t>
  </si>
  <si>
    <t>Lavinia Chasier</t>
  </si>
  <si>
    <t>Lawrence Minchindon</t>
  </si>
  <si>
    <t>Lazar Durant</t>
  </si>
  <si>
    <t>Leelah Yarnton</t>
  </si>
  <si>
    <t>Lefty Tatteshall</t>
  </si>
  <si>
    <t>Leicester Blonden</t>
  </si>
  <si>
    <t>Leighton Garbar</t>
  </si>
  <si>
    <t>Leilah Elsy</t>
  </si>
  <si>
    <t>Lenette Gyves</t>
  </si>
  <si>
    <t>Leola Harhoff</t>
  </si>
  <si>
    <t>Leone Capstack</t>
  </si>
  <si>
    <t>Lesley Letford</t>
  </si>
  <si>
    <t>Lesli Baldini</t>
  </si>
  <si>
    <t>Leticia Szymanzyk</t>
  </si>
  <si>
    <t>Letti Howarth</t>
  </si>
  <si>
    <t>Leyla MacAree</t>
  </si>
  <si>
    <t>Lianne Simeoni</t>
  </si>
  <si>
    <t>Licha Whitemarsh</t>
  </si>
  <si>
    <t>Lil Benion</t>
  </si>
  <si>
    <t>Lin Ajean</t>
  </si>
  <si>
    <t>Lindy Pember</t>
  </si>
  <si>
    <t>Lionello Grogono</t>
  </si>
  <si>
    <t>Loella Connell</t>
  </si>
  <si>
    <t>Logan Jansky</t>
  </si>
  <si>
    <t>Loleta Faull</t>
  </si>
  <si>
    <t>Loralyn Scarffe</t>
  </si>
  <si>
    <t>Loree Bertelet</t>
  </si>
  <si>
    <t>Loretta Churchward</t>
  </si>
  <si>
    <t>Lorianne Guillem</t>
  </si>
  <si>
    <t>Lory Brundell</t>
  </si>
  <si>
    <t>Lotta Thoresbie</t>
  </si>
  <si>
    <t>Lotty Foxall</t>
  </si>
  <si>
    <t>Lowe Guiness</t>
  </si>
  <si>
    <t>Lucila Fosh</t>
  </si>
  <si>
    <t>Lucina Farndon</t>
  </si>
  <si>
    <t>Lucita Edington</t>
  </si>
  <si>
    <t>Lucky Whittlesey</t>
  </si>
  <si>
    <t>Luisa Antic</t>
  </si>
  <si>
    <t>Luisa Parradice</t>
  </si>
  <si>
    <t>Luise Bodley</t>
  </si>
  <si>
    <t>Lulita Wyke</t>
  </si>
  <si>
    <t>Lyle Stoyles</t>
  </si>
  <si>
    <t>Lyn Trewett</t>
  </si>
  <si>
    <t>Lynea Vanyukhin</t>
  </si>
  <si>
    <t>Mab Marxsen</t>
  </si>
  <si>
    <t>Mada Addie</t>
  </si>
  <si>
    <t>Maddalena Shurrock</t>
  </si>
  <si>
    <t>Madeline Grief</t>
  </si>
  <si>
    <t>Madella Seabert</t>
  </si>
  <si>
    <t>Maighdiln Payfoot</t>
  </si>
  <si>
    <t>Malachi Oldknow</t>
  </si>
  <si>
    <t>Malissia Try</t>
  </si>
  <si>
    <t>Mallissa Renak</t>
  </si>
  <si>
    <t>Mallory Kiss</t>
  </si>
  <si>
    <t>Manya Orbell</t>
  </si>
  <si>
    <t>Margit Dransfield</t>
  </si>
  <si>
    <t>Marieann Andren</t>
  </si>
  <si>
    <t>Marie-jeanne Marrow</t>
  </si>
  <si>
    <t>Marijn Avison</t>
  </si>
  <si>
    <t>Marillin Yerrall</t>
  </si>
  <si>
    <t>Mariquilla Arsmith</t>
  </si>
  <si>
    <t>Marjory Lindman</t>
  </si>
  <si>
    <t>Marleah Lingner</t>
  </si>
  <si>
    <t>Marlon Rhodus</t>
  </si>
  <si>
    <t>Martica Attenbrow</t>
  </si>
  <si>
    <t>Martica Whyler</t>
  </si>
  <si>
    <t>Marty Denson</t>
  </si>
  <si>
    <t>Martyn Bunhill</t>
  </si>
  <si>
    <t>Marvin Pochin</t>
  </si>
  <si>
    <t>Maryjo Laxe</t>
  </si>
  <si>
    <t>Maryrose Ravenshaw</t>
  </si>
  <si>
    <t>Marysa Skalls</t>
  </si>
  <si>
    <t>Massimiliano McIver</t>
  </si>
  <si>
    <t>Massimo McDougle</t>
  </si>
  <si>
    <t>Mathew Russ</t>
  </si>
  <si>
    <t>Matthias Haestier</t>
  </si>
  <si>
    <t>Matthus Dumphrey</t>
  </si>
  <si>
    <t>Mattias Cheers</t>
  </si>
  <si>
    <t>Maure Quinane</t>
  </si>
  <si>
    <t>Mauricio Smooth</t>
  </si>
  <si>
    <t>Maury Belshaw</t>
  </si>
  <si>
    <t>Mavis Huyge</t>
  </si>
  <si>
    <t>Maximilianus Hamlington</t>
  </si>
  <si>
    <t>May Fortesquieu</t>
  </si>
  <si>
    <t>May Richings</t>
  </si>
  <si>
    <t>Maynard Krebs</t>
  </si>
  <si>
    <t>Meara Timmis</t>
  </si>
  <si>
    <t>Meg Greensides</t>
  </si>
  <si>
    <t>Megan Churchard</t>
  </si>
  <si>
    <t>Melina Shapter</t>
  </si>
  <si>
    <t>Melisse Hartill</t>
  </si>
  <si>
    <t>Mellicent Hopkyns</t>
  </si>
  <si>
    <t>Melloney Brown</t>
  </si>
  <si>
    <t>Melva Brosoli</t>
  </si>
  <si>
    <t>Mendel Iscowitz</t>
  </si>
  <si>
    <t>Mercy Richemont</t>
  </si>
  <si>
    <t>Meredith Giraudot</t>
  </si>
  <si>
    <t>Meredith Samudio</t>
  </si>
  <si>
    <t>Merell Larose</t>
  </si>
  <si>
    <t>Merilee Leverich</t>
  </si>
  <si>
    <t>Merissa Duckitt</t>
  </si>
  <si>
    <t>Merrel Pomphrey</t>
  </si>
  <si>
    <t>Merrile Urrey</t>
  </si>
  <si>
    <t>Merrill Speakman</t>
  </si>
  <si>
    <t>Meryl Aitchinson</t>
  </si>
  <si>
    <t>Micah Rawdales</t>
  </si>
  <si>
    <t>Michale Hackley</t>
  </si>
  <si>
    <t>Miguel Chasemore</t>
  </si>
  <si>
    <t>Mil Tichelaar</t>
  </si>
  <si>
    <t>Mildred Antonio</t>
  </si>
  <si>
    <t>Millie Shayler</t>
  </si>
  <si>
    <t>Minetta Claeskens</t>
  </si>
  <si>
    <t>Minetta Maden</t>
  </si>
  <si>
    <t>Mirabel Prigmore</t>
  </si>
  <si>
    <t>Misty Whitrod</t>
  </si>
  <si>
    <t>Moishe Nicely</t>
  </si>
  <si>
    <t>Moll Wylie</t>
  </si>
  <si>
    <t>Monique Hammelberg</t>
  </si>
  <si>
    <t>Monty Spellward</t>
  </si>
  <si>
    <t>Morty Kettlestringes</t>
  </si>
  <si>
    <t>Moses Keymar</t>
  </si>
  <si>
    <t>Murdock Gorton</t>
  </si>
  <si>
    <t>Murielle Jorez</t>
  </si>
  <si>
    <t>Myles Scoggans</t>
  </si>
  <si>
    <t>Myriam Filby</t>
  </si>
  <si>
    <t>Myrilla Purvey</t>
  </si>
  <si>
    <t>Myrtie Silversmid</t>
  </si>
  <si>
    <t>Nanine Pummell</t>
  </si>
  <si>
    <t>Natassia Baldoni</t>
  </si>
  <si>
    <t>Nate Bartaletti</t>
  </si>
  <si>
    <t>Nathalie Bowerbank</t>
  </si>
  <si>
    <t>Nathaniel Evered</t>
  </si>
  <si>
    <t>Nealson Niezen</t>
  </si>
  <si>
    <t>Neil Doctor</t>
  </si>
  <si>
    <t>Neil Perritt</t>
  </si>
  <si>
    <t>Nelly Prando</t>
  </si>
  <si>
    <t>Netti Scullion</t>
  </si>
  <si>
    <t>Newton Shillabear</t>
  </si>
  <si>
    <t>Nial Antonazzi</t>
  </si>
  <si>
    <t>Nial Giovanazzi</t>
  </si>
  <si>
    <t>Nichols Exton</t>
  </si>
  <si>
    <t>Nicki Minnock</t>
  </si>
  <si>
    <t>Nicko Ledington</t>
  </si>
  <si>
    <t>Nickolai Martins</t>
  </si>
  <si>
    <t>Nickolaus Bernardeau</t>
  </si>
  <si>
    <t>Nicola Granleese</t>
  </si>
  <si>
    <t>Nicolette Matityahu</t>
  </si>
  <si>
    <t>Nikolai De Castri</t>
  </si>
  <si>
    <t>Nikolaus Aldwich</t>
  </si>
  <si>
    <t>Nikolaus Plampeyn</t>
  </si>
  <si>
    <t>Nikolos Ruppeli</t>
  </si>
  <si>
    <t>Nikolos Santino</t>
  </si>
  <si>
    <t>Nil Dowden</t>
  </si>
  <si>
    <t>Nisse McCauley</t>
  </si>
  <si>
    <t>Noami Pauletti</t>
  </si>
  <si>
    <t>Nobie Queripel</t>
  </si>
  <si>
    <t>Noelyn Vankin</t>
  </si>
  <si>
    <t>Nolie Gonnin</t>
  </si>
  <si>
    <t>Norbert Segges</t>
  </si>
  <si>
    <t>Norina Truckett</t>
  </si>
  <si>
    <t>Norman Carcas</t>
  </si>
  <si>
    <t>Norman Wilden</t>
  </si>
  <si>
    <t>Norris Ferrillio</t>
  </si>
  <si>
    <t>Obadiah Swinnard</t>
  </si>
  <si>
    <t>Obadias Penelli</t>
  </si>
  <si>
    <t>Odell Matterdace</t>
  </si>
  <si>
    <t>Olenka Puddicombe</t>
  </si>
  <si>
    <t>Olivero Wessel</t>
  </si>
  <si>
    <t>Ollie Allsupp</t>
  </si>
  <si>
    <t>Ophelia Renak</t>
  </si>
  <si>
    <t>Orel Henrie</t>
  </si>
  <si>
    <t>Orelia Philipson</t>
  </si>
  <si>
    <t>Orelle Krink</t>
  </si>
  <si>
    <t>Orion Robak</t>
  </si>
  <si>
    <t>Orland Gommery</t>
  </si>
  <si>
    <t>Orv Davidou</t>
  </si>
  <si>
    <t>Orville Dutt</t>
  </si>
  <si>
    <t>Osbourne Kuhnke</t>
  </si>
  <si>
    <t>Osmond Bayfield</t>
  </si>
  <si>
    <t>Otha Tappor</t>
  </si>
  <si>
    <t>Ozzy Cavnor</t>
  </si>
  <si>
    <t>Pablo Goodhand</t>
  </si>
  <si>
    <t>Packston Gamlin</t>
  </si>
  <si>
    <t>Pacorro Balden</t>
  </si>
  <si>
    <t>Pamela Banke</t>
  </si>
  <si>
    <t>Pansie Lingley</t>
  </si>
  <si>
    <t>Patin Scardifield</t>
  </si>
  <si>
    <t>Paulo Sibbert</t>
  </si>
  <si>
    <t>Pavlov Pucknell</t>
  </si>
  <si>
    <t>Peggie Grayland</t>
  </si>
  <si>
    <t>Pepillo Keaysell</t>
  </si>
  <si>
    <t>Pet Tellenbrook</t>
  </si>
  <si>
    <t>Peter Aps</t>
  </si>
  <si>
    <t>Petronella O' Ronan</t>
  </si>
  <si>
    <t>Petronille Niles</t>
  </si>
  <si>
    <t>Phil Falconar</t>
  </si>
  <si>
    <t>Phillip Kann</t>
  </si>
  <si>
    <t>Phillipe Corter</t>
  </si>
  <si>
    <t>Phillipe Greenroyd</t>
  </si>
  <si>
    <t>Phillipe Shildrake</t>
  </si>
  <si>
    <t>Pierre Lambshine</t>
  </si>
  <si>
    <t>Pietrek Eborn</t>
  </si>
  <si>
    <t>Pietro Coenraets</t>
  </si>
  <si>
    <t>Pippo Huish</t>
  </si>
  <si>
    <t>Pren Shanahan</t>
  </si>
  <si>
    <t>Prentiss Chastaing</t>
  </si>
  <si>
    <t>Prentiss Lockery</t>
  </si>
  <si>
    <t>Queenie De la Harpe</t>
  </si>
  <si>
    <t>Quintin Marc</t>
  </si>
  <si>
    <t>Rafaela Neagle</t>
  </si>
  <si>
    <t>Rafe Chorlton</t>
  </si>
  <si>
    <t>Rafe Leman</t>
  </si>
  <si>
    <t>Raff Menichini</t>
  </si>
  <si>
    <t>Rainer Pirdy</t>
  </si>
  <si>
    <t>Ramsay Dawdry</t>
  </si>
  <si>
    <t>Rance Medwell</t>
  </si>
  <si>
    <t>Rani Gaffney</t>
  </si>
  <si>
    <t>Ranice Exton</t>
  </si>
  <si>
    <t>Ranice Gaytor</t>
  </si>
  <si>
    <t>Ranique Hyatt</t>
  </si>
  <si>
    <t>Ransell Spira</t>
  </si>
  <si>
    <t>Raquel Beelby</t>
  </si>
  <si>
    <t>Rasla Shutte</t>
  </si>
  <si>
    <t>Raviv Jandel</t>
  </si>
  <si>
    <t>Read Muxworthy</t>
  </si>
  <si>
    <t>Reagan Jubert</t>
  </si>
  <si>
    <t>Reeta Hildred</t>
  </si>
  <si>
    <t>Reg Kubista</t>
  </si>
  <si>
    <t>Reggie Striker</t>
  </si>
  <si>
    <t>Reginauld Gurner</t>
  </si>
  <si>
    <t>Renaud Highwood</t>
  </si>
  <si>
    <t>Richard Cowdry</t>
  </si>
  <si>
    <t>Richmound Satyford</t>
  </si>
  <si>
    <t>Rickert Fairley</t>
  </si>
  <si>
    <t>Robbyn Didball</t>
  </si>
  <si>
    <t>Robinette Speller</t>
  </si>
  <si>
    <t>Robinia Losseljong</t>
  </si>
  <si>
    <t>Rochella Galland</t>
  </si>
  <si>
    <t>Rodd Froggatt</t>
  </si>
  <si>
    <t>Rodie Elsip</t>
  </si>
  <si>
    <t>Rodina Calloway</t>
  </si>
  <si>
    <t>Rodina Minchin</t>
  </si>
  <si>
    <t>Rodrigo Rourke</t>
  </si>
  <si>
    <t>Rodrique Filon</t>
  </si>
  <si>
    <t>Roger Guiet</t>
  </si>
  <si>
    <t>Rolph Slatcher</t>
  </si>
  <si>
    <t>Rory Hadwick</t>
  </si>
  <si>
    <t>Rosalie Brankley</t>
  </si>
  <si>
    <t>Rosaline Joanic</t>
  </si>
  <si>
    <t>Rosella Zamora</t>
  </si>
  <si>
    <t>Rosie Kenzie</t>
  </si>
  <si>
    <t>Rosina Kener</t>
  </si>
  <si>
    <t>Rossie Harget</t>
  </si>
  <si>
    <t>Rouvin Bavister</t>
  </si>
  <si>
    <t>Row Giottini</t>
  </si>
  <si>
    <t>Rowen Hullbrook</t>
  </si>
  <si>
    <t>Rubin Crummay</t>
  </si>
  <si>
    <t>Rubina Arp</t>
  </si>
  <si>
    <t>Rudd Bigland</t>
  </si>
  <si>
    <t>Rudolfo Yanyushkin</t>
  </si>
  <si>
    <t>Rufe Smerdon</t>
  </si>
  <si>
    <t>Ruthi Torrance</t>
  </si>
  <si>
    <t>Rutter Maddams</t>
  </si>
  <si>
    <t>Sadella Bowgen</t>
  </si>
  <si>
    <t>Sadella Fateley</t>
  </si>
  <si>
    <t>Saleem Dewdney</t>
  </si>
  <si>
    <t>Salli Gooda</t>
  </si>
  <si>
    <t>Salomi Rosenhaus</t>
  </si>
  <si>
    <t>Sanders McKinstry</t>
  </si>
  <si>
    <t>Sandor D'Ambrogi</t>
  </si>
  <si>
    <t>Saree de Clercq</t>
  </si>
  <si>
    <t>Saree Exrol</t>
  </si>
  <si>
    <t>Sarita Batcheldor</t>
  </si>
  <si>
    <t>Saunders Hubery</t>
  </si>
  <si>
    <t>Sayer McGonagle</t>
  </si>
  <si>
    <t>Scot Lethem</t>
  </si>
  <si>
    <t>Scot Skoughman</t>
  </si>
  <si>
    <t>Sebastiano Cloute</t>
  </si>
  <si>
    <t>See Postin</t>
  </si>
  <si>
    <t>Sena Bartholomieu</t>
  </si>
  <si>
    <t>Sergio Itzakovitz</t>
  </si>
  <si>
    <t>Shaine Monsey</t>
  </si>
  <si>
    <t>Shanan St Clair</t>
  </si>
  <si>
    <t>Shani Dawdary</t>
  </si>
  <si>
    <t>Shanta Crooke</t>
  </si>
  <si>
    <t>Sharline Tribbeck</t>
  </si>
  <si>
    <t>Shawna Powland</t>
  </si>
  <si>
    <t>Shaylynn Southern</t>
  </si>
  <si>
    <t>Shayne Greensall</t>
  </si>
  <si>
    <t>Shayne Millin</t>
  </si>
  <si>
    <t>Shea Woodeson</t>
  </si>
  <si>
    <t>Sheffield Drayton</t>
  </si>
  <si>
    <t>Sheilakathryn Buckberry</t>
  </si>
  <si>
    <t>Shelley Schuh</t>
  </si>
  <si>
    <t>Shelly Dabs</t>
  </si>
  <si>
    <t>Sherilyn Barendtsen</t>
  </si>
  <si>
    <t>Sherlock Duffell</t>
  </si>
  <si>
    <t>Sherwynd Southerell</t>
  </si>
  <si>
    <t>Sibbie Cutbush</t>
  </si>
  <si>
    <t>Sibby Rastrick</t>
  </si>
  <si>
    <t>Sibeal Stirman</t>
  </si>
  <si>
    <t>Sidnee Chalkly</t>
  </si>
  <si>
    <t>Silvester Capinetti</t>
  </si>
  <si>
    <t>Simone Garz</t>
  </si>
  <si>
    <t>Skell Heijne</t>
  </si>
  <si>
    <t>Skipper Ohm</t>
  </si>
  <si>
    <t>Somerset Phlippsen</t>
  </si>
  <si>
    <t>Sophie MacLoughlin</t>
  </si>
  <si>
    <t>Standford Searight</t>
  </si>
  <si>
    <t>Stanislas Colleer</t>
  </si>
  <si>
    <t>Stanislas Pessolt</t>
  </si>
  <si>
    <t>Stephan Greeve</t>
  </si>
  <si>
    <t>Stephannie Birt</t>
  </si>
  <si>
    <t>Stephen Vince</t>
  </si>
  <si>
    <t>Sterling Bebbington</t>
  </si>
  <si>
    <t>Steward Arnke</t>
  </si>
  <si>
    <t>Stinky Eddoes</t>
  </si>
  <si>
    <t>Sunny Glyne</t>
  </si>
  <si>
    <t>Susi Berndsen</t>
  </si>
  <si>
    <t>Sutherland Fantin</t>
  </si>
  <si>
    <t>Tab Morter</t>
  </si>
  <si>
    <t>Tabbatha Battaille</t>
  </si>
  <si>
    <t>Tabina Askell</t>
  </si>
  <si>
    <t>Taite Fulk</t>
  </si>
  <si>
    <t>Talbot Kynett</t>
  </si>
  <si>
    <t>Tallie Buckner</t>
  </si>
  <si>
    <t>Tam Doniso</t>
  </si>
  <si>
    <t>Tammy Lenden</t>
  </si>
  <si>
    <t>Tamqrah Flowerden</t>
  </si>
  <si>
    <t>Tani Haddock</t>
  </si>
  <si>
    <t>Ted Davoren</t>
  </si>
  <si>
    <t>Tedie Cartmer</t>
  </si>
  <si>
    <t>Tedmund Lardeux</t>
  </si>
  <si>
    <t>Temple Dorracott</t>
  </si>
  <si>
    <t>Teresina Howling</t>
  </si>
  <si>
    <t>Teriann Portress</t>
  </si>
  <si>
    <t>Terri Dorn</t>
  </si>
  <si>
    <t>Terri Novic</t>
  </si>
  <si>
    <t>Terry Hess</t>
  </si>
  <si>
    <t>Tessie Farre</t>
  </si>
  <si>
    <t>Thalia Crowcher</t>
  </si>
  <si>
    <t>Thatcher Haug</t>
  </si>
  <si>
    <t>Thebault Base</t>
  </si>
  <si>
    <t>Thoma Worcester</t>
  </si>
  <si>
    <t>Tiebout Roby</t>
  </si>
  <si>
    <t>Tim Koschek</t>
  </si>
  <si>
    <t>Timmie Howis</t>
  </si>
  <si>
    <t>Tiphani Cuerda</t>
  </si>
  <si>
    <t>Tirrell Durdle</t>
  </si>
  <si>
    <t>Titos Collaton</t>
  </si>
  <si>
    <t>Titos Shelmardine</t>
  </si>
  <si>
    <t>Titus Murray</t>
  </si>
  <si>
    <t>Tobe Standen</t>
  </si>
  <si>
    <t>Toma Crisell</t>
  </si>
  <si>
    <t>Tori Helis</t>
  </si>
  <si>
    <t>Tracey Phelip</t>
  </si>
  <si>
    <t>Tracy Briztman</t>
  </si>
  <si>
    <t>Travers Nequest</t>
  </si>
  <si>
    <t>Tremaine Dyzart</t>
  </si>
  <si>
    <t>Trescha Labusquiere</t>
  </si>
  <si>
    <t>Trevor Greschik</t>
  </si>
  <si>
    <t>Trey Rosenthal</t>
  </si>
  <si>
    <t>Trisha Hinchshaw</t>
  </si>
  <si>
    <t>Troy McQuarrie</t>
  </si>
  <si>
    <t>Trude Lindenbluth</t>
  </si>
  <si>
    <t>Trumaine Laundon</t>
  </si>
  <si>
    <t>Tucker Wurst</t>
  </si>
  <si>
    <t>Tuckie Mullenger</t>
  </si>
  <si>
    <t>Ulrike Meagher</t>
  </si>
  <si>
    <t>Umeko Wilshaw</t>
  </si>
  <si>
    <t>Vail Mailey</t>
  </si>
  <si>
    <t>Vale Lesek</t>
  </si>
  <si>
    <t>Valencia Ubsdale</t>
  </si>
  <si>
    <t>Valene Carverhill</t>
  </si>
  <si>
    <t>Vally Pinel</t>
  </si>
  <si>
    <t>Van Vedmore</t>
  </si>
  <si>
    <t>Vania Tolefree</t>
  </si>
  <si>
    <t>Vanni Cheston</t>
  </si>
  <si>
    <t>Veriee McGillacoell</t>
  </si>
  <si>
    <t>Verine Gouldstone</t>
  </si>
  <si>
    <t>Veronike Chidwick</t>
  </si>
  <si>
    <t>Vickie Jocic</t>
  </si>
  <si>
    <t>Vincenz Lillford</t>
  </si>
  <si>
    <t>Vite Blethyn</t>
  </si>
  <si>
    <t>Viv Czajka</t>
  </si>
  <si>
    <t>Vivian Philson</t>
  </si>
  <si>
    <t>Vladamir Van Castele</t>
  </si>
  <si>
    <t>Vladimir Nassy</t>
  </si>
  <si>
    <t>Wait Rosenbaum</t>
  </si>
  <si>
    <t>Waldemar Vaggers</t>
  </si>
  <si>
    <t>Walker Bartels</t>
  </si>
  <si>
    <t>Wallas Druitt</t>
  </si>
  <si>
    <t>Wallas Riolfi</t>
  </si>
  <si>
    <t>Ward Barnett</t>
  </si>
  <si>
    <t>Ward Mance</t>
  </si>
  <si>
    <t>Webster Akerman</t>
  </si>
  <si>
    <t>Welbie Siveyer</t>
  </si>
  <si>
    <t>Wendel Hulmes</t>
  </si>
  <si>
    <t>Wendel Taudevin</t>
  </si>
  <si>
    <t>Wenona Pawlik</t>
  </si>
  <si>
    <t>Westley Affleck</t>
  </si>
  <si>
    <t>Weylin Daouze</t>
  </si>
  <si>
    <t>Wheeler Renoden</t>
  </si>
  <si>
    <t>Will Elmhirst</t>
  </si>
  <si>
    <t>Willem Juschke</t>
  </si>
  <si>
    <t>Wilmette Dronsfield</t>
  </si>
  <si>
    <t>Winfield Lansdowne</t>
  </si>
  <si>
    <t>Winfred Siggee</t>
  </si>
  <si>
    <t>Wini Allenson</t>
  </si>
  <si>
    <t>Winston Pech</t>
  </si>
  <si>
    <t>Xylia Manshaw</t>
  </si>
  <si>
    <t>Xymenes Stallard</t>
  </si>
  <si>
    <t>Yehudit Dawdary</t>
  </si>
  <si>
    <t>Yolanthe Ingrey</t>
  </si>
  <si>
    <t>Yuri Tampin</t>
  </si>
  <si>
    <t>Yves Edelmann</t>
  </si>
  <si>
    <t>Zachariah Lared</t>
  </si>
  <si>
    <t>Zack Codlin</t>
  </si>
  <si>
    <t>Zane Cheverton</t>
  </si>
  <si>
    <t>Zaneta Swaddle</t>
  </si>
  <si>
    <t>Zebadiah Parham</t>
  </si>
  <si>
    <t>Zebedee Lewzey</t>
  </si>
  <si>
    <t>Zebulen Skeemor</t>
  </si>
  <si>
    <t>Zita Crossgrove</t>
  </si>
  <si>
    <t>Zonda Pipes</t>
  </si>
  <si>
    <t>Employee Information</t>
  </si>
  <si>
    <t>Compesensation Information</t>
  </si>
  <si>
    <t>2018 Commission</t>
  </si>
  <si>
    <t>Benchmark Data</t>
  </si>
  <si>
    <t>Benchmark Commissions</t>
  </si>
  <si>
    <r>
      <rPr>
        <b/>
        <sz val="16"/>
        <color theme="1"/>
        <rFont val="Calibri"/>
        <family val="2"/>
        <scheme val="minor"/>
      </rPr>
      <t xml:space="preserve">Employee Dashboard:  </t>
    </r>
    <r>
      <rPr>
        <sz val="16"/>
        <color theme="1"/>
        <rFont val="Calibri"/>
        <family val="2"/>
        <scheme val="minor"/>
      </rPr>
      <t>Worksheet displaying employee performance metrics</t>
    </r>
  </si>
  <si>
    <r>
      <t xml:space="preserve">Top Performers Dashboard: </t>
    </r>
    <r>
      <rPr>
        <sz val="16"/>
        <color theme="1"/>
        <rFont val="Calibri"/>
        <family val="2"/>
        <scheme val="minor"/>
      </rPr>
      <t>Worksheet that displays performance for each work title, and top performing employees in 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</si>
</sst>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"/>
    <numFmt numFmtId="167" formatCode="0_);\(0\)"/>
    <numFmt numFmtId="168" formatCode="_(&quot;$&quot;* #,##0.000_);_(&quot;$&quot;* \(#,##0.000\);_(&quot;$&quot;* &quot;-&quot;???_);_(@_)"/>
    <numFmt numFmtId="169" formatCode="_(&quot;$&quot;* #,##0.0_);_(&quot;$&quot;* \(#,##0.0\);_(&quot;$&quot;* &quot;-&quot;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ill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0" fontId="0" fillId="0" borderId="1" xfId="0" applyFill="1" applyBorder="1"/>
    <xf numFmtId="164" fontId="0" fillId="4" borderId="1" xfId="1" applyNumberFormat="1" applyFont="1" applyFill="1" applyBorder="1"/>
    <xf numFmtId="0" fontId="0" fillId="4" borderId="1" xfId="2" applyNumberFormat="1" applyFont="1" applyFill="1" applyBorder="1"/>
    <xf numFmtId="0" fontId="0" fillId="0" borderId="1" xfId="0" applyBorder="1"/>
    <xf numFmtId="3" fontId="0" fillId="4" borderId="1" xfId="0" applyNumberFormat="1" applyFill="1" applyBorder="1"/>
    <xf numFmtId="165" fontId="0" fillId="4" borderId="1" xfId="0" applyNumberFormat="1" applyFill="1" applyBorder="1"/>
    <xf numFmtId="42" fontId="0" fillId="4" borderId="1" xfId="0" applyNumberFormat="1" applyFill="1" applyBorder="1"/>
    <xf numFmtId="164" fontId="0" fillId="3" borderId="1" xfId="1" applyNumberFormat="1" applyFont="1" applyFill="1" applyBorder="1"/>
    <xf numFmtId="0" fontId="0" fillId="3" borderId="1" xfId="2" applyNumberFormat="1" applyFont="1" applyFill="1" applyBorder="1"/>
    <xf numFmtId="0" fontId="0" fillId="0" borderId="5" xfId="0" applyFill="1" applyBorder="1"/>
    <xf numFmtId="167" fontId="0" fillId="3" borderId="1" xfId="1" applyNumberFormat="1" applyFont="1" applyFill="1" applyBorder="1"/>
    <xf numFmtId="37" fontId="0" fillId="4" borderId="1" xfId="1" applyNumberFormat="1" applyFont="1" applyFill="1" applyBorder="1"/>
    <xf numFmtId="164" fontId="0" fillId="5" borderId="0" xfId="0" applyNumberFormat="1" applyFill="1"/>
    <xf numFmtId="0" fontId="0" fillId="0" borderId="0" xfId="0" applyFill="1" applyBorder="1"/>
    <xf numFmtId="0" fontId="3" fillId="0" borderId="0" xfId="0" applyFont="1" applyAlignment="1">
      <alignment horizontal="center"/>
    </xf>
    <xf numFmtId="9" fontId="0" fillId="3" borderId="1" xfId="1" applyNumberFormat="1" applyFont="1" applyFill="1" applyBorder="1"/>
    <xf numFmtId="0" fontId="0" fillId="7" borderId="1" xfId="0" applyFill="1" applyBorder="1"/>
    <xf numFmtId="9" fontId="0" fillId="3" borderId="1" xfId="2" applyFont="1" applyFill="1" applyBorder="1" applyProtection="1">
      <protection locked="0"/>
    </xf>
    <xf numFmtId="164" fontId="0" fillId="3" borderId="1" xfId="1" applyNumberFormat="1" applyFont="1" applyFill="1" applyBorder="1" applyProtection="1">
      <protection locked="0"/>
    </xf>
    <xf numFmtId="0" fontId="0" fillId="3" borderId="1" xfId="1" applyNumberFormat="1" applyFont="1" applyFill="1" applyBorder="1" applyProtection="1">
      <protection locked="0"/>
    </xf>
    <xf numFmtId="0" fontId="0" fillId="0" borderId="1" xfId="0" applyFill="1" applyBorder="1" applyProtection="1"/>
    <xf numFmtId="3" fontId="0" fillId="6" borderId="1" xfId="0" applyNumberFormat="1" applyFill="1" applyBorder="1" applyProtection="1"/>
    <xf numFmtId="3" fontId="0" fillId="0" borderId="1" xfId="0" applyNumberFormat="1" applyFill="1" applyBorder="1" applyProtection="1"/>
    <xf numFmtId="0" fontId="0" fillId="0" borderId="1" xfId="0" applyBorder="1" applyProtection="1"/>
    <xf numFmtId="0" fontId="0" fillId="0" borderId="0" xfId="0" applyFill="1" applyBorder="1" applyProtection="1"/>
    <xf numFmtId="0" fontId="0" fillId="0" borderId="0" xfId="0" applyProtection="1"/>
    <xf numFmtId="42" fontId="0" fillId="6" borderId="1" xfId="0" applyNumberFormat="1" applyFill="1" applyBorder="1" applyProtection="1"/>
    <xf numFmtId="44" fontId="0" fillId="0" borderId="1" xfId="0" applyNumberFormat="1" applyFill="1" applyBorder="1" applyProtection="1"/>
    <xf numFmtId="44" fontId="0" fillId="0" borderId="1" xfId="1" applyFont="1" applyBorder="1" applyProtection="1"/>
    <xf numFmtId="44" fontId="0" fillId="0" borderId="1" xfId="0" applyNumberFormat="1" applyBorder="1" applyProtection="1"/>
    <xf numFmtId="42" fontId="0" fillId="0" borderId="1" xfId="0" applyNumberFormat="1" applyBorder="1" applyProtection="1"/>
    <xf numFmtId="44" fontId="0" fillId="0" borderId="1" xfId="1" applyFont="1" applyFill="1" applyBorder="1" applyProtection="1"/>
    <xf numFmtId="165" fontId="0" fillId="6" borderId="1" xfId="0" applyNumberFormat="1" applyFill="1" applyBorder="1" applyProtection="1"/>
    <xf numFmtId="9" fontId="0" fillId="0" borderId="1" xfId="2" applyFont="1" applyFill="1" applyBorder="1" applyProtection="1"/>
    <xf numFmtId="9" fontId="0" fillId="0" borderId="1" xfId="2" applyFont="1" applyBorder="1" applyProtection="1"/>
    <xf numFmtId="3" fontId="0" fillId="0" borderId="1" xfId="0" applyNumberFormat="1" applyBorder="1" applyProtection="1"/>
    <xf numFmtId="42" fontId="0" fillId="0" borderId="1" xfId="0" applyNumberFormat="1" applyFill="1" applyBorder="1" applyProtection="1"/>
    <xf numFmtId="166" fontId="0" fillId="0" borderId="0" xfId="0" applyNumberFormat="1" applyFill="1" applyBorder="1" applyProtection="1"/>
    <xf numFmtId="164" fontId="0" fillId="0" borderId="1" xfId="0" applyNumberFormat="1" applyBorder="1" applyProtection="1"/>
    <xf numFmtId="164" fontId="0" fillId="0" borderId="1" xfId="1" applyNumberFormat="1" applyFont="1" applyBorder="1" applyProtection="1"/>
    <xf numFmtId="164" fontId="0" fillId="0" borderId="1" xfId="0" applyNumberFormat="1" applyFill="1" applyBorder="1" applyProtection="1"/>
    <xf numFmtId="0" fontId="3" fillId="0" borderId="0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horizontal="center"/>
    </xf>
    <xf numFmtId="164" fontId="0" fillId="6" borderId="1" xfId="1" applyNumberFormat="1" applyFont="1" applyFill="1" applyBorder="1" applyProtection="1"/>
    <xf numFmtId="0" fontId="0" fillId="6" borderId="1" xfId="2" applyNumberFormat="1" applyFont="1" applyFill="1" applyBorder="1" applyProtection="1"/>
    <xf numFmtId="0" fontId="0" fillId="6" borderId="1" xfId="1" applyNumberFormat="1" applyFont="1" applyFill="1" applyBorder="1" applyProtection="1"/>
    <xf numFmtId="44" fontId="0" fillId="0" borderId="0" xfId="0" applyNumberFormat="1" applyFill="1" applyBorder="1" applyProtection="1"/>
    <xf numFmtId="44" fontId="0" fillId="0" borderId="0" xfId="0" applyNumberFormat="1" applyProtection="1"/>
    <xf numFmtId="0" fontId="7" fillId="0" borderId="0" xfId="0" applyFont="1" applyProtection="1"/>
    <xf numFmtId="0" fontId="7" fillId="0" borderId="0" xfId="0" applyFont="1" applyAlignment="1" applyProtection="1"/>
    <xf numFmtId="0" fontId="4" fillId="0" borderId="1" xfId="0" applyFont="1" applyBorder="1" applyProtection="1"/>
    <xf numFmtId="0" fontId="4" fillId="0" borderId="0" xfId="0" applyFont="1" applyProtection="1"/>
    <xf numFmtId="0" fontId="4" fillId="0" borderId="0" xfId="0" applyFont="1" applyFill="1" applyBorder="1" applyProtection="1"/>
    <xf numFmtId="0" fontId="5" fillId="0" borderId="0" xfId="0" applyFont="1" applyFill="1" applyBorder="1" applyProtection="1"/>
    <xf numFmtId="0" fontId="4" fillId="0" borderId="1" xfId="0" applyFont="1" applyFill="1" applyBorder="1" applyProtection="1"/>
    <xf numFmtId="3" fontId="4" fillId="6" borderId="1" xfId="0" applyNumberFormat="1" applyFont="1" applyFill="1" applyBorder="1" applyProtection="1"/>
    <xf numFmtId="3" fontId="4" fillId="0" borderId="1" xfId="0" applyNumberFormat="1" applyFont="1" applyFill="1" applyBorder="1" applyProtection="1"/>
    <xf numFmtId="42" fontId="4" fillId="6" borderId="1" xfId="0" applyNumberFormat="1" applyFont="1" applyFill="1" applyBorder="1" applyProtection="1"/>
    <xf numFmtId="164" fontId="4" fillId="0" borderId="1" xfId="1" applyNumberFormat="1" applyFont="1" applyFill="1" applyBorder="1" applyProtection="1"/>
    <xf numFmtId="44" fontId="4" fillId="0" borderId="1" xfId="1" applyFont="1" applyFill="1" applyBorder="1" applyProtection="1"/>
    <xf numFmtId="9" fontId="4" fillId="7" borderId="1" xfId="2" applyFont="1" applyFill="1" applyBorder="1" applyProtection="1"/>
    <xf numFmtId="0" fontId="5" fillId="3" borderId="0" xfId="0" applyFont="1" applyFill="1" applyBorder="1" applyAlignment="1" applyProtection="1">
      <alignment horizontal="right"/>
      <protection locked="0"/>
    </xf>
    <xf numFmtId="0" fontId="10" fillId="0" borderId="0" xfId="0" applyFont="1" applyProtection="1"/>
    <xf numFmtId="0" fontId="1" fillId="0" borderId="0" xfId="0" applyFont="1" applyBorder="1" applyAlignment="1" applyProtection="1">
      <alignment horizontal="left"/>
    </xf>
    <xf numFmtId="0" fontId="8" fillId="0" borderId="0" xfId="0" applyFont="1" applyAlignment="1" applyProtection="1"/>
    <xf numFmtId="0" fontId="8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164" fontId="0" fillId="8" borderId="1" xfId="1" applyNumberFormat="1" applyFont="1" applyFill="1" applyBorder="1"/>
    <xf numFmtId="164" fontId="0" fillId="8" borderId="1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8" borderId="1" xfId="1" applyFont="1" applyFill="1" applyBorder="1"/>
    <xf numFmtId="0" fontId="0" fillId="8" borderId="1" xfId="1" applyNumberFormat="1" applyFont="1" applyFill="1" applyBorder="1"/>
    <xf numFmtId="0" fontId="0" fillId="0" borderId="3" xfId="0" applyBorder="1"/>
    <xf numFmtId="44" fontId="0" fillId="9" borderId="1" xfId="1" applyFont="1" applyFill="1" applyBorder="1"/>
    <xf numFmtId="0" fontId="0" fillId="8" borderId="1" xfId="0" applyFill="1" applyBorder="1"/>
    <xf numFmtId="0" fontId="0" fillId="3" borderId="1" xfId="0" applyFill="1" applyBorder="1" applyProtection="1">
      <protection locked="0"/>
    </xf>
    <xf numFmtId="0" fontId="0" fillId="0" borderId="7" xfId="0" applyBorder="1" applyAlignment="1">
      <alignment horizontal="center" vertical="center" wrapText="1"/>
    </xf>
    <xf numFmtId="0" fontId="0" fillId="10" borderId="0" xfId="0" applyFill="1"/>
    <xf numFmtId="0" fontId="0" fillId="0" borderId="0" xfId="0" applyAlignment="1">
      <alignment horizontal="left"/>
    </xf>
    <xf numFmtId="44" fontId="0" fillId="0" borderId="0" xfId="1" applyFont="1"/>
    <xf numFmtId="0" fontId="8" fillId="0" borderId="0" xfId="0" applyFont="1" applyAlignment="1" applyProtection="1"/>
    <xf numFmtId="0" fontId="6" fillId="0" borderId="0" xfId="0" applyFont="1" applyAlignment="1" applyProtection="1">
      <alignment horizontal="center"/>
    </xf>
    <xf numFmtId="0" fontId="8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1" applyFon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'Strategy Dashboard'!$D$7</c:f>
          <c:strCache>
            <c:ptCount val="1"/>
            <c:pt idx="0">
              <c:v>Strategy 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'Strategy Dashboard'!$B$10</c:f>
              <c:strCache>
                <c:ptCount val="1"/>
                <c:pt idx="0">
                  <c:v>Target Gross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'Strategy Dashboard'!$C$7:$D$7</c:f>
              <c:strCache>
                <c:ptCount val="2"/>
                <c:pt idx="0">
                  <c:v>2018</c:v>
                </c:pt>
                <c:pt idx="1">
                  <c:v>Strategy 1</c:v>
                </c:pt>
              </c:strCache>
            </c:strRef>
          </c:cat>
          <c:val>
            <c:numRef>
              <c:f>'Strategy Dashboard'!$C$10:$D$10</c:f>
              <c:numCache>
                <c:formatCode>_("$"* #,##0.00_);_("$"* \(#,##0.00\);_("$"* "-"??_);_(@_)</c:formatCode>
                <c:ptCount val="2"/>
                <c:pt idx="0" formatCode="_(&quot;$&quot;* #,##0_);_(&quot;$&quot;* \(#,##0\);_(&quot;$&quot;* &quot;-&quot;_);_(@_)">
                  <c:v>621050000</c:v>
                </c:pt>
                <c:pt idx="1">
                  <c:v>703700000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48-496C-818C-85FC7AF33AF5}"/>
            </c:ext>
          </c:extLst>
        </c:ser>
        <c:ser>
          <c:idx val="1"/>
          <c:order val="1"/>
          <c:tx>
            <c:strRef>
              <c:f>'Strategy Dashboard'!$B$9</c:f>
              <c:strCache>
                <c:ptCount val="1"/>
                <c:pt idx="0">
                  <c:v>Gross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'Strategy Dashboard'!$C$7:$D$7</c:f>
              <c:strCache>
                <c:ptCount val="2"/>
                <c:pt idx="0">
                  <c:v>2018</c:v>
                </c:pt>
                <c:pt idx="1">
                  <c:v>Strategy 1</c:v>
                </c:pt>
              </c:strCache>
            </c:strRef>
          </c:cat>
          <c:val>
            <c:numRef>
              <c:f>'Strategy Dashboard'!$C$9:$D$9</c:f>
              <c:numCache>
                <c:formatCode>_("$"* #,##0_);_("$"* \(#,##0\);_("$"* "-"??_);_(@_)</c:formatCode>
                <c:ptCount val="2"/>
                <c:pt idx="0" formatCode="_(&quot;$&quot;* #,##0_);_(&quot;$&quot;* \(#,##0\);_(&quot;$&quot;* &quot;-&quot;_);_(@_)">
                  <c:v>699144198</c:v>
                </c:pt>
                <c:pt idx="1">
                  <c:v>908887457.39999998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8-496C-818C-85FC7AF33A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2222592"/>
        <c:axId val="809130368"/>
      </c:barChart>
      <c:catAx>
        <c:axId val="8222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30368"/>
        <c:crosses val="autoZero"/>
        <c:auto val="1"/>
        <c:lblAlgn val="ctr"/>
        <c:lblOffset val="100"/>
        <c:noMultiLvlLbl val="0"/>
      </c:catAx>
      <c:valAx>
        <c:axId val="80913036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('2018_commission_structure Finis'!$M$4,'2018_commission_structure Finis'!$P$4)</c:f>
              <c:numCache>
                <c:formatCode>_("$"* #,##0_);_("$"* \(#,##0\);_("$"* "-"??_);_(@_)</c:formatCode>
                <c:ptCount val="2"/>
                <c:pt idx="0" formatCode="_(&quot;$&quot;* #,##0_);_(&quot;$&quot;* \(#,##0\);_(&quot;$&quot;* &quot;-&quot;_);_(@_)">
                  <c:v>699144198</c:v>
                </c:pt>
                <c:pt idx="1">
                  <c:v>838973037.60000002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C-1B4D-94FE-9203F5C7D5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434800"/>
        <c:axId val="810992848"/>
      </c:barChart>
      <c:catAx>
        <c:axId val="811434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2018 Gross Revenue                               Strategy 3 Gross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0992848"/>
        <c:crosses val="autoZero"/>
        <c:auto val="1"/>
        <c:lblAlgn val="ctr"/>
        <c:lblOffset val="100"/>
        <c:noMultiLvlLbl val="0"/>
      </c:catAx>
      <c:valAx>
        <c:axId val="810992848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Combined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58377077865267"/>
          <c:y val="0.1439122193059201"/>
          <c:w val="0.7588606736657918"/>
          <c:h val="0.748726669582968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('2018_commission_structure Finis'!$M$4,'2018_commission_structure Finis'!$Q$4)</c:f>
              <c:numCache>
                <c:formatCode>_("$"* #,##0_);_("$"* \(#,##0\);_("$"* "-"_);_(@_)</c:formatCode>
                <c:ptCount val="2"/>
                <c:pt idx="0">
                  <c:v>699144198</c:v>
                </c:pt>
                <c:pt idx="1">
                  <c:v>1116101517.5904269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0143-A34F-7DB21E30A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452544"/>
        <c:axId val="810482112"/>
      </c:barChart>
      <c:catAx>
        <c:axId val="8104525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2018 Gross Revenue</a:t>
                </a:r>
                <a:r>
                  <a:rPr lang="en-US" baseline="0"/>
                  <a:t>              Combined Strategy Gross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084733158355207"/>
              <c:y val="0.897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0482112"/>
        <c:crosses val="autoZero"/>
        <c:auto val="1"/>
        <c:lblAlgn val="ctr"/>
        <c:lblOffset val="100"/>
        <c:noMultiLvlLbl val="0"/>
      </c:catAx>
      <c:valAx>
        <c:axId val="810482112"/>
        <c:scaling>
          <c:orientation val="minMax"/>
          <c:max val="12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2544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Combined Strategy</a:t>
            </a:r>
          </a:p>
        </c:rich>
      </c:tx>
      <c:layout>
        <c:manualLayout>
          <c:xMode val="edge"/>
          <c:yMode val="edge"/>
          <c:x val="0.38198890680731457"/>
          <c:y val="9.25927617080854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53045338371235"/>
          <c:y val="0.11150481189851269"/>
          <c:w val="0.70353275214697109"/>
          <c:h val="0.748726669582968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('2018_commission_structure Finis'!$M$4,'2018_commission_structure Finis'!$Q$4)</c:f>
              <c:numCache>
                <c:formatCode>_("$"* #,##0_);_("$"* \(#,##0\);_("$"* "-"_);_(@_)</c:formatCode>
                <c:ptCount val="2"/>
                <c:pt idx="0">
                  <c:v>699144198</c:v>
                </c:pt>
                <c:pt idx="1">
                  <c:v>1116101517.5904269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5-4433-A8AC-C82419E97C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452544"/>
        <c:axId val="810482112"/>
      </c:barChart>
      <c:catAx>
        <c:axId val="8104525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        2018 Gross Revenue              Combined Strategy Gross Revenue</a:t>
                </a:r>
              </a:p>
            </c:rich>
          </c:tx>
          <c:layout>
            <c:manualLayout>
              <c:xMode val="edge"/>
              <c:yMode val="edge"/>
              <c:x val="0.28084733158355207"/>
              <c:y val="0.897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0482112"/>
        <c:crosses val="autoZero"/>
        <c:auto val="1"/>
        <c:lblAlgn val="ctr"/>
        <c:lblOffset val="100"/>
        <c:noMultiLvlLbl val="0"/>
      </c:catAx>
      <c:valAx>
        <c:axId val="810482112"/>
        <c:scaling>
          <c:orientation val="minMax"/>
          <c:max val="1200000000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2544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83327627524819"/>
          <c:y val="1.1004121780102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538474183420186"/>
          <c:y val="9.1715167116795906E-2"/>
          <c:w val="0.54387527094871757"/>
          <c:h val="0.81231413770572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Top_Performers!$D$7</c:f>
              <c:strCache>
                <c:ptCount val="1"/>
                <c:pt idx="0">
                  <c:v>Account Executive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70422479132219E-3"/>
                  <c:y val="5.5020753311561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5831379463444"/>
                      <c:h val="0.199064563002063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B3-4E5F-BB13-D07FC9E47CC9}"/>
                </c:ext>
              </c:extLst>
            </c:dLbl>
            <c:dLbl>
              <c:idx val="1"/>
              <c:layout>
                <c:manualLayout>
                  <c:x val="0"/>
                  <c:y val="4.4016631531458947E-2"/>
                </c:manualLayout>
              </c:layout>
              <c:tx>
                <c:rich>
                  <a:bodyPr/>
                  <a:lstStyle/>
                  <a:p>
                    <a:fld id="{4DE6F67E-EE50-48DD-89C7-C534E2DDAB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38883375565969"/>
                      <c:h val="0.1990645630020630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2B3-4E5F-BB13-D07FC9E47CC9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Top_Performers!$C$11:$C$12</c:f>
              <c:strCache>
                <c:ptCount val="2"/>
                <c:pt idx="0">
                  <c:v>Total Commissions</c:v>
                </c:pt>
                <c:pt idx="1">
                  <c:v>Total Revenue</c:v>
                </c:pt>
              </c:strCache>
            </c:strRef>
          </c:cat>
          <c:val>
            <c:numRef>
              <c:f>Top_Performers!$D$11:$D$12</c:f>
              <c:numCache>
                <c:formatCode>_("$"* #,##0.00_);_("$"* \(#,##0.00\);_("$"* "-"??_);_(@_)</c:formatCode>
                <c:ptCount val="2"/>
                <c:pt idx="0">
                  <c:v>25242290.640000004</c:v>
                </c:pt>
                <c:pt idx="1">
                  <c:v>210180123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3-4E5F-BB13-D07FC9E47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095560"/>
        <c:axId val="354095888"/>
      </c:barChart>
      <c:catAx>
        <c:axId val="35409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95888"/>
        <c:crosses val="autoZero"/>
        <c:auto val="1"/>
        <c:lblAlgn val="ctr"/>
        <c:lblOffset val="100"/>
        <c:noMultiLvlLbl val="0"/>
      </c:catAx>
      <c:valAx>
        <c:axId val="3540958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9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Top Employee Per Position</a:t>
            </a:r>
          </a:p>
        </c:rich>
      </c:tx>
      <c:layout>
        <c:manualLayout>
          <c:xMode val="edge"/>
          <c:yMode val="edge"/>
          <c:x val="0.29932344911854586"/>
          <c:y val="1.1004121780102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Top_Performers!$L$5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Top_Performers!$H$6:$J$8</c:f>
              <c:multiLvlStrCache>
                <c:ptCount val="3"/>
                <c:lvl>
                  <c:pt idx="0">
                    <c:v>Nathalie Bowerbank</c:v>
                  </c:pt>
                  <c:pt idx="1">
                    <c:v>Darryl Worgan</c:v>
                  </c:pt>
                  <c:pt idx="2">
                    <c:v>Shaylynn Southern</c:v>
                  </c:pt>
                </c:lvl>
                <c:lvl>
                  <c:pt idx="0">
                    <c:v>Account Executive I</c:v>
                  </c:pt>
                  <c:pt idx="1">
                    <c:v>Account Executive II</c:v>
                  </c:pt>
                  <c:pt idx="2">
                    <c:v>Account Executive III</c:v>
                  </c:pt>
                </c:lvl>
              </c:multiLvlStrCache>
            </c:multiLvlStrRef>
          </c:cat>
          <c:val>
            <c:numRef>
              <c:f>Top_Performers!$L$6:$L$8</c:f>
              <c:numCache>
                <c:formatCode>_("$"* #,##0.00_);_("$"* \(#,##0.00\);_("$"* "-"??_);_(@_)</c:formatCode>
                <c:ptCount val="3"/>
                <c:pt idx="0">
                  <c:v>1230202</c:v>
                </c:pt>
                <c:pt idx="1">
                  <c:v>1369014</c:v>
                </c:pt>
                <c:pt idx="2">
                  <c:v>1280079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10C-B534-73F1E1ABA9C7}"/>
            </c:ext>
          </c:extLst>
        </c:ser>
        <c:ser>
          <c:idx val="2"/>
          <c:order val="2"/>
          <c:tx>
            <c:strRef>
              <c:f>Top_Performers!$M$5</c:f>
              <c:strCache>
                <c:ptCount val="1"/>
                <c:pt idx="0">
                  <c:v>Quota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36847038181567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D-410C-B534-73F1E1ABA9C7}"/>
                </c:ext>
              </c:extLst>
            </c:dLbl>
            <c:dLbl>
              <c:idx val="1"/>
              <c:layout>
                <c:manualLayout>
                  <c:x val="3.9886033920925615E-2"/>
                  <c:y val="3.59873891120862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CD-410C-B534-73F1E1ABA9C7}"/>
                </c:ext>
              </c:extLst>
            </c:dLbl>
            <c:dLbl>
              <c:idx val="2"/>
              <c:layout>
                <c:manualLayout>
                  <c:x val="2.65906892806171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D-410C-B534-73F1E1ABA9C7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Top_Performers!$H$6:$J$8</c:f>
              <c:multiLvlStrCache>
                <c:ptCount val="3"/>
                <c:lvl>
                  <c:pt idx="0">
                    <c:v>Nathalie Bowerbank</c:v>
                  </c:pt>
                  <c:pt idx="1">
                    <c:v>Darryl Worgan</c:v>
                  </c:pt>
                  <c:pt idx="2">
                    <c:v>Shaylynn Southern</c:v>
                  </c:pt>
                </c:lvl>
                <c:lvl>
                  <c:pt idx="0">
                    <c:v>Account Executive I</c:v>
                  </c:pt>
                  <c:pt idx="1">
                    <c:v>Account Executive II</c:v>
                  </c:pt>
                  <c:pt idx="2">
                    <c:v>Account Executive III</c:v>
                  </c:pt>
                </c:lvl>
              </c:multiLvlStrCache>
            </c:multiLvlStrRef>
          </c:cat>
          <c:val>
            <c:numRef>
              <c:f>Top_Performers!$M$6:$M$8</c:f>
              <c:numCache>
                <c:formatCode>_("$"* #,##0.00_);_("$"* \(#,##0.00\);_("$"* "-"??_);_(@_)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D-410C-B534-73F1E1ABA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467008"/>
        <c:axId val="457464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Top_Performers!$K$5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Top_Performers!$H$6:$J$8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Nathalie Bowerbank</c:v>
                        </c:pt>
                        <c:pt idx="1">
                          <c:v>Darryl Worgan</c:v>
                        </c:pt>
                        <c:pt idx="2">
                          <c:v>Shaylynn Southern</c:v>
                        </c:pt>
                      </c:lvl>
                      <c:lvl>
                        <c:pt idx="0">
                          <c:v>Account Executive I</c:v>
                        </c:pt>
                        <c:pt idx="1">
                          <c:v>Account Executive II</c:v>
                        </c:pt>
                        <c:pt idx="2">
                          <c:v>Account Executive III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Top_Performers!$K$6:$K$8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ECD-410C-B534-73F1E1ABA9C7}"/>
                  </c:ext>
                </c:extLst>
              </c15:ser>
            </c15:filteredBarSeries>
          </c:ext>
        </c:extLst>
      </c:barChart>
      <c:catAx>
        <c:axId val="4574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64056"/>
        <c:crosses val="autoZero"/>
        <c:auto val="1"/>
        <c:lblAlgn val="ctr"/>
        <c:lblOffset val="100"/>
        <c:noMultiLvlLbl val="0"/>
      </c:catAx>
      <c:valAx>
        <c:axId val="4574640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Salary vs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8-4EEC-ADF5-F75248F343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(Employee_Dashboard!$C$5,Employee_Dashboard!$C$9)</c:f>
              <c:strCache>
                <c:ptCount val="2"/>
                <c:pt idx="0">
                  <c:v>2018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(Employee_Dashboard!$D$5,Employee_Dashboard!$D$9)</c:f>
              <c:numCache>
                <c:formatCode>_("$"* #,##0.00_);_("$"* \(#,##0.00\);_("$"* "-"??_);_(@_)</c:formatCode>
                <c:ptCount val="2"/>
                <c:pt idx="0">
                  <c:v>55438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8-4EEC-ADF5-F75248F34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535504"/>
        <c:axId val="572538456"/>
      </c:barChart>
      <c:catAx>
        <c:axId val="572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8456"/>
        <c:crosses val="autoZero"/>
        <c:auto val="1"/>
        <c:lblAlgn val="ctr"/>
        <c:lblOffset val="100"/>
        <c:noMultiLvlLbl val="0"/>
      </c:catAx>
      <c:valAx>
        <c:axId val="572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</a:t>
            </a:r>
            <a:r>
              <a:rPr lang="en-US" baseline="0"/>
              <a:t> vs Benchmark Commission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(Employee_Dashboard!$C$6,Employee_Dashboard!$C$10)</c:f>
              <c:strCache>
                <c:ptCount val="2"/>
                <c:pt idx="0">
                  <c:v>2018 Commission</c:v>
                </c:pt>
                <c:pt idx="1">
                  <c:v>Benchmark Commissions</c:v>
                </c:pt>
              </c:strCache>
            </c:strRef>
          </c:cat>
          <c:val>
            <c:numRef>
              <c:f>(Employee_Dashboard!$D$6,Employee_Dashboard!$D$10)</c:f>
              <c:numCache>
                <c:formatCode>_("$"* #,##0.00_);_("$"* \(#,##0.00\);_("$"* "-"??_);_(@_)</c:formatCode>
                <c:ptCount val="2"/>
                <c:pt idx="0">
                  <c:v>100574.92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2-403F-93AB-A762F40E59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535504"/>
        <c:axId val="572538456"/>
      </c:barChart>
      <c:catAx>
        <c:axId val="572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8456"/>
        <c:crosses val="autoZero"/>
        <c:auto val="1"/>
        <c:lblAlgn val="ctr"/>
        <c:lblOffset val="100"/>
        <c:noMultiLvlLbl val="0"/>
      </c:catAx>
      <c:valAx>
        <c:axId val="572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Pay vs</a:t>
            </a:r>
            <a:r>
              <a:rPr lang="en-US" baseline="0"/>
              <a:t> Benchmark Total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(Employee_Dashboard!$C$7,Employee_Dashboard!$C$11)</c:f>
              <c:strCache>
                <c:ptCount val="2"/>
                <c:pt idx="0">
                  <c:v>2018 Total Pay</c:v>
                </c:pt>
                <c:pt idx="1">
                  <c:v>Benchmark Total Pay</c:v>
                </c:pt>
              </c:strCache>
            </c:strRef>
          </c:cat>
          <c:val>
            <c:numRef>
              <c:f>(Employee_Dashboard!$D$7,Employee_Dashboard!$D$11)</c:f>
              <c:numCache>
                <c:formatCode>_("$"* #,##0.00_);_("$"* \(#,##0.00\);_("$"* "-"??_);_(@_)</c:formatCode>
                <c:ptCount val="2"/>
                <c:pt idx="0">
                  <c:v>156012.91999999998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C0F-96B1-67F91D7E3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535504"/>
        <c:axId val="572538456"/>
      </c:barChart>
      <c:catAx>
        <c:axId val="572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8456"/>
        <c:crosses val="autoZero"/>
        <c:auto val="1"/>
        <c:lblAlgn val="ctr"/>
        <c:lblOffset val="100"/>
        <c:noMultiLvlLbl val="0"/>
      </c:catAx>
      <c:valAx>
        <c:axId val="572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Strategy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'2018_commission_structure Finis'!$L$4</c:f>
              <c:strCache>
                <c:ptCount val="1"/>
                <c:pt idx="0">
                  <c:v>Gross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Gross Revenue</c:v>
              </c:pt>
            </c:strLit>
          </c:cat>
          <c:val>
            <c:numRef>
              <c:f>'2018_commission_structure Finis'!$M$4:$N$4</c:f>
              <c:numCache>
                <c:formatCode>_("$"* #,##0_);_("$"* \(#,##0\);_("$"* "-"??_);_(@_)</c:formatCode>
                <c:ptCount val="2"/>
                <c:pt idx="0" formatCode="_(&quot;$&quot;* #,##0_);_(&quot;$&quot;* \(#,##0\);_(&quot;$&quot;* &quot;-&quot;_);_(@_)">
                  <c:v>699144198</c:v>
                </c:pt>
                <c:pt idx="1">
                  <c:v>908887457.39999998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144D-9519-9618825B9B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2222592"/>
        <c:axId val="809130368"/>
      </c:barChart>
      <c:catAx>
        <c:axId val="82222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2018 Gross Revenue                              Strategy 1 Gross Revenue</a:t>
                </a:r>
              </a:p>
            </c:rich>
          </c:tx>
          <c:layout>
            <c:manualLayout>
              <c:xMode val="edge"/>
              <c:yMode val="edge"/>
              <c:x val="0.28254177602799652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09130368"/>
        <c:crosses val="autoZero"/>
        <c:auto val="1"/>
        <c:lblAlgn val="ctr"/>
        <c:lblOffset val="100"/>
        <c:noMultiLvlLbl val="0"/>
      </c:catAx>
      <c:valAx>
        <c:axId val="809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1743073782443861"/>
          <c:w val="0.93888888888888888"/>
          <c:h val="0.6983562992125984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('2018_commission_structure Finis'!$M$4,'2018_commission_structure Finis'!$O$4)</c:f>
              <c:numCache>
                <c:formatCode>_("$"* #,##0_);_("$"* \(#,##0\);_("$"* "-"??_);_(@_)</c:formatCode>
                <c:ptCount val="2"/>
                <c:pt idx="0" formatCode="_(&quot;$&quot;* #,##0_);_(&quot;$&quot;* \(#,##0\);_(&quot;$&quot;* &quot;-&quot;_);_(@_)">
                  <c:v>699144198</c:v>
                </c:pt>
                <c:pt idx="1">
                  <c:v>766529418.59042692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3-8B49-AC43-7FBFE6E5BC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978608"/>
        <c:axId val="812106992"/>
      </c:barChart>
      <c:catAx>
        <c:axId val="811978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2018 Gross Revenue</a:t>
                </a:r>
                <a:r>
                  <a:rPr lang="en-US" baseline="0"/>
                  <a:t>                              Strategy 2 Gross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2106992"/>
        <c:crosses val="autoZero"/>
        <c:auto val="1"/>
        <c:lblAlgn val="ctr"/>
        <c:lblOffset val="100"/>
        <c:noMultiLvlLbl val="0"/>
      </c:catAx>
      <c:valAx>
        <c:axId val="812106992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1114424</xdr:colOff>
      <xdr:row>11</xdr:row>
      <xdr:rowOff>152400</xdr:rowOff>
    </xdr:from>
    <xdr:to>
      <xdr:col>8</xdr:col>
      <xdr:colOff>114300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4E5E72-F888-4F5F-88EC-2DA9B4AC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281516</xdr:colOff>
      <xdr:row>11</xdr:row>
      <xdr:rowOff>168275</xdr:rowOff>
    </xdr:from>
    <xdr:to>
      <xdr:col>19</xdr:col>
      <xdr:colOff>247649</xdr:colOff>
      <xdr:row>37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01C8C7-D973-4854-947D-5243FBBB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17</xdr:row>
      <xdr:rowOff>52386</xdr:rowOff>
    </xdr:from>
    <xdr:to>
      <xdr:col>5</xdr:col>
      <xdr:colOff>733424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4A96E-18FB-428B-9D74-4ED6AFE4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1019173</xdr:colOff>
      <xdr:row>17</xdr:row>
      <xdr:rowOff>42860</xdr:rowOff>
    </xdr:from>
    <xdr:to>
      <xdr:col>13</xdr:col>
      <xdr:colOff>704850</xdr:colOff>
      <xdr:row>40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CB318-F058-46AE-81E2-4CEA4FC7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176212</xdr:rowOff>
    </xdr:from>
    <xdr:to>
      <xdr:col>4</xdr:col>
      <xdr:colOff>57150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CFB5-F8D4-4F57-B7D4-54E8474C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19050</xdr:rowOff>
    </xdr:from>
    <xdr:to>
      <xdr:col>11</xdr:col>
      <xdr:colOff>209550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B44B9-D3DB-4A75-AA9C-9032E81E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15</xdr:row>
      <xdr:rowOff>180975</xdr:rowOff>
    </xdr:from>
    <xdr:to>
      <xdr:col>19</xdr:col>
      <xdr:colOff>295275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CBC7B-FAB9-49A7-91A9-1A675780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218016</xdr:colOff>
      <xdr:row>23</xdr:row>
      <xdr:rowOff>173566</xdr:rowOff>
    </xdr:from>
    <xdr:to>
      <xdr:col>4</xdr:col>
      <xdr:colOff>404283</xdr:colOff>
      <xdr:row>38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DDA66-3F60-2149-A311-F142497BF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529167</xdr:colOff>
      <xdr:row>23</xdr:row>
      <xdr:rowOff>174625</xdr:rowOff>
    </xdr:from>
    <xdr:to>
      <xdr:col>11</xdr:col>
      <xdr:colOff>340784</xdr:colOff>
      <xdr:row>38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F6CFD7-0992-C44E-93A2-D6A69DD75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446617</xdr:colOff>
      <xdr:row>23</xdr:row>
      <xdr:rowOff>178858</xdr:rowOff>
    </xdr:from>
    <xdr:to>
      <xdr:col>14</xdr:col>
      <xdr:colOff>409575</xdr:colOff>
      <xdr:row>38</xdr:row>
      <xdr:rowOff>64558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82ADFB-1777-4E49-836F-1A2B759D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566207</xdr:colOff>
      <xdr:row>23</xdr:row>
      <xdr:rowOff>189442</xdr:rowOff>
    </xdr:from>
    <xdr:to>
      <xdr:col>18</xdr:col>
      <xdr:colOff>28574</xdr:colOff>
      <xdr:row>38</xdr:row>
      <xdr:rowOff>75142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37CEB9-CBB0-D348-A27C-B6706954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Thinkful/hr-compensation-model-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_Dashboard"/>
      <sheetName val="Employee_Dashboard"/>
      <sheetName val="base_salary"/>
      <sheetName val="Calculations"/>
      <sheetName val="Employees_Position"/>
      <sheetName val="deals_closed"/>
      <sheetName val="2018_commission_structure"/>
      <sheetName val="benchmark_data"/>
    </sheetNames>
    <sheetDataSet>
      <sheetData sheetId="0"/>
      <sheetData sheetId="1">
        <row r="5">
          <cell r="C5" t="str">
            <v>2018 Base Salary</v>
          </cell>
          <cell r="D5">
            <v>110817</v>
          </cell>
        </row>
        <row r="6">
          <cell r="C6" t="str">
            <v>2018 Commission</v>
          </cell>
          <cell r="D6">
            <v>107051.84999999999</v>
          </cell>
        </row>
        <row r="7">
          <cell r="C7" t="str">
            <v>2018 Total Pay</v>
          </cell>
          <cell r="D7">
            <v>217868.84999999998</v>
          </cell>
        </row>
        <row r="9">
          <cell r="C9" t="str">
            <v>Benchmark Base Salary</v>
          </cell>
          <cell r="D9">
            <v>85000</v>
          </cell>
        </row>
        <row r="10">
          <cell r="C10" t="str">
            <v>Benchmark Commissions</v>
          </cell>
          <cell r="D10">
            <v>125000</v>
          </cell>
        </row>
        <row r="11">
          <cell r="C11" t="str">
            <v>Benchmark Total Pay</v>
          </cell>
          <cell r="D11">
            <v>210000</v>
          </cell>
        </row>
      </sheetData>
      <sheetData sheetId="2"/>
      <sheetData sheetId="3">
        <row r="1">
          <cell r="D1" t="str">
            <v>full_name</v>
          </cell>
          <cell r="E1" t="str">
            <v>job_title</v>
          </cell>
        </row>
        <row r="2">
          <cell r="D2" t="str">
            <v>Ave Abbatini</v>
          </cell>
          <cell r="E2" t="str">
            <v>Account Executive I</v>
          </cell>
        </row>
        <row r="3">
          <cell r="D3" t="str">
            <v>Alyse Abrahmer</v>
          </cell>
          <cell r="E3" t="str">
            <v>Account Executive II</v>
          </cell>
        </row>
        <row r="4">
          <cell r="D4" t="str">
            <v>Mada Addie</v>
          </cell>
          <cell r="E4" t="str">
            <v>Account Executive III</v>
          </cell>
        </row>
        <row r="5">
          <cell r="D5" t="str">
            <v>Bobette Advani</v>
          </cell>
          <cell r="E5" t="str">
            <v>Account Executive I</v>
          </cell>
        </row>
        <row r="6">
          <cell r="D6" t="str">
            <v>Westley Affleck</v>
          </cell>
          <cell r="E6" t="str">
            <v>Account Executive I</v>
          </cell>
        </row>
        <row r="7">
          <cell r="D7" t="str">
            <v>Jacklin Agiolfinger</v>
          </cell>
          <cell r="E7" t="str">
            <v>Account Executive III</v>
          </cell>
        </row>
        <row r="8">
          <cell r="D8" t="str">
            <v>Brew Aguirre</v>
          </cell>
          <cell r="E8" t="str">
            <v>Account Executive I</v>
          </cell>
        </row>
        <row r="9">
          <cell r="D9" t="str">
            <v>Alfie Ainsworth</v>
          </cell>
          <cell r="E9" t="str">
            <v>Account Executive III</v>
          </cell>
        </row>
        <row r="10">
          <cell r="D10" t="str">
            <v>Meryl Aitchinson</v>
          </cell>
          <cell r="E10" t="str">
            <v>Account Executive III</v>
          </cell>
        </row>
        <row r="11">
          <cell r="D11" t="str">
            <v>Wash Aizlewood</v>
          </cell>
          <cell r="E11" t="str">
            <v>Account Executive I</v>
          </cell>
        </row>
        <row r="12">
          <cell r="D12" t="str">
            <v>Lin Ajean</v>
          </cell>
          <cell r="E12" t="str">
            <v>Account Executive I</v>
          </cell>
        </row>
        <row r="13">
          <cell r="D13" t="str">
            <v>Webster Akerman</v>
          </cell>
          <cell r="E13" t="str">
            <v>Account Executive II</v>
          </cell>
        </row>
        <row r="14">
          <cell r="D14" t="str">
            <v>Damon Albisser</v>
          </cell>
          <cell r="E14" t="str">
            <v>Account Executive I</v>
          </cell>
        </row>
        <row r="15">
          <cell r="D15" t="str">
            <v>Fulvia Aldie</v>
          </cell>
          <cell r="E15" t="str">
            <v>Account Executive III</v>
          </cell>
        </row>
        <row r="16">
          <cell r="D16" t="str">
            <v>Nikolaus Aldwich</v>
          </cell>
          <cell r="E16" t="str">
            <v>Account Executive III</v>
          </cell>
        </row>
        <row r="17">
          <cell r="D17" t="str">
            <v>Wini Allenson</v>
          </cell>
          <cell r="E17" t="str">
            <v>Account Executive I</v>
          </cell>
        </row>
        <row r="18">
          <cell r="D18" t="str">
            <v>Ollie Allsupp</v>
          </cell>
          <cell r="E18" t="str">
            <v>Account Executive II</v>
          </cell>
        </row>
        <row r="19">
          <cell r="D19" t="str">
            <v>Edith Altree</v>
          </cell>
          <cell r="E19" t="str">
            <v>Account Executive III</v>
          </cell>
        </row>
        <row r="20">
          <cell r="D20" t="str">
            <v>Gothart Alven</v>
          </cell>
          <cell r="E20" t="str">
            <v>Account Executive III</v>
          </cell>
        </row>
        <row r="21">
          <cell r="D21" t="str">
            <v>Marieann Andren</v>
          </cell>
          <cell r="E21" t="str">
            <v>Account Executive III</v>
          </cell>
        </row>
        <row r="22">
          <cell r="D22" t="str">
            <v>Javier Andriolli</v>
          </cell>
          <cell r="E22" t="str">
            <v>Account Executive III</v>
          </cell>
        </row>
        <row r="23">
          <cell r="D23" t="str">
            <v>Ayn Angless</v>
          </cell>
          <cell r="E23" t="str">
            <v>Account Executive III</v>
          </cell>
        </row>
        <row r="24">
          <cell r="D24" t="str">
            <v>Luisa Antic</v>
          </cell>
          <cell r="E24" t="str">
            <v>Account Executive III</v>
          </cell>
        </row>
        <row r="25">
          <cell r="D25" t="str">
            <v>Nial Antonazzi</v>
          </cell>
          <cell r="E25" t="str">
            <v>Account Executive III</v>
          </cell>
        </row>
        <row r="26">
          <cell r="D26" t="str">
            <v>Mildred Antonio</v>
          </cell>
          <cell r="E26" t="str">
            <v>Account Executive I</v>
          </cell>
        </row>
        <row r="27">
          <cell r="D27" t="str">
            <v>Peter Aps</v>
          </cell>
          <cell r="E27" t="str">
            <v>Account Executive I</v>
          </cell>
        </row>
        <row r="28">
          <cell r="D28" t="str">
            <v>Codie Ardy</v>
          </cell>
          <cell r="E28" t="str">
            <v>Account Executive III</v>
          </cell>
        </row>
        <row r="29">
          <cell r="D29" t="str">
            <v>Claudie Armin</v>
          </cell>
          <cell r="E29" t="str">
            <v>Account Executive I</v>
          </cell>
        </row>
        <row r="30">
          <cell r="D30" t="str">
            <v>Caddric Armytage</v>
          </cell>
          <cell r="E30" t="str">
            <v>Account Executive III</v>
          </cell>
        </row>
        <row r="31">
          <cell r="D31" t="str">
            <v>Steward Arnke</v>
          </cell>
          <cell r="E31" t="str">
            <v>Account Executive III</v>
          </cell>
        </row>
        <row r="32">
          <cell r="D32" t="str">
            <v>Ellwood Aronoff</v>
          </cell>
          <cell r="E32" t="str">
            <v>Account Executive I</v>
          </cell>
        </row>
        <row r="33">
          <cell r="D33" t="str">
            <v>Rubina Arp</v>
          </cell>
          <cell r="E33" t="str">
            <v>Account Executive II</v>
          </cell>
        </row>
        <row r="34">
          <cell r="D34" t="str">
            <v>Mariquilla Arsmith</v>
          </cell>
          <cell r="E34" t="str">
            <v>Account Executive III</v>
          </cell>
        </row>
        <row r="35">
          <cell r="D35" t="str">
            <v>Tabina Askell</v>
          </cell>
          <cell r="E35" t="str">
            <v>Account Executive III</v>
          </cell>
        </row>
        <row r="36">
          <cell r="D36" t="str">
            <v>Alex Ateridge</v>
          </cell>
          <cell r="E36" t="str">
            <v>Account Executive I</v>
          </cell>
        </row>
        <row r="37">
          <cell r="D37" t="str">
            <v>Martica Attenbrow</v>
          </cell>
          <cell r="E37" t="str">
            <v>Account Executive I</v>
          </cell>
        </row>
        <row r="38">
          <cell r="D38" t="str">
            <v>Celka Attoc</v>
          </cell>
          <cell r="E38" t="str">
            <v>Account Executive III</v>
          </cell>
        </row>
        <row r="39">
          <cell r="D39" t="str">
            <v>Christina Augar</v>
          </cell>
          <cell r="E39" t="str">
            <v>Account Executive III</v>
          </cell>
        </row>
        <row r="40">
          <cell r="D40" t="str">
            <v>Elva Aumerle</v>
          </cell>
          <cell r="E40" t="str">
            <v>Account Executive II</v>
          </cell>
        </row>
        <row r="41">
          <cell r="D41" t="str">
            <v>Marijn Avison</v>
          </cell>
          <cell r="E41" t="str">
            <v>Account Executive III</v>
          </cell>
        </row>
        <row r="42">
          <cell r="D42" t="str">
            <v>Cobb Avramow</v>
          </cell>
          <cell r="E42" t="str">
            <v>Account Executive II</v>
          </cell>
        </row>
        <row r="43">
          <cell r="D43" t="str">
            <v>Benedetto Aymes</v>
          </cell>
          <cell r="E43" t="str">
            <v>Account Executive I</v>
          </cell>
        </row>
        <row r="44">
          <cell r="D44" t="str">
            <v>Barbi Ayshford</v>
          </cell>
          <cell r="E44" t="str">
            <v>Account Executive III</v>
          </cell>
        </row>
        <row r="45">
          <cell r="D45" t="str">
            <v>Derrik Bacchus</v>
          </cell>
          <cell r="E45" t="str">
            <v>Account Executive II</v>
          </cell>
        </row>
        <row r="46">
          <cell r="D46" t="str">
            <v>Hunt Bachura</v>
          </cell>
          <cell r="E46" t="str">
            <v>Account Executive II</v>
          </cell>
        </row>
        <row r="47">
          <cell r="D47" t="str">
            <v>Chanda Bahls</v>
          </cell>
          <cell r="E47" t="str">
            <v>Account Executive I</v>
          </cell>
        </row>
        <row r="48">
          <cell r="D48" t="str">
            <v>Alexa Balch</v>
          </cell>
          <cell r="E48" t="str">
            <v>Account Executive III</v>
          </cell>
        </row>
        <row r="49">
          <cell r="D49" t="str">
            <v>Pacorro Balden</v>
          </cell>
          <cell r="E49" t="str">
            <v>Account Executive III</v>
          </cell>
        </row>
        <row r="50">
          <cell r="D50" t="str">
            <v>Lesli Baldini</v>
          </cell>
          <cell r="E50" t="str">
            <v>Account Executive I</v>
          </cell>
        </row>
        <row r="51">
          <cell r="D51" t="str">
            <v>Natassia Baldoni</v>
          </cell>
          <cell r="E51" t="str">
            <v>Account Executive III</v>
          </cell>
        </row>
        <row r="52">
          <cell r="D52" t="str">
            <v>Andreana Baly</v>
          </cell>
          <cell r="E52" t="str">
            <v>Account Executive III</v>
          </cell>
        </row>
        <row r="53">
          <cell r="D53" t="str">
            <v>Lorie Bamblett</v>
          </cell>
          <cell r="E53" t="str">
            <v>Account Executive III</v>
          </cell>
        </row>
        <row r="54">
          <cell r="D54" t="str">
            <v>Pamela Banke</v>
          </cell>
          <cell r="E54" t="str">
            <v>Account Executive III</v>
          </cell>
        </row>
        <row r="55">
          <cell r="D55" t="str">
            <v>Sherilyn Barendtsen</v>
          </cell>
          <cell r="E55" t="str">
            <v>Account Executive II</v>
          </cell>
        </row>
        <row r="56">
          <cell r="D56" t="str">
            <v>Berkly Barg</v>
          </cell>
          <cell r="E56" t="str">
            <v>Account Executive II</v>
          </cell>
        </row>
        <row r="57">
          <cell r="D57" t="str">
            <v>Ward Barnett</v>
          </cell>
          <cell r="E57" t="str">
            <v>Account Executive II</v>
          </cell>
        </row>
        <row r="58">
          <cell r="D58" t="str">
            <v>Alene Barneveld</v>
          </cell>
          <cell r="E58" t="str">
            <v>Account Executive I</v>
          </cell>
        </row>
        <row r="59">
          <cell r="D59" t="str">
            <v>Nate Bartaletti</v>
          </cell>
          <cell r="E59" t="str">
            <v>Account Executive II</v>
          </cell>
        </row>
        <row r="60">
          <cell r="D60" t="str">
            <v>Walker Bartels</v>
          </cell>
          <cell r="E60" t="str">
            <v>Account Executive II</v>
          </cell>
        </row>
        <row r="61">
          <cell r="D61" t="str">
            <v>Sena Bartholomieu</v>
          </cell>
          <cell r="E61" t="str">
            <v>Account Executive III</v>
          </cell>
        </row>
        <row r="62">
          <cell r="D62" t="str">
            <v>Thebault Base</v>
          </cell>
          <cell r="E62" t="str">
            <v>Account Executive II</v>
          </cell>
        </row>
        <row r="63">
          <cell r="D63" t="str">
            <v>Gale Batchelder</v>
          </cell>
          <cell r="E63" t="str">
            <v>Account Executive I</v>
          </cell>
        </row>
        <row r="64">
          <cell r="D64" t="str">
            <v>Sarita Batcheldor</v>
          </cell>
          <cell r="E64" t="str">
            <v>Account Executive III</v>
          </cell>
        </row>
        <row r="65">
          <cell r="D65" t="str">
            <v>Tabbatha Battaille</v>
          </cell>
          <cell r="E65" t="str">
            <v>Account Executive II</v>
          </cell>
        </row>
        <row r="66">
          <cell r="D66" t="str">
            <v>Adelice Baudinet</v>
          </cell>
          <cell r="E66" t="str">
            <v>Account Executive III</v>
          </cell>
        </row>
        <row r="67">
          <cell r="D67" t="str">
            <v>Rouvin Bavister</v>
          </cell>
          <cell r="E67" t="str">
            <v>Account Executive III</v>
          </cell>
        </row>
        <row r="68">
          <cell r="D68" t="str">
            <v>Osmond Bayfield</v>
          </cell>
          <cell r="E68" t="str">
            <v>Account Executive II</v>
          </cell>
        </row>
        <row r="69">
          <cell r="D69" t="str">
            <v>Sterling Bebbington</v>
          </cell>
          <cell r="E69" t="str">
            <v>Account Executive I</v>
          </cell>
        </row>
        <row r="70">
          <cell r="D70" t="str">
            <v>Raquel Beelby</v>
          </cell>
          <cell r="E70" t="str">
            <v>Account Executive III</v>
          </cell>
        </row>
        <row r="71">
          <cell r="D71" t="str">
            <v>Kalli Beeze</v>
          </cell>
          <cell r="E71" t="str">
            <v>Account Executive III</v>
          </cell>
        </row>
        <row r="72">
          <cell r="D72" t="str">
            <v>Denney Behr</v>
          </cell>
          <cell r="E72" t="str">
            <v>Account Executive II</v>
          </cell>
        </row>
        <row r="73">
          <cell r="D73" t="str">
            <v>Maury Belshaw</v>
          </cell>
          <cell r="E73" t="str">
            <v>Account Executive II</v>
          </cell>
        </row>
        <row r="74">
          <cell r="D74" t="str">
            <v>Lil Benion</v>
          </cell>
          <cell r="E74" t="str">
            <v>Account Executive I</v>
          </cell>
        </row>
        <row r="75">
          <cell r="D75" t="str">
            <v>Carey Bennellick</v>
          </cell>
          <cell r="E75" t="str">
            <v>Account Executive III</v>
          </cell>
        </row>
        <row r="76">
          <cell r="D76" t="str">
            <v>Chastity Benninger</v>
          </cell>
          <cell r="E76" t="str">
            <v>Account Executive I</v>
          </cell>
        </row>
        <row r="77">
          <cell r="D77" t="str">
            <v>Nickolaus Bernardeau</v>
          </cell>
          <cell r="E77" t="str">
            <v>Account Executive I</v>
          </cell>
        </row>
        <row r="78">
          <cell r="D78" t="str">
            <v>Culley Bernardotti</v>
          </cell>
          <cell r="E78" t="str">
            <v>Account Executive II</v>
          </cell>
        </row>
        <row r="79">
          <cell r="D79" t="str">
            <v>Susi Berndsen</v>
          </cell>
          <cell r="E79" t="str">
            <v>Account Executive III</v>
          </cell>
        </row>
        <row r="80">
          <cell r="D80" t="str">
            <v>Albertine Berntssen</v>
          </cell>
          <cell r="E80" t="str">
            <v>Account Executive III</v>
          </cell>
        </row>
        <row r="81">
          <cell r="D81" t="str">
            <v>Loree Bertelet</v>
          </cell>
          <cell r="E81" t="str">
            <v>Account Executive I</v>
          </cell>
        </row>
        <row r="82">
          <cell r="D82" t="str">
            <v>Eulalie Bianco</v>
          </cell>
          <cell r="E82" t="str">
            <v>Account Executive II</v>
          </cell>
        </row>
        <row r="83">
          <cell r="D83" t="str">
            <v>Gina Biggadyke</v>
          </cell>
          <cell r="E83" t="str">
            <v>Account Executive II</v>
          </cell>
        </row>
        <row r="84">
          <cell r="D84" t="str">
            <v>Rudd Bigland</v>
          </cell>
          <cell r="E84" t="str">
            <v>Account Executive III</v>
          </cell>
        </row>
        <row r="85">
          <cell r="D85" t="str">
            <v>Stephannie Birt</v>
          </cell>
          <cell r="E85" t="str">
            <v>Account Executive III</v>
          </cell>
        </row>
        <row r="86">
          <cell r="D86" t="str">
            <v>Emanuele Blackden</v>
          </cell>
          <cell r="E86" t="str">
            <v>Account Executive I</v>
          </cell>
        </row>
        <row r="87">
          <cell r="D87" t="str">
            <v>Kippy Blaver</v>
          </cell>
          <cell r="E87" t="str">
            <v>Account Executive I</v>
          </cell>
        </row>
        <row r="88">
          <cell r="D88" t="str">
            <v>Vite Blethyn</v>
          </cell>
          <cell r="E88" t="str">
            <v>Account Executive I</v>
          </cell>
        </row>
        <row r="89">
          <cell r="D89" t="str">
            <v>Arlette Blinder</v>
          </cell>
          <cell r="E89" t="str">
            <v>Account Executive III</v>
          </cell>
        </row>
        <row r="90">
          <cell r="D90" t="str">
            <v>Bernelle Blint</v>
          </cell>
          <cell r="E90" t="str">
            <v>Account Executive II</v>
          </cell>
        </row>
        <row r="91">
          <cell r="D91" t="str">
            <v>Leicester Blonden</v>
          </cell>
          <cell r="E91" t="str">
            <v>Account Executive I</v>
          </cell>
        </row>
        <row r="92">
          <cell r="D92" t="str">
            <v>Esdras Blucher</v>
          </cell>
          <cell r="E92" t="str">
            <v>Account Executive II</v>
          </cell>
        </row>
        <row r="93">
          <cell r="D93" t="str">
            <v>Coleman Blunderfield</v>
          </cell>
          <cell r="E93" t="str">
            <v>Account Executive III</v>
          </cell>
        </row>
        <row r="94">
          <cell r="D94" t="str">
            <v>Luise Bodley</v>
          </cell>
          <cell r="E94" t="str">
            <v>Account Executive I</v>
          </cell>
        </row>
        <row r="95">
          <cell r="D95" t="str">
            <v>Cirilo Bolf</v>
          </cell>
          <cell r="E95" t="str">
            <v>Account Executive I</v>
          </cell>
        </row>
        <row r="96">
          <cell r="D96" t="str">
            <v>Hermina Bowditch</v>
          </cell>
          <cell r="E96" t="str">
            <v>Account Executive III</v>
          </cell>
        </row>
        <row r="97">
          <cell r="D97" t="str">
            <v>Gennifer Bowdrey</v>
          </cell>
          <cell r="E97" t="str">
            <v>Account Executive I</v>
          </cell>
        </row>
        <row r="98">
          <cell r="D98" t="str">
            <v>Nathalie Bowerbank</v>
          </cell>
          <cell r="E98" t="str">
            <v>Account Executive I</v>
          </cell>
        </row>
        <row r="99">
          <cell r="D99" t="str">
            <v>Sadella Bowgen</v>
          </cell>
          <cell r="E99" t="str">
            <v>Account Executive III</v>
          </cell>
        </row>
        <row r="100">
          <cell r="D100" t="str">
            <v>Rosalie Brankley</v>
          </cell>
          <cell r="E100" t="str">
            <v>Account Executive II</v>
          </cell>
        </row>
        <row r="101">
          <cell r="D101" t="str">
            <v>Frasquito Breach</v>
          </cell>
          <cell r="E101" t="str">
            <v>Account Executive III</v>
          </cell>
        </row>
        <row r="102">
          <cell r="D102" t="str">
            <v>Tait Brewitt</v>
          </cell>
          <cell r="E102" t="str">
            <v>Account Executive III</v>
          </cell>
        </row>
        <row r="103">
          <cell r="D103" t="str">
            <v>Court Brightwell</v>
          </cell>
          <cell r="E103" t="str">
            <v>Account Executive III</v>
          </cell>
        </row>
        <row r="104">
          <cell r="D104" t="str">
            <v>Tracy Briztman</v>
          </cell>
          <cell r="E104" t="str">
            <v>Account Executive I</v>
          </cell>
        </row>
        <row r="105">
          <cell r="D105" t="str">
            <v>Arty Brobak</v>
          </cell>
          <cell r="E105" t="str">
            <v>Account Executive II</v>
          </cell>
        </row>
        <row r="106">
          <cell r="D106" t="str">
            <v>Melva Brosoli</v>
          </cell>
          <cell r="E106" t="str">
            <v>Account Executive I</v>
          </cell>
        </row>
        <row r="107">
          <cell r="D107" t="str">
            <v>Brooks Brouncker</v>
          </cell>
          <cell r="E107" t="str">
            <v>Account Executive III</v>
          </cell>
        </row>
        <row r="108">
          <cell r="D108" t="str">
            <v>Melloney Brown</v>
          </cell>
          <cell r="E108" t="str">
            <v>Account Executive III</v>
          </cell>
        </row>
        <row r="109">
          <cell r="D109" t="str">
            <v>Lory Brundell</v>
          </cell>
          <cell r="E109" t="str">
            <v>Account Executive III</v>
          </cell>
        </row>
        <row r="110">
          <cell r="D110" t="str">
            <v>Sheilakathryn Buckberry</v>
          </cell>
          <cell r="E110" t="str">
            <v>Account Executive III</v>
          </cell>
        </row>
        <row r="111">
          <cell r="D111" t="str">
            <v>Tallie Buckner</v>
          </cell>
          <cell r="E111" t="str">
            <v>Account Executive III</v>
          </cell>
        </row>
        <row r="112">
          <cell r="D112" t="str">
            <v>Martyn Bunhill</v>
          </cell>
          <cell r="E112" t="str">
            <v>Account Executive I</v>
          </cell>
        </row>
        <row r="113">
          <cell r="D113" t="str">
            <v>Hillel Burdett</v>
          </cell>
          <cell r="E113" t="str">
            <v>Account Executive II</v>
          </cell>
        </row>
        <row r="114">
          <cell r="D114" t="str">
            <v>Darcey Caldaro</v>
          </cell>
          <cell r="E114" t="str">
            <v>Account Executive I</v>
          </cell>
        </row>
        <row r="115">
          <cell r="D115" t="str">
            <v>Gerick Callar</v>
          </cell>
          <cell r="E115" t="str">
            <v>Account Executive II</v>
          </cell>
        </row>
        <row r="116">
          <cell r="D116" t="str">
            <v>Rodina Calloway</v>
          </cell>
          <cell r="E116" t="str">
            <v>Account Executive III</v>
          </cell>
        </row>
        <row r="117">
          <cell r="D117" t="str">
            <v>Elie Cantillion</v>
          </cell>
          <cell r="E117" t="str">
            <v>Account Executive III</v>
          </cell>
        </row>
        <row r="118">
          <cell r="D118" t="str">
            <v>Krishnah Capelle</v>
          </cell>
          <cell r="E118" t="str">
            <v>Account Executive I</v>
          </cell>
        </row>
        <row r="119">
          <cell r="D119" t="str">
            <v>Silvester Capinetti</v>
          </cell>
          <cell r="E119" t="str">
            <v>Account Executive III</v>
          </cell>
        </row>
        <row r="120">
          <cell r="D120" t="str">
            <v>Leone Capstack</v>
          </cell>
          <cell r="E120" t="str">
            <v>Account Executive I</v>
          </cell>
        </row>
        <row r="121">
          <cell r="D121" t="str">
            <v>Norman Carcas</v>
          </cell>
          <cell r="E121" t="str">
            <v>Account Executive I</v>
          </cell>
        </row>
        <row r="122">
          <cell r="D122" t="str">
            <v>Ardine Carloni</v>
          </cell>
          <cell r="E122" t="str">
            <v>Account Executive II</v>
          </cell>
        </row>
        <row r="123">
          <cell r="D123" t="str">
            <v>Kalindi Carmel</v>
          </cell>
          <cell r="E123" t="str">
            <v>Account Executive I</v>
          </cell>
        </row>
        <row r="124">
          <cell r="D124" t="str">
            <v>Tedie Cartmer</v>
          </cell>
          <cell r="E124" t="str">
            <v>Account Executive III</v>
          </cell>
        </row>
        <row r="125">
          <cell r="D125" t="str">
            <v>Valene Carverhill</v>
          </cell>
          <cell r="E125" t="str">
            <v>Account Executive III</v>
          </cell>
        </row>
        <row r="126">
          <cell r="D126" t="str">
            <v>Ddene Castree</v>
          </cell>
          <cell r="E126" t="str">
            <v>Account Executive III</v>
          </cell>
        </row>
        <row r="127">
          <cell r="D127" t="str">
            <v>Jasmine Cathcart</v>
          </cell>
          <cell r="E127" t="str">
            <v>Account Executive III</v>
          </cell>
        </row>
        <row r="128">
          <cell r="D128" t="str">
            <v>Abram Causton</v>
          </cell>
          <cell r="E128" t="str">
            <v>Account Executive III</v>
          </cell>
        </row>
        <row r="129">
          <cell r="D129" t="str">
            <v>Ozzy Cavnor</v>
          </cell>
          <cell r="E129" t="str">
            <v>Account Executive III</v>
          </cell>
        </row>
        <row r="130">
          <cell r="D130" t="str">
            <v>Barbabas Cawt</v>
          </cell>
          <cell r="E130" t="str">
            <v>Account Executive II</v>
          </cell>
        </row>
        <row r="131">
          <cell r="D131" t="str">
            <v>Sidnee Chalkly</v>
          </cell>
          <cell r="E131" t="str">
            <v>Account Executive I</v>
          </cell>
        </row>
        <row r="132">
          <cell r="D132" t="str">
            <v>Arlene Charlin</v>
          </cell>
          <cell r="E132" t="str">
            <v>Account Executive I</v>
          </cell>
        </row>
        <row r="133">
          <cell r="D133" t="str">
            <v>Miguel Chasemore</v>
          </cell>
          <cell r="E133" t="str">
            <v>Account Executive II</v>
          </cell>
        </row>
        <row r="134">
          <cell r="D134" t="str">
            <v>Lavinia Chasier</v>
          </cell>
          <cell r="E134" t="str">
            <v>Account Executive I</v>
          </cell>
        </row>
        <row r="135">
          <cell r="D135" t="str">
            <v>Prentiss Chastaing</v>
          </cell>
          <cell r="E135" t="str">
            <v>Account Executive II</v>
          </cell>
        </row>
        <row r="136">
          <cell r="D136" t="str">
            <v>Burch Chat</v>
          </cell>
          <cell r="E136" t="str">
            <v>Account Executive III</v>
          </cell>
        </row>
        <row r="137">
          <cell r="D137" t="str">
            <v>Inger Chatenet</v>
          </cell>
          <cell r="E137" t="str">
            <v>Account Executive III</v>
          </cell>
        </row>
        <row r="138">
          <cell r="D138" t="str">
            <v>Keven Chatters</v>
          </cell>
          <cell r="E138" t="str">
            <v>Account Executive II</v>
          </cell>
        </row>
        <row r="139">
          <cell r="D139" t="str">
            <v>Donavon Cheer</v>
          </cell>
          <cell r="E139" t="str">
            <v>Account Executive III</v>
          </cell>
        </row>
        <row r="140">
          <cell r="D140" t="str">
            <v>Mattias Cheers</v>
          </cell>
          <cell r="E140" t="str">
            <v>Account Executive I</v>
          </cell>
        </row>
        <row r="141">
          <cell r="D141" t="str">
            <v>Vanni Cheston</v>
          </cell>
          <cell r="E141" t="str">
            <v>Account Executive I</v>
          </cell>
        </row>
        <row r="142">
          <cell r="D142" t="str">
            <v>Zane Cheverton</v>
          </cell>
          <cell r="E142" t="str">
            <v>Account Executive III</v>
          </cell>
        </row>
        <row r="143">
          <cell r="D143" t="str">
            <v>Veronike Chidwick</v>
          </cell>
          <cell r="E143" t="str">
            <v>Account Executive II</v>
          </cell>
        </row>
        <row r="144">
          <cell r="D144" t="str">
            <v>Rafe Chorlton</v>
          </cell>
          <cell r="E144" t="str">
            <v>Account Executive II</v>
          </cell>
        </row>
        <row r="145">
          <cell r="D145" t="str">
            <v>Megan Churchard</v>
          </cell>
          <cell r="E145" t="str">
            <v>Account Executive II</v>
          </cell>
        </row>
        <row r="146">
          <cell r="D146" t="str">
            <v>Loretta Churchward</v>
          </cell>
          <cell r="E146" t="str">
            <v>Account Executive I</v>
          </cell>
        </row>
        <row r="147">
          <cell r="D147" t="str">
            <v>Minetta Claeskens</v>
          </cell>
          <cell r="E147" t="str">
            <v>Account Executive II</v>
          </cell>
        </row>
        <row r="148">
          <cell r="D148" t="str">
            <v>Kristoforo Claremont</v>
          </cell>
          <cell r="E148" t="str">
            <v>Account Executive I</v>
          </cell>
        </row>
        <row r="149">
          <cell r="D149" t="str">
            <v>Carlos Claxson</v>
          </cell>
          <cell r="E149" t="str">
            <v>Account Executive III</v>
          </cell>
        </row>
        <row r="150">
          <cell r="D150" t="str">
            <v>Franni Clemencet</v>
          </cell>
          <cell r="E150" t="str">
            <v>Account Executive II</v>
          </cell>
        </row>
        <row r="151">
          <cell r="D151" t="str">
            <v>Dionis Climie</v>
          </cell>
          <cell r="E151" t="str">
            <v>Account Executive II</v>
          </cell>
        </row>
        <row r="152">
          <cell r="D152" t="str">
            <v>Fancy Clitsome</v>
          </cell>
          <cell r="E152" t="str">
            <v>Account Executive I</v>
          </cell>
        </row>
        <row r="153">
          <cell r="D153" t="str">
            <v>Sebastiano Cloute</v>
          </cell>
          <cell r="E153" t="str">
            <v>Account Executive III</v>
          </cell>
        </row>
        <row r="154">
          <cell r="D154" t="str">
            <v>Ashli Clynter</v>
          </cell>
          <cell r="E154" t="str">
            <v>Account Executive II</v>
          </cell>
        </row>
        <row r="155">
          <cell r="D155" t="str">
            <v>Zack Codlin</v>
          </cell>
          <cell r="E155" t="str">
            <v>Account Executive II</v>
          </cell>
        </row>
        <row r="156">
          <cell r="D156" t="str">
            <v>Pietro Coenraets</v>
          </cell>
          <cell r="E156" t="str">
            <v>Account Executive III</v>
          </cell>
        </row>
        <row r="157">
          <cell r="D157" t="str">
            <v>Gayelord Coffin</v>
          </cell>
          <cell r="E157" t="str">
            <v>Account Executive III</v>
          </cell>
        </row>
        <row r="158">
          <cell r="D158" t="str">
            <v>Curry Coiley</v>
          </cell>
          <cell r="E158" t="str">
            <v>Account Executive II</v>
          </cell>
        </row>
        <row r="159">
          <cell r="D159" t="str">
            <v>Florri Coldbath</v>
          </cell>
          <cell r="E159" t="str">
            <v>Account Executive III</v>
          </cell>
        </row>
        <row r="160">
          <cell r="D160" t="str">
            <v>Titos Collaton</v>
          </cell>
          <cell r="E160" t="str">
            <v>Account Executive III</v>
          </cell>
        </row>
        <row r="161">
          <cell r="D161" t="str">
            <v>Stanislas Colleer</v>
          </cell>
          <cell r="E161" t="str">
            <v>Account Executive II</v>
          </cell>
        </row>
        <row r="162">
          <cell r="D162" t="str">
            <v>Heinrick Conelly</v>
          </cell>
          <cell r="E162" t="str">
            <v>Account Executive III</v>
          </cell>
        </row>
        <row r="163">
          <cell r="D163" t="str">
            <v>Bobine Congrave</v>
          </cell>
          <cell r="E163" t="str">
            <v>Account Executive III</v>
          </cell>
        </row>
        <row r="164">
          <cell r="D164" t="str">
            <v>Loella Connell</v>
          </cell>
          <cell r="E164" t="str">
            <v>Account Executive III</v>
          </cell>
        </row>
        <row r="165">
          <cell r="D165" t="str">
            <v>Diane Corben</v>
          </cell>
          <cell r="E165" t="str">
            <v>Account Executive III</v>
          </cell>
        </row>
        <row r="166">
          <cell r="D166" t="str">
            <v>Gregoire Corington</v>
          </cell>
          <cell r="E166" t="str">
            <v>Account Executive II</v>
          </cell>
        </row>
        <row r="167">
          <cell r="D167" t="str">
            <v>Phillipe Corter</v>
          </cell>
          <cell r="E167" t="str">
            <v>Account Executive III</v>
          </cell>
        </row>
        <row r="168">
          <cell r="D168" t="str">
            <v>Bill Covil</v>
          </cell>
          <cell r="E168" t="str">
            <v>Account Executive II</v>
          </cell>
        </row>
        <row r="169">
          <cell r="D169" t="str">
            <v>Richard Cowdry</v>
          </cell>
          <cell r="E169" t="str">
            <v>Account Executive I</v>
          </cell>
        </row>
        <row r="170">
          <cell r="D170" t="str">
            <v>Judd Cowlard</v>
          </cell>
          <cell r="E170" t="str">
            <v>Account Executive II</v>
          </cell>
        </row>
        <row r="171">
          <cell r="D171" t="str">
            <v>Barbabra Cramond</v>
          </cell>
          <cell r="E171" t="str">
            <v>Account Executive II</v>
          </cell>
        </row>
        <row r="172">
          <cell r="D172" t="str">
            <v>Dennis Cranage</v>
          </cell>
          <cell r="E172" t="str">
            <v>Account Executive II</v>
          </cell>
        </row>
        <row r="173">
          <cell r="D173" t="str">
            <v>Amory Crasswell</v>
          </cell>
          <cell r="E173" t="str">
            <v>Account Executive I</v>
          </cell>
        </row>
        <row r="174">
          <cell r="D174" t="str">
            <v>Carree Crayker</v>
          </cell>
          <cell r="E174" t="str">
            <v>Account Executive II</v>
          </cell>
        </row>
        <row r="175">
          <cell r="D175" t="str">
            <v>Eustacia Creamer</v>
          </cell>
          <cell r="E175" t="str">
            <v>Account Executive I</v>
          </cell>
        </row>
        <row r="176">
          <cell r="D176" t="str">
            <v>Jonah Crighton</v>
          </cell>
          <cell r="E176" t="str">
            <v>Account Executive I</v>
          </cell>
        </row>
        <row r="177">
          <cell r="D177" t="str">
            <v>Toma Crisell</v>
          </cell>
          <cell r="E177" t="str">
            <v>Account Executive II</v>
          </cell>
        </row>
        <row r="178">
          <cell r="D178" t="str">
            <v>Fraze Crisell</v>
          </cell>
          <cell r="E178" t="str">
            <v>Account Executive I</v>
          </cell>
        </row>
        <row r="179">
          <cell r="D179" t="str">
            <v>Brantley Cristofolini</v>
          </cell>
          <cell r="E179" t="str">
            <v>Account Executive I</v>
          </cell>
        </row>
        <row r="180">
          <cell r="D180" t="str">
            <v>Shanta Crooke</v>
          </cell>
          <cell r="E180" t="str">
            <v>Account Executive III</v>
          </cell>
        </row>
        <row r="181">
          <cell r="D181" t="str">
            <v>Darcy Crosier</v>
          </cell>
          <cell r="E181" t="str">
            <v>Account Executive III</v>
          </cell>
        </row>
        <row r="182">
          <cell r="D182" t="str">
            <v>Zita Crossgrove</v>
          </cell>
          <cell r="E182" t="str">
            <v>Account Executive III</v>
          </cell>
        </row>
        <row r="183">
          <cell r="D183" t="str">
            <v>Thalia Crowcher</v>
          </cell>
          <cell r="E183" t="str">
            <v>Account Executive I</v>
          </cell>
        </row>
        <row r="184">
          <cell r="D184" t="str">
            <v>Rubin Crummay</v>
          </cell>
          <cell r="E184" t="str">
            <v>Account Executive III</v>
          </cell>
        </row>
        <row r="185">
          <cell r="D185" t="str">
            <v>Kial Cuchey</v>
          </cell>
          <cell r="E185" t="str">
            <v>Account Executive II</v>
          </cell>
        </row>
        <row r="186">
          <cell r="D186" t="str">
            <v>Tiphani Cuerda</v>
          </cell>
          <cell r="E186" t="str">
            <v>Account Executive II</v>
          </cell>
        </row>
        <row r="187">
          <cell r="D187" t="str">
            <v>Dionis Cumpton</v>
          </cell>
          <cell r="E187" t="str">
            <v>Account Executive III</v>
          </cell>
        </row>
        <row r="188">
          <cell r="D188" t="str">
            <v>Eward Cureton</v>
          </cell>
          <cell r="E188" t="str">
            <v>Account Executive II</v>
          </cell>
        </row>
        <row r="189">
          <cell r="D189" t="str">
            <v>Elisabetta Curzey</v>
          </cell>
          <cell r="E189" t="str">
            <v>Account Executive II</v>
          </cell>
        </row>
        <row r="190">
          <cell r="D190" t="str">
            <v>Daryle Custed</v>
          </cell>
          <cell r="E190" t="str">
            <v>Account Executive III</v>
          </cell>
        </row>
        <row r="191">
          <cell r="D191" t="str">
            <v>Sibbie Cutbush</v>
          </cell>
          <cell r="E191" t="str">
            <v>Account Executive II</v>
          </cell>
        </row>
        <row r="192">
          <cell r="D192" t="str">
            <v>Viv Czajka</v>
          </cell>
          <cell r="E192" t="str">
            <v>Account Executive II</v>
          </cell>
        </row>
        <row r="193">
          <cell r="D193" t="str">
            <v>Shelly Dabs</v>
          </cell>
          <cell r="E193" t="str">
            <v>Account Executive III</v>
          </cell>
        </row>
        <row r="194">
          <cell r="D194" t="str">
            <v>Cyndi D'Agostino</v>
          </cell>
          <cell r="E194" t="str">
            <v>Account Executive III</v>
          </cell>
        </row>
        <row r="195">
          <cell r="D195" t="str">
            <v>Filbert Dahle</v>
          </cell>
          <cell r="E195" t="str">
            <v>Account Executive II</v>
          </cell>
        </row>
        <row r="196">
          <cell r="D196" t="str">
            <v>Janenna Dailey</v>
          </cell>
          <cell r="E196" t="str">
            <v>Account Executive III</v>
          </cell>
        </row>
        <row r="197">
          <cell r="D197" t="str">
            <v>Sandor D'Ambrogi</v>
          </cell>
          <cell r="E197" t="str">
            <v>Account Executive I</v>
          </cell>
        </row>
        <row r="198">
          <cell r="D198" t="str">
            <v>Katrina Danne</v>
          </cell>
          <cell r="E198" t="str">
            <v>Account Executive I</v>
          </cell>
        </row>
        <row r="199">
          <cell r="D199" t="str">
            <v>Weylin Daouze</v>
          </cell>
          <cell r="E199" t="str">
            <v>Account Executive III</v>
          </cell>
        </row>
        <row r="200">
          <cell r="D200" t="str">
            <v>Isadora Davana</v>
          </cell>
          <cell r="E200" t="str">
            <v>Account Executive I</v>
          </cell>
        </row>
        <row r="201">
          <cell r="D201" t="str">
            <v>Orv Davidou</v>
          </cell>
          <cell r="E201" t="str">
            <v>Account Executive I</v>
          </cell>
        </row>
        <row r="202">
          <cell r="D202" t="str">
            <v>Ivor Davidy</v>
          </cell>
          <cell r="E202" t="str">
            <v>Account Executive III</v>
          </cell>
        </row>
        <row r="203">
          <cell r="D203" t="str">
            <v>Ted Davoren</v>
          </cell>
          <cell r="E203" t="str">
            <v>Account Executive I</v>
          </cell>
        </row>
        <row r="204">
          <cell r="D204" t="str">
            <v>Yehudit Dawdary</v>
          </cell>
          <cell r="E204" t="str">
            <v>Account Executive I</v>
          </cell>
        </row>
        <row r="205">
          <cell r="D205" t="str">
            <v>Shani Dawdary</v>
          </cell>
          <cell r="E205" t="str">
            <v>Account Executive I</v>
          </cell>
        </row>
        <row r="206">
          <cell r="D206" t="str">
            <v>Ramsay Dawdry</v>
          </cell>
          <cell r="E206" t="str">
            <v>Account Executive III</v>
          </cell>
        </row>
        <row r="207">
          <cell r="D207" t="str">
            <v>Clyve Dayley</v>
          </cell>
          <cell r="E207" t="str">
            <v>Account Executive II</v>
          </cell>
        </row>
        <row r="208">
          <cell r="D208" t="str">
            <v>Nikolai De Castri</v>
          </cell>
          <cell r="E208" t="str">
            <v>Account Executive II</v>
          </cell>
        </row>
        <row r="209">
          <cell r="D209" t="str">
            <v>Saree de Clercq</v>
          </cell>
          <cell r="E209" t="str">
            <v>Account Executive III</v>
          </cell>
        </row>
        <row r="210">
          <cell r="D210" t="str">
            <v>Caryn De La Coste</v>
          </cell>
          <cell r="E210" t="str">
            <v>Account Executive II</v>
          </cell>
        </row>
        <row r="211">
          <cell r="D211" t="str">
            <v>Queenie De la Harpe</v>
          </cell>
          <cell r="E211" t="str">
            <v>Account Executive I</v>
          </cell>
        </row>
        <row r="212">
          <cell r="D212" t="str">
            <v>Elva Delepine</v>
          </cell>
          <cell r="E212" t="str">
            <v>Account Executive II</v>
          </cell>
        </row>
        <row r="213">
          <cell r="D213" t="str">
            <v>Helen Delwater</v>
          </cell>
          <cell r="E213" t="str">
            <v>Account Executive III</v>
          </cell>
        </row>
        <row r="214">
          <cell r="D214" t="str">
            <v>Bobbi Denis</v>
          </cell>
          <cell r="E214" t="str">
            <v>Account Executive II</v>
          </cell>
        </row>
        <row r="215">
          <cell r="D215" t="str">
            <v>Delphine Denisard</v>
          </cell>
          <cell r="E215" t="str">
            <v>Account Executive III</v>
          </cell>
        </row>
        <row r="216">
          <cell r="D216" t="str">
            <v>Arabel Denison</v>
          </cell>
          <cell r="E216" t="str">
            <v>Account Executive III</v>
          </cell>
        </row>
        <row r="217">
          <cell r="D217" t="str">
            <v>Marty Denson</v>
          </cell>
          <cell r="E217" t="str">
            <v>Account Executive II</v>
          </cell>
        </row>
        <row r="218">
          <cell r="D218" t="str">
            <v>Eryn Derle</v>
          </cell>
          <cell r="E218" t="str">
            <v>Account Executive II</v>
          </cell>
        </row>
        <row r="219">
          <cell r="D219" t="str">
            <v>Jessica Derye-Barrett</v>
          </cell>
          <cell r="E219" t="str">
            <v>Account Executive II</v>
          </cell>
        </row>
        <row r="220">
          <cell r="D220" t="str">
            <v>Cate Devall</v>
          </cell>
          <cell r="E220" t="str">
            <v>Account Executive II</v>
          </cell>
        </row>
        <row r="221">
          <cell r="D221" t="str">
            <v>De Devereux</v>
          </cell>
          <cell r="E221" t="str">
            <v>Account Executive I</v>
          </cell>
        </row>
        <row r="222">
          <cell r="D222" t="str">
            <v>Etan Devericks</v>
          </cell>
          <cell r="E222" t="str">
            <v>Account Executive II</v>
          </cell>
        </row>
        <row r="223">
          <cell r="D223" t="str">
            <v>Golda Devigne</v>
          </cell>
          <cell r="E223" t="str">
            <v>Account Executive III</v>
          </cell>
        </row>
        <row r="224">
          <cell r="D224" t="str">
            <v>Emanuel Devita</v>
          </cell>
          <cell r="E224" t="str">
            <v>Account Executive II</v>
          </cell>
        </row>
        <row r="225">
          <cell r="D225" t="str">
            <v>Saleem Dewdney</v>
          </cell>
          <cell r="E225" t="str">
            <v>Account Executive I</v>
          </cell>
        </row>
        <row r="226">
          <cell r="D226" t="str">
            <v>Gris Dewsnap</v>
          </cell>
          <cell r="E226" t="str">
            <v>Account Executive I</v>
          </cell>
        </row>
        <row r="227">
          <cell r="D227" t="str">
            <v>Corene Diamant</v>
          </cell>
          <cell r="E227" t="str">
            <v>Account Executive II</v>
          </cell>
        </row>
        <row r="228">
          <cell r="D228" t="str">
            <v>Chen Dicker</v>
          </cell>
          <cell r="E228" t="str">
            <v>Account Executive III</v>
          </cell>
        </row>
        <row r="229">
          <cell r="D229" t="str">
            <v>Robbyn Didball</v>
          </cell>
          <cell r="E229" t="str">
            <v>Account Executive II</v>
          </cell>
        </row>
        <row r="230">
          <cell r="D230" t="str">
            <v>Grazia Didball</v>
          </cell>
          <cell r="E230" t="str">
            <v>Account Executive II</v>
          </cell>
        </row>
        <row r="231">
          <cell r="D231" t="str">
            <v>Finn Dixey</v>
          </cell>
          <cell r="E231" t="str">
            <v>Account Executive III</v>
          </cell>
        </row>
        <row r="232">
          <cell r="D232" t="str">
            <v>Neil Doctor</v>
          </cell>
          <cell r="E232" t="str">
            <v>Account Executive III</v>
          </cell>
        </row>
        <row r="233">
          <cell r="D233" t="str">
            <v>Tam Doniso</v>
          </cell>
          <cell r="E233" t="str">
            <v>Account Executive II</v>
          </cell>
        </row>
        <row r="234">
          <cell r="D234" t="str">
            <v>Ellen Dooman</v>
          </cell>
          <cell r="E234" t="str">
            <v>Account Executive I</v>
          </cell>
        </row>
        <row r="235">
          <cell r="D235" t="str">
            <v>Barn Doram</v>
          </cell>
          <cell r="E235" t="str">
            <v>Account Executive II</v>
          </cell>
        </row>
        <row r="236">
          <cell r="D236" t="str">
            <v>Terri Dorn</v>
          </cell>
          <cell r="E236" t="str">
            <v>Account Executive III</v>
          </cell>
        </row>
        <row r="237">
          <cell r="D237" t="str">
            <v>Temple Dorracott</v>
          </cell>
          <cell r="E237" t="str">
            <v>Account Executive II</v>
          </cell>
        </row>
        <row r="238">
          <cell r="D238" t="str">
            <v>Grenville D'Orsay</v>
          </cell>
          <cell r="E238" t="str">
            <v>Account Executive III</v>
          </cell>
        </row>
        <row r="239">
          <cell r="D239" t="str">
            <v>Dewie Dory</v>
          </cell>
          <cell r="E239" t="str">
            <v>Account Executive I</v>
          </cell>
        </row>
        <row r="240">
          <cell r="D240" t="str">
            <v>Georgiana Doul</v>
          </cell>
          <cell r="E240" t="str">
            <v>Account Executive I</v>
          </cell>
        </row>
        <row r="241">
          <cell r="D241" t="str">
            <v>Nil Dowden</v>
          </cell>
          <cell r="E241" t="str">
            <v>Account Executive II</v>
          </cell>
        </row>
        <row r="242">
          <cell r="D242" t="str">
            <v>Margit Dransfield</v>
          </cell>
          <cell r="E242" t="str">
            <v>Account Executive III</v>
          </cell>
        </row>
        <row r="243">
          <cell r="D243" t="str">
            <v>Bennie Drayton</v>
          </cell>
          <cell r="E243" t="str">
            <v>Account Executive III</v>
          </cell>
        </row>
        <row r="244">
          <cell r="D244" t="str">
            <v>Sheffield Drayton</v>
          </cell>
          <cell r="E244" t="str">
            <v>Account Executive III</v>
          </cell>
        </row>
        <row r="245">
          <cell r="D245" t="str">
            <v>Had Drew</v>
          </cell>
          <cell r="E245" t="str">
            <v>Account Executive I</v>
          </cell>
        </row>
        <row r="246">
          <cell r="D246" t="str">
            <v>Wilmette Dronsfield</v>
          </cell>
          <cell r="E246" t="str">
            <v>Account Executive II</v>
          </cell>
        </row>
        <row r="247">
          <cell r="D247" t="str">
            <v>Wallas Druitt</v>
          </cell>
          <cell r="E247" t="str">
            <v>Account Executive I</v>
          </cell>
        </row>
        <row r="248">
          <cell r="D248" t="str">
            <v>Aldin Dryburgh</v>
          </cell>
          <cell r="E248" t="str">
            <v>Account Executive I</v>
          </cell>
        </row>
        <row r="249">
          <cell r="D249" t="str">
            <v>Erin Ducker</v>
          </cell>
          <cell r="E249" t="str">
            <v>Account Executive I</v>
          </cell>
        </row>
        <row r="250">
          <cell r="D250" t="str">
            <v>Beverie Ducket</v>
          </cell>
          <cell r="E250" t="str">
            <v>Account Executive I</v>
          </cell>
        </row>
        <row r="251">
          <cell r="D251" t="str">
            <v>Guilbert Duckett</v>
          </cell>
          <cell r="E251" t="str">
            <v>Account Executive II</v>
          </cell>
        </row>
        <row r="252">
          <cell r="D252" t="str">
            <v>Merissa Duckitt</v>
          </cell>
          <cell r="E252" t="str">
            <v>Account Executive III</v>
          </cell>
        </row>
        <row r="253">
          <cell r="D253" t="str">
            <v>Coralyn Dudney</v>
          </cell>
          <cell r="E253" t="str">
            <v>Account Executive III</v>
          </cell>
        </row>
        <row r="254">
          <cell r="D254" t="str">
            <v>Gonzalo Dudson</v>
          </cell>
          <cell r="E254" t="str">
            <v>Account Executive II</v>
          </cell>
        </row>
        <row r="255">
          <cell r="D255" t="str">
            <v>Alfi Duesberry</v>
          </cell>
          <cell r="E255" t="str">
            <v>Account Executive II</v>
          </cell>
        </row>
        <row r="256">
          <cell r="D256" t="str">
            <v>Sherlock Duffell</v>
          </cell>
          <cell r="E256" t="str">
            <v>Account Executive II</v>
          </cell>
        </row>
        <row r="257">
          <cell r="D257" t="str">
            <v>Jermayne Duffie</v>
          </cell>
          <cell r="E257" t="str">
            <v>Account Executive III</v>
          </cell>
        </row>
        <row r="258">
          <cell r="D258" t="str">
            <v>Christan Dukesbury</v>
          </cell>
          <cell r="E258" t="str">
            <v>Account Executive III</v>
          </cell>
        </row>
        <row r="259">
          <cell r="D259" t="str">
            <v>Matthus Dumphrey</v>
          </cell>
          <cell r="E259" t="str">
            <v>Account Executive I</v>
          </cell>
        </row>
        <row r="260">
          <cell r="D260" t="str">
            <v>Andris Dunbleton</v>
          </cell>
          <cell r="E260" t="str">
            <v>Account Executive I</v>
          </cell>
        </row>
        <row r="261">
          <cell r="D261" t="str">
            <v>Fredi Dunkerly</v>
          </cell>
          <cell r="E261" t="str">
            <v>Account Executive III</v>
          </cell>
        </row>
        <row r="262">
          <cell r="D262" t="str">
            <v>Julianna Dunklee</v>
          </cell>
          <cell r="E262" t="str">
            <v>Account Executive I</v>
          </cell>
        </row>
        <row r="263">
          <cell r="D263" t="str">
            <v>Cory Duplan</v>
          </cell>
          <cell r="E263" t="str">
            <v>Account Executive III</v>
          </cell>
        </row>
        <row r="264">
          <cell r="D264" t="str">
            <v>Lazar Durant</v>
          </cell>
          <cell r="E264" t="str">
            <v>Account Executive II</v>
          </cell>
        </row>
        <row r="265">
          <cell r="D265" t="str">
            <v>Tirrell Durdle</v>
          </cell>
          <cell r="E265" t="str">
            <v>Account Executive I</v>
          </cell>
        </row>
        <row r="266">
          <cell r="D266" t="str">
            <v>Chalmers Durrad</v>
          </cell>
          <cell r="E266" t="str">
            <v>Account Executive III</v>
          </cell>
        </row>
        <row r="267">
          <cell r="D267" t="str">
            <v>Karalee Durrance</v>
          </cell>
          <cell r="E267" t="str">
            <v>Account Executive I</v>
          </cell>
        </row>
        <row r="268">
          <cell r="D268" t="str">
            <v>Orville Dutt</v>
          </cell>
          <cell r="E268" t="str">
            <v>Account Executive II</v>
          </cell>
        </row>
        <row r="269">
          <cell r="D269" t="str">
            <v>Daphna Dyson</v>
          </cell>
          <cell r="E269" t="str">
            <v>Account Executive II</v>
          </cell>
        </row>
        <row r="270">
          <cell r="D270" t="str">
            <v>Tremaine Dyzart</v>
          </cell>
          <cell r="E270" t="str">
            <v>Account Executive II</v>
          </cell>
        </row>
        <row r="271">
          <cell r="D271" t="str">
            <v>Aluino Eble</v>
          </cell>
          <cell r="E271" t="str">
            <v>Account Executive II</v>
          </cell>
        </row>
        <row r="272">
          <cell r="D272" t="str">
            <v>Pietrek Eborn</v>
          </cell>
          <cell r="E272" t="str">
            <v>Account Executive II</v>
          </cell>
        </row>
        <row r="273">
          <cell r="D273" t="str">
            <v>Stinky Eddoes</v>
          </cell>
          <cell r="E273" t="str">
            <v>Account Executive I</v>
          </cell>
        </row>
        <row r="274">
          <cell r="D274" t="str">
            <v>Janeva Edelheid</v>
          </cell>
          <cell r="E274" t="str">
            <v>Account Executive III</v>
          </cell>
        </row>
        <row r="275">
          <cell r="D275" t="str">
            <v>Yves Edelmann</v>
          </cell>
          <cell r="E275" t="str">
            <v>Account Executive III</v>
          </cell>
        </row>
        <row r="276">
          <cell r="D276" t="str">
            <v>Lucita Edington</v>
          </cell>
          <cell r="E276" t="str">
            <v>Account Executive II</v>
          </cell>
        </row>
        <row r="277">
          <cell r="D277" t="str">
            <v>Keefer Edmonson</v>
          </cell>
          <cell r="E277" t="str">
            <v>Account Executive III</v>
          </cell>
        </row>
        <row r="278">
          <cell r="D278" t="str">
            <v>Will Elmhirst</v>
          </cell>
          <cell r="E278" t="str">
            <v>Account Executive I</v>
          </cell>
        </row>
        <row r="279">
          <cell r="D279" t="str">
            <v>Rodie Elsip</v>
          </cell>
          <cell r="E279" t="str">
            <v>Account Executive I</v>
          </cell>
        </row>
        <row r="280">
          <cell r="D280" t="str">
            <v>Leilah Elsy</v>
          </cell>
          <cell r="E280" t="str">
            <v>Account Executive III</v>
          </cell>
        </row>
        <row r="281">
          <cell r="D281" t="str">
            <v>Celine Ennew</v>
          </cell>
          <cell r="E281" t="str">
            <v>Account Executive I</v>
          </cell>
        </row>
        <row r="282">
          <cell r="D282" t="str">
            <v>Iago Epine</v>
          </cell>
          <cell r="E282" t="str">
            <v>Account Executive III</v>
          </cell>
        </row>
        <row r="283">
          <cell r="D283" t="str">
            <v>Hunter Erni</v>
          </cell>
          <cell r="E283" t="str">
            <v>Account Executive II</v>
          </cell>
        </row>
        <row r="284">
          <cell r="D284" t="str">
            <v>Kimmi Erskin</v>
          </cell>
          <cell r="E284" t="str">
            <v>Account Executive III</v>
          </cell>
        </row>
        <row r="285">
          <cell r="D285" t="str">
            <v>Claire Espinos</v>
          </cell>
          <cell r="E285" t="str">
            <v>Account Executive I</v>
          </cell>
        </row>
        <row r="286">
          <cell r="D286" t="str">
            <v>Artie Etheredge</v>
          </cell>
          <cell r="E286" t="str">
            <v>Account Executive II</v>
          </cell>
        </row>
        <row r="287">
          <cell r="D287" t="str">
            <v>Nathaniel Evered</v>
          </cell>
          <cell r="E287" t="str">
            <v>Account Executive III</v>
          </cell>
        </row>
        <row r="288">
          <cell r="D288" t="str">
            <v>Jorie Everex</v>
          </cell>
          <cell r="E288" t="str">
            <v>Account Executive II</v>
          </cell>
        </row>
        <row r="289">
          <cell r="D289" t="str">
            <v>Dexter Ewington</v>
          </cell>
          <cell r="E289" t="str">
            <v>Account Executive III</v>
          </cell>
        </row>
        <row r="290">
          <cell r="D290" t="str">
            <v>Saree Exrol</v>
          </cell>
          <cell r="E290" t="str">
            <v>Account Executive III</v>
          </cell>
        </row>
        <row r="291">
          <cell r="D291" t="str">
            <v>Ranice Exton</v>
          </cell>
          <cell r="E291" t="str">
            <v>Account Executive III</v>
          </cell>
        </row>
        <row r="292">
          <cell r="D292" t="str">
            <v>Nichols Exton</v>
          </cell>
          <cell r="E292" t="str">
            <v>Account Executive II</v>
          </cell>
        </row>
        <row r="293">
          <cell r="D293" t="str">
            <v>Donelle Eyckelbeck</v>
          </cell>
          <cell r="E293" t="str">
            <v>Account Executive II</v>
          </cell>
        </row>
        <row r="294">
          <cell r="D294" t="str">
            <v>Eal Ezzle</v>
          </cell>
          <cell r="E294" t="str">
            <v>Account Executive I</v>
          </cell>
        </row>
        <row r="295">
          <cell r="D295" t="str">
            <v>Rickert Fairley</v>
          </cell>
          <cell r="E295" t="str">
            <v>Account Executive III</v>
          </cell>
        </row>
        <row r="296">
          <cell r="D296" t="str">
            <v>Phil Falconar</v>
          </cell>
          <cell r="E296" t="str">
            <v>Account Executive II</v>
          </cell>
        </row>
        <row r="297">
          <cell r="D297" t="str">
            <v>Arline Fallowes</v>
          </cell>
          <cell r="E297" t="str">
            <v>Account Executive II</v>
          </cell>
        </row>
        <row r="298">
          <cell r="D298" t="str">
            <v>Sutherland Fantin</v>
          </cell>
          <cell r="E298" t="str">
            <v>Account Executive III</v>
          </cell>
        </row>
        <row r="299">
          <cell r="D299" t="str">
            <v>Giles Fardy</v>
          </cell>
          <cell r="E299" t="str">
            <v>Account Executive I</v>
          </cell>
        </row>
        <row r="300">
          <cell r="D300" t="str">
            <v>Lucina Farndon</v>
          </cell>
          <cell r="E300" t="str">
            <v>Account Executive III</v>
          </cell>
        </row>
        <row r="301">
          <cell r="D301" t="str">
            <v>Tessie Farre</v>
          </cell>
          <cell r="E301" t="str">
            <v>Account Executive II</v>
          </cell>
        </row>
        <row r="302">
          <cell r="D302" t="str">
            <v>Caro Farrington</v>
          </cell>
          <cell r="E302" t="str">
            <v>Account Executive III</v>
          </cell>
        </row>
        <row r="303">
          <cell r="D303" t="str">
            <v>Sadella Fateley</v>
          </cell>
          <cell r="E303" t="str">
            <v>Account Executive I</v>
          </cell>
        </row>
        <row r="304">
          <cell r="D304" t="str">
            <v>Loleta Faull</v>
          </cell>
          <cell r="E304" t="str">
            <v>Account Executive II</v>
          </cell>
        </row>
        <row r="305">
          <cell r="D305" t="str">
            <v>Chantalle Fedynski</v>
          </cell>
          <cell r="E305" t="str">
            <v>Account Executive III</v>
          </cell>
        </row>
        <row r="306">
          <cell r="D306" t="str">
            <v>Carmen Ferrick</v>
          </cell>
          <cell r="E306" t="str">
            <v>Account Executive I</v>
          </cell>
        </row>
        <row r="307">
          <cell r="D307" t="str">
            <v>Norris Ferrillio</v>
          </cell>
          <cell r="E307" t="str">
            <v>Account Executive II</v>
          </cell>
        </row>
        <row r="308">
          <cell r="D308" t="str">
            <v>Bride Fidelli</v>
          </cell>
          <cell r="E308" t="str">
            <v>Account Executive III</v>
          </cell>
        </row>
        <row r="309">
          <cell r="D309" t="str">
            <v>Myriam Filby</v>
          </cell>
          <cell r="E309" t="str">
            <v>Account Executive III</v>
          </cell>
        </row>
        <row r="310">
          <cell r="D310" t="str">
            <v>Ferdinand Filippucci</v>
          </cell>
          <cell r="E310" t="str">
            <v>Account Executive III</v>
          </cell>
        </row>
        <row r="311">
          <cell r="D311" t="str">
            <v>Rodrique Filon</v>
          </cell>
          <cell r="E311" t="str">
            <v>Account Executive II</v>
          </cell>
        </row>
        <row r="312">
          <cell r="D312" t="str">
            <v>Costa Fincke</v>
          </cell>
          <cell r="E312" t="str">
            <v>Account Executive III</v>
          </cell>
        </row>
        <row r="313">
          <cell r="D313" t="str">
            <v>Bernardina Fisbey</v>
          </cell>
          <cell r="E313" t="str">
            <v>Account Executive II</v>
          </cell>
        </row>
        <row r="314">
          <cell r="D314" t="str">
            <v>Carmela Fliege</v>
          </cell>
          <cell r="E314" t="str">
            <v>Account Executive II</v>
          </cell>
        </row>
        <row r="315">
          <cell r="D315" t="str">
            <v>Tamqrah Flowerden</v>
          </cell>
          <cell r="E315" t="str">
            <v>Account Executive II</v>
          </cell>
        </row>
        <row r="316">
          <cell r="D316" t="str">
            <v>Blanche Folliott</v>
          </cell>
          <cell r="E316" t="str">
            <v>Account Executive I</v>
          </cell>
        </row>
        <row r="317">
          <cell r="D317" t="str">
            <v>Elfrida Fone</v>
          </cell>
          <cell r="E317" t="str">
            <v>Account Executive II</v>
          </cell>
        </row>
        <row r="318">
          <cell r="D318" t="str">
            <v>Erika Forsaith</v>
          </cell>
          <cell r="E318" t="str">
            <v>Account Executive I</v>
          </cell>
        </row>
        <row r="319">
          <cell r="D319" t="str">
            <v>Alyssa Forsyth</v>
          </cell>
          <cell r="E319" t="str">
            <v>Account Executive I</v>
          </cell>
        </row>
        <row r="320">
          <cell r="D320" t="str">
            <v>May Fortesquieu</v>
          </cell>
          <cell r="E320" t="str">
            <v>Account Executive I</v>
          </cell>
        </row>
        <row r="321">
          <cell r="D321" t="str">
            <v>Lucila Fosh</v>
          </cell>
          <cell r="E321" t="str">
            <v>Account Executive I</v>
          </cell>
        </row>
        <row r="322">
          <cell r="D322" t="str">
            <v>Danit Fosserd</v>
          </cell>
          <cell r="E322" t="str">
            <v>Account Executive I</v>
          </cell>
        </row>
        <row r="323">
          <cell r="D323" t="str">
            <v>Lotty Foxall</v>
          </cell>
          <cell r="E323" t="str">
            <v>Account Executive III</v>
          </cell>
        </row>
        <row r="324">
          <cell r="D324" t="str">
            <v>Horatio Franchyonok</v>
          </cell>
          <cell r="E324" t="str">
            <v>Account Executive I</v>
          </cell>
        </row>
        <row r="325">
          <cell r="D325" t="str">
            <v>Annis Francomb</v>
          </cell>
          <cell r="E325" t="str">
            <v>Account Executive I</v>
          </cell>
        </row>
        <row r="326">
          <cell r="D326" t="str">
            <v>Cyndia Fratson</v>
          </cell>
          <cell r="E326" t="str">
            <v>Account Executive II</v>
          </cell>
        </row>
        <row r="327">
          <cell r="D327" t="str">
            <v>Gradey Frazier</v>
          </cell>
          <cell r="E327" t="str">
            <v>Account Executive III</v>
          </cell>
        </row>
        <row r="328">
          <cell r="D328" t="str">
            <v>Arleen Freezor</v>
          </cell>
          <cell r="E328" t="str">
            <v>Account Executive I</v>
          </cell>
        </row>
        <row r="329">
          <cell r="D329" t="str">
            <v>Arvin Friar</v>
          </cell>
          <cell r="E329" t="str">
            <v>Account Executive III</v>
          </cell>
        </row>
        <row r="330">
          <cell r="D330" t="str">
            <v>Rodd Froggatt</v>
          </cell>
          <cell r="E330" t="str">
            <v>Account Executive I</v>
          </cell>
        </row>
        <row r="331">
          <cell r="D331" t="str">
            <v>Taite Fulk</v>
          </cell>
          <cell r="E331" t="str">
            <v>Account Executive I</v>
          </cell>
        </row>
        <row r="332">
          <cell r="D332" t="str">
            <v>Delia Fylan</v>
          </cell>
          <cell r="E332" t="str">
            <v>Account Executive I</v>
          </cell>
        </row>
        <row r="333">
          <cell r="D333" t="str">
            <v>Rani Gaffney</v>
          </cell>
          <cell r="E333" t="str">
            <v>Account Executive II</v>
          </cell>
        </row>
        <row r="334">
          <cell r="D334" t="str">
            <v>Ferrel Gainforth</v>
          </cell>
          <cell r="E334" t="str">
            <v>Account Executive III</v>
          </cell>
        </row>
        <row r="335">
          <cell r="D335" t="str">
            <v>Rochella Galland</v>
          </cell>
          <cell r="E335" t="str">
            <v>Account Executive I</v>
          </cell>
        </row>
        <row r="336">
          <cell r="D336" t="str">
            <v>Junina Galland</v>
          </cell>
          <cell r="E336" t="str">
            <v>Account Executive I</v>
          </cell>
        </row>
        <row r="337">
          <cell r="D337" t="str">
            <v>Packston Gamlin</v>
          </cell>
          <cell r="E337" t="str">
            <v>Account Executive II</v>
          </cell>
        </row>
        <row r="338">
          <cell r="D338" t="str">
            <v>Glynis Garaghan</v>
          </cell>
          <cell r="E338" t="str">
            <v>Account Executive II</v>
          </cell>
        </row>
        <row r="339">
          <cell r="D339" t="str">
            <v>Leighton Garbar</v>
          </cell>
          <cell r="E339" t="str">
            <v>Account Executive II</v>
          </cell>
        </row>
        <row r="340">
          <cell r="D340" t="str">
            <v>Emanuele Garfitt</v>
          </cell>
          <cell r="E340" t="str">
            <v>Account Executive III</v>
          </cell>
        </row>
        <row r="341">
          <cell r="D341" t="str">
            <v>Hillyer Garrique</v>
          </cell>
          <cell r="E341" t="str">
            <v>Account Executive I</v>
          </cell>
        </row>
        <row r="342">
          <cell r="D342" t="str">
            <v>Klement Garrison</v>
          </cell>
          <cell r="E342" t="str">
            <v>Account Executive II</v>
          </cell>
        </row>
        <row r="343">
          <cell r="D343" t="str">
            <v>Katlin Garthland</v>
          </cell>
          <cell r="E343" t="str">
            <v>Account Executive I</v>
          </cell>
        </row>
        <row r="344">
          <cell r="D344" t="str">
            <v>Simone Garz</v>
          </cell>
          <cell r="E344" t="str">
            <v>Account Executive II</v>
          </cell>
        </row>
        <row r="345">
          <cell r="D345" t="str">
            <v>Gennifer Gaythwaite</v>
          </cell>
          <cell r="E345" t="str">
            <v>Account Executive I</v>
          </cell>
        </row>
        <row r="346">
          <cell r="D346" t="str">
            <v>Ranice Gaytor</v>
          </cell>
          <cell r="E346" t="str">
            <v>Account Executive II</v>
          </cell>
        </row>
        <row r="347">
          <cell r="D347" t="str">
            <v>Duane Geoghegan</v>
          </cell>
          <cell r="E347" t="str">
            <v>Account Executive II</v>
          </cell>
        </row>
        <row r="348">
          <cell r="D348" t="str">
            <v>Bartlet Gerardeaux</v>
          </cell>
          <cell r="E348" t="str">
            <v>Account Executive II</v>
          </cell>
        </row>
        <row r="349">
          <cell r="D349" t="str">
            <v>Dionisio Gethyn</v>
          </cell>
          <cell r="E349" t="str">
            <v>Account Executive I</v>
          </cell>
        </row>
        <row r="350">
          <cell r="D350" t="str">
            <v>Dorothea Gheeraert</v>
          </cell>
          <cell r="E350" t="str">
            <v>Account Executive III</v>
          </cell>
        </row>
        <row r="351">
          <cell r="D351" t="str">
            <v>Cymbre Giampietro</v>
          </cell>
          <cell r="E351" t="str">
            <v>Account Executive I</v>
          </cell>
        </row>
        <row r="352">
          <cell r="D352" t="str">
            <v>Gayelord Gianelli</v>
          </cell>
          <cell r="E352" t="str">
            <v>Account Executive II</v>
          </cell>
        </row>
        <row r="353">
          <cell r="D353" t="str">
            <v>Fredelia Gianetti</v>
          </cell>
          <cell r="E353" t="str">
            <v>Account Executive II</v>
          </cell>
        </row>
        <row r="354">
          <cell r="D354" t="str">
            <v>Elmore Gianullo</v>
          </cell>
          <cell r="E354" t="str">
            <v>Account Executive II</v>
          </cell>
        </row>
        <row r="355">
          <cell r="D355" t="str">
            <v>Glenn Gillespie</v>
          </cell>
          <cell r="E355" t="str">
            <v>Account Executive I</v>
          </cell>
        </row>
        <row r="356">
          <cell r="D356" t="str">
            <v>Glennie Giorgio</v>
          </cell>
          <cell r="E356" t="str">
            <v>Account Executive I</v>
          </cell>
        </row>
        <row r="357">
          <cell r="D357" t="str">
            <v>Row Giottini</v>
          </cell>
          <cell r="E357" t="str">
            <v>Account Executive I</v>
          </cell>
        </row>
        <row r="358">
          <cell r="D358" t="str">
            <v>Nial Giovanazzi</v>
          </cell>
          <cell r="E358" t="str">
            <v>Account Executive II</v>
          </cell>
        </row>
        <row r="359">
          <cell r="D359" t="str">
            <v>Meredith Giraudot</v>
          </cell>
          <cell r="E359" t="str">
            <v>Account Executive III</v>
          </cell>
        </row>
        <row r="360">
          <cell r="D360" t="str">
            <v>Clem Girth</v>
          </cell>
          <cell r="E360" t="str">
            <v>Account Executive I</v>
          </cell>
        </row>
        <row r="361">
          <cell r="D361" t="str">
            <v>Arlin Glacken</v>
          </cell>
          <cell r="E361" t="str">
            <v>Account Executive II</v>
          </cell>
        </row>
        <row r="362">
          <cell r="D362" t="str">
            <v>Genni Glader</v>
          </cell>
          <cell r="E362" t="str">
            <v>Account Executive I</v>
          </cell>
        </row>
        <row r="363">
          <cell r="D363" t="str">
            <v>Jolee Gladyer</v>
          </cell>
          <cell r="E363" t="str">
            <v>Account Executive III</v>
          </cell>
        </row>
        <row r="364">
          <cell r="D364" t="str">
            <v>Izzy Glennon</v>
          </cell>
          <cell r="E364" t="str">
            <v>Account Executive II</v>
          </cell>
        </row>
        <row r="365">
          <cell r="D365" t="str">
            <v>Caroline Glidden</v>
          </cell>
          <cell r="E365" t="str">
            <v>Account Executive II</v>
          </cell>
        </row>
        <row r="366">
          <cell r="D366" t="str">
            <v>Sunny Glyne</v>
          </cell>
          <cell r="E366" t="str">
            <v>Account Executive III</v>
          </cell>
        </row>
        <row r="367">
          <cell r="D367" t="str">
            <v>Demetri Goatman</v>
          </cell>
          <cell r="E367" t="str">
            <v>Account Executive II</v>
          </cell>
        </row>
        <row r="368">
          <cell r="D368" t="str">
            <v>Bea Gofton</v>
          </cell>
          <cell r="E368" t="str">
            <v>Account Executive III</v>
          </cell>
        </row>
        <row r="369">
          <cell r="D369" t="str">
            <v>Orland Gommery</v>
          </cell>
          <cell r="E369" t="str">
            <v>Account Executive III</v>
          </cell>
        </row>
        <row r="370">
          <cell r="D370" t="str">
            <v>Nolie Gonnin</v>
          </cell>
          <cell r="E370" t="str">
            <v>Account Executive II</v>
          </cell>
        </row>
        <row r="371">
          <cell r="D371" t="str">
            <v>Ivan Gonzalo</v>
          </cell>
          <cell r="E371" t="str">
            <v>Account Executive II</v>
          </cell>
        </row>
        <row r="372">
          <cell r="D372" t="str">
            <v>Salli Gooda</v>
          </cell>
          <cell r="E372" t="str">
            <v>Account Executive II</v>
          </cell>
        </row>
        <row r="373">
          <cell r="D373" t="str">
            <v>Cordelia Goodered</v>
          </cell>
          <cell r="E373" t="str">
            <v>Account Executive III</v>
          </cell>
        </row>
        <row r="374">
          <cell r="D374" t="str">
            <v>Pablo Goodhand</v>
          </cell>
          <cell r="E374" t="str">
            <v>Account Executive III</v>
          </cell>
        </row>
        <row r="375">
          <cell r="D375" t="str">
            <v>Jonathon Goodrum</v>
          </cell>
          <cell r="E375" t="str">
            <v>Account Executive III</v>
          </cell>
        </row>
        <row r="376">
          <cell r="D376" t="str">
            <v>Darnall Goodship</v>
          </cell>
          <cell r="E376" t="str">
            <v>Account Executive I</v>
          </cell>
        </row>
        <row r="377">
          <cell r="D377" t="str">
            <v>Jaquenetta Gorelli</v>
          </cell>
          <cell r="E377" t="str">
            <v>Account Executive II</v>
          </cell>
        </row>
        <row r="378">
          <cell r="D378" t="str">
            <v>Murdock Gorton</v>
          </cell>
          <cell r="E378" t="str">
            <v>Account Executive III</v>
          </cell>
        </row>
        <row r="379">
          <cell r="D379" t="str">
            <v>Verine Gouldstone</v>
          </cell>
          <cell r="E379" t="str">
            <v>Account Executive III</v>
          </cell>
        </row>
        <row r="380">
          <cell r="D380" t="str">
            <v>Elbertina Gounet</v>
          </cell>
          <cell r="E380" t="str">
            <v>Account Executive III</v>
          </cell>
        </row>
        <row r="381">
          <cell r="D381" t="str">
            <v>Antonina Grammer</v>
          </cell>
          <cell r="E381" t="str">
            <v>Account Executive II</v>
          </cell>
        </row>
        <row r="382">
          <cell r="D382" t="str">
            <v>Nicola Granleese</v>
          </cell>
          <cell r="E382" t="str">
            <v>Account Executive II</v>
          </cell>
        </row>
        <row r="383">
          <cell r="D383" t="str">
            <v>Brandi Gratton</v>
          </cell>
          <cell r="E383" t="str">
            <v>Account Executive III</v>
          </cell>
        </row>
        <row r="384">
          <cell r="D384" t="str">
            <v>Andros Graveson</v>
          </cell>
          <cell r="E384" t="str">
            <v>Account Executive III</v>
          </cell>
        </row>
        <row r="385">
          <cell r="D385" t="str">
            <v>Peggie Grayland</v>
          </cell>
          <cell r="E385" t="str">
            <v>Account Executive I</v>
          </cell>
        </row>
        <row r="386">
          <cell r="D386" t="str">
            <v>Geoff Greenmon</v>
          </cell>
          <cell r="E386" t="str">
            <v>Account Executive III</v>
          </cell>
        </row>
        <row r="387">
          <cell r="D387" t="str">
            <v>Phillipe Greenroyd</v>
          </cell>
          <cell r="E387" t="str">
            <v>Account Executive I</v>
          </cell>
        </row>
        <row r="388">
          <cell r="D388" t="str">
            <v>Shayne Greensall</v>
          </cell>
          <cell r="E388" t="str">
            <v>Account Executive II</v>
          </cell>
        </row>
        <row r="389">
          <cell r="D389" t="str">
            <v>Meg Greensides</v>
          </cell>
          <cell r="E389" t="str">
            <v>Account Executive III</v>
          </cell>
        </row>
        <row r="390">
          <cell r="D390" t="str">
            <v>Stephan Greeve</v>
          </cell>
          <cell r="E390" t="str">
            <v>Account Executive II</v>
          </cell>
        </row>
        <row r="391">
          <cell r="D391" t="str">
            <v>Kaitlin Greeveson</v>
          </cell>
          <cell r="E391" t="str">
            <v>Account Executive III</v>
          </cell>
        </row>
        <row r="392">
          <cell r="D392" t="str">
            <v>Trevor Greschik</v>
          </cell>
          <cell r="E392" t="str">
            <v>Account Executive II</v>
          </cell>
        </row>
        <row r="393">
          <cell r="D393" t="str">
            <v>Madeline Grief</v>
          </cell>
          <cell r="E393" t="str">
            <v>Account Executive I</v>
          </cell>
        </row>
        <row r="394">
          <cell r="D394" t="str">
            <v>Becki Grigorini</v>
          </cell>
          <cell r="E394" t="str">
            <v>Account Executive II</v>
          </cell>
        </row>
        <row r="395">
          <cell r="D395" t="str">
            <v>Evania Grime</v>
          </cell>
          <cell r="E395" t="str">
            <v>Account Executive I</v>
          </cell>
        </row>
        <row r="396">
          <cell r="D396" t="str">
            <v>Duffy Grimsdyke</v>
          </cell>
          <cell r="E396" t="str">
            <v>Account Executive II</v>
          </cell>
        </row>
        <row r="397">
          <cell r="D397" t="str">
            <v>Lionello Grogono</v>
          </cell>
          <cell r="E397" t="str">
            <v>Account Executive II</v>
          </cell>
        </row>
        <row r="398">
          <cell r="D398" t="str">
            <v>Cherye Grunbaum</v>
          </cell>
          <cell r="E398" t="str">
            <v>Account Executive I</v>
          </cell>
        </row>
        <row r="399">
          <cell r="D399" t="str">
            <v>Crystie Guerrazzi</v>
          </cell>
          <cell r="E399" t="str">
            <v>Account Executive II</v>
          </cell>
        </row>
        <row r="400">
          <cell r="D400" t="str">
            <v>Roger Guiet</v>
          </cell>
          <cell r="E400" t="str">
            <v>Account Executive II</v>
          </cell>
        </row>
        <row r="401">
          <cell r="D401" t="str">
            <v>Lorianne Guillem</v>
          </cell>
          <cell r="E401" t="str">
            <v>Account Executive III</v>
          </cell>
        </row>
        <row r="402">
          <cell r="D402" t="str">
            <v>Lowe Guiness</v>
          </cell>
          <cell r="E402" t="str">
            <v>Account Executive II</v>
          </cell>
        </row>
        <row r="403">
          <cell r="D403" t="str">
            <v>Kristal Guitonneau</v>
          </cell>
          <cell r="E403" t="str">
            <v>Account Executive I</v>
          </cell>
        </row>
        <row r="404">
          <cell r="D404" t="str">
            <v>Reginauld Gurner</v>
          </cell>
          <cell r="E404" t="str">
            <v>Account Executive III</v>
          </cell>
        </row>
        <row r="405">
          <cell r="D405" t="str">
            <v>Cristiano Gyurko</v>
          </cell>
          <cell r="E405" t="str">
            <v>Account Executive I</v>
          </cell>
        </row>
        <row r="406">
          <cell r="D406" t="str">
            <v>Lenette Gyves</v>
          </cell>
          <cell r="E406" t="str">
            <v>Account Executive II</v>
          </cell>
        </row>
        <row r="407">
          <cell r="D407" t="str">
            <v>Michale Hackley</v>
          </cell>
          <cell r="E407" t="str">
            <v>Account Executive III</v>
          </cell>
        </row>
        <row r="408">
          <cell r="D408" t="str">
            <v>Tani Haddock</v>
          </cell>
          <cell r="E408" t="str">
            <v>Account Executive III</v>
          </cell>
        </row>
        <row r="409">
          <cell r="D409" t="str">
            <v>Hanson Hadigate</v>
          </cell>
          <cell r="E409" t="str">
            <v>Account Executive I</v>
          </cell>
        </row>
        <row r="410">
          <cell r="D410" t="str">
            <v>Kristy Hadland</v>
          </cell>
          <cell r="E410" t="str">
            <v>Account Executive III</v>
          </cell>
        </row>
        <row r="411">
          <cell r="D411" t="str">
            <v>Kyle Hadlow</v>
          </cell>
          <cell r="E411" t="str">
            <v>Account Executive II</v>
          </cell>
        </row>
        <row r="412">
          <cell r="D412" t="str">
            <v>Rory Hadwick</v>
          </cell>
          <cell r="E412" t="str">
            <v>Account Executive I</v>
          </cell>
        </row>
        <row r="413">
          <cell r="D413" t="str">
            <v>Matthias Haestier</v>
          </cell>
          <cell r="E413" t="str">
            <v>Account Executive III</v>
          </cell>
        </row>
        <row r="414">
          <cell r="D414" t="str">
            <v>Ingar Halpine</v>
          </cell>
          <cell r="E414" t="str">
            <v>Account Executive II</v>
          </cell>
        </row>
        <row r="415">
          <cell r="D415" t="str">
            <v>Maximilianus Hamlington</v>
          </cell>
          <cell r="E415" t="str">
            <v>Account Executive III</v>
          </cell>
        </row>
        <row r="416">
          <cell r="D416" t="str">
            <v>Monique Hammelberg</v>
          </cell>
          <cell r="E416" t="str">
            <v>Account Executive III</v>
          </cell>
        </row>
        <row r="417">
          <cell r="D417" t="str">
            <v>Elva Hamsher</v>
          </cell>
          <cell r="E417" t="str">
            <v>Account Executive I</v>
          </cell>
        </row>
        <row r="418">
          <cell r="D418" t="str">
            <v>Bernhard Hannan</v>
          </cell>
          <cell r="E418" t="str">
            <v>Account Executive II</v>
          </cell>
        </row>
        <row r="419">
          <cell r="D419" t="str">
            <v>Rossie Harget</v>
          </cell>
          <cell r="E419" t="str">
            <v>Account Executive II</v>
          </cell>
        </row>
        <row r="420">
          <cell r="D420" t="str">
            <v>Leola Harhoff</v>
          </cell>
          <cell r="E420" t="str">
            <v>Account Executive II</v>
          </cell>
        </row>
        <row r="421">
          <cell r="D421" t="str">
            <v>Clemmie Harrap</v>
          </cell>
          <cell r="E421" t="str">
            <v>Account Executive I</v>
          </cell>
        </row>
        <row r="422">
          <cell r="D422" t="str">
            <v>Delmore Harrild</v>
          </cell>
          <cell r="E422" t="str">
            <v>Account Executive II</v>
          </cell>
        </row>
        <row r="423">
          <cell r="D423" t="str">
            <v>Melisse Hartill</v>
          </cell>
          <cell r="E423" t="str">
            <v>Account Executive III</v>
          </cell>
        </row>
        <row r="424">
          <cell r="D424" t="str">
            <v>Brewer Hartright</v>
          </cell>
          <cell r="E424" t="str">
            <v>Account Executive III</v>
          </cell>
        </row>
        <row r="425">
          <cell r="D425" t="str">
            <v>Idell Haskew</v>
          </cell>
          <cell r="E425" t="str">
            <v>Account Executive III</v>
          </cell>
        </row>
        <row r="426">
          <cell r="D426" t="str">
            <v>Kelsey Hassur</v>
          </cell>
          <cell r="E426" t="str">
            <v>Account Executive III</v>
          </cell>
        </row>
        <row r="427">
          <cell r="D427" t="str">
            <v>Thatcher Haug</v>
          </cell>
          <cell r="E427" t="str">
            <v>Account Executive I</v>
          </cell>
        </row>
        <row r="428">
          <cell r="D428" t="str">
            <v>Basilius Hawlgarth</v>
          </cell>
          <cell r="E428" t="str">
            <v>Account Executive II</v>
          </cell>
        </row>
        <row r="429">
          <cell r="D429" t="str">
            <v>Baird Hayhow</v>
          </cell>
          <cell r="E429" t="str">
            <v>Account Executive II</v>
          </cell>
        </row>
        <row r="430">
          <cell r="D430" t="str">
            <v>Faustine Hayward</v>
          </cell>
          <cell r="E430" t="str">
            <v>Account Executive I</v>
          </cell>
        </row>
        <row r="431">
          <cell r="D431" t="str">
            <v>Demetris Hazlegrove</v>
          </cell>
          <cell r="E431" t="str">
            <v>Account Executive I</v>
          </cell>
        </row>
        <row r="432">
          <cell r="D432" t="str">
            <v>Kalindi Hedin</v>
          </cell>
          <cell r="E432" t="str">
            <v>Account Executive III</v>
          </cell>
        </row>
        <row r="433">
          <cell r="D433" t="str">
            <v>Kitti Hedworth</v>
          </cell>
          <cell r="E433" t="str">
            <v>Account Executive I</v>
          </cell>
        </row>
        <row r="434">
          <cell r="D434" t="str">
            <v>Skell Heijne</v>
          </cell>
          <cell r="E434" t="str">
            <v>Account Executive III</v>
          </cell>
        </row>
        <row r="435">
          <cell r="D435" t="str">
            <v>Tori Helis</v>
          </cell>
          <cell r="E435" t="str">
            <v>Account Executive II</v>
          </cell>
        </row>
        <row r="436">
          <cell r="D436" t="str">
            <v>Clarke Hemphall</v>
          </cell>
          <cell r="E436" t="str">
            <v>Account Executive II</v>
          </cell>
        </row>
        <row r="437">
          <cell r="D437" t="str">
            <v>Orel Henrie</v>
          </cell>
          <cell r="E437" t="str">
            <v>Account Executive III</v>
          </cell>
        </row>
        <row r="438">
          <cell r="D438" t="str">
            <v>Terry Hess</v>
          </cell>
          <cell r="E438" t="str">
            <v>Account Executive I</v>
          </cell>
        </row>
        <row r="439">
          <cell r="D439" t="str">
            <v>Renaud Highwood</v>
          </cell>
          <cell r="E439" t="str">
            <v>Account Executive III</v>
          </cell>
        </row>
        <row r="440">
          <cell r="D440" t="str">
            <v>Reeta Hildred</v>
          </cell>
          <cell r="E440" t="str">
            <v>Account Executive III</v>
          </cell>
        </row>
        <row r="441">
          <cell r="D441" t="str">
            <v>Trisha Hinchshaw</v>
          </cell>
          <cell r="E441" t="str">
            <v>Account Executive I</v>
          </cell>
        </row>
        <row r="442">
          <cell r="D442" t="str">
            <v>Darsey Hooban</v>
          </cell>
          <cell r="E442" t="str">
            <v>Account Executive II</v>
          </cell>
        </row>
        <row r="443">
          <cell r="D443" t="str">
            <v>Abram Hopfer</v>
          </cell>
          <cell r="E443" t="str">
            <v>Account Executive I</v>
          </cell>
        </row>
        <row r="444">
          <cell r="D444" t="str">
            <v>Mellicent Hopkyns</v>
          </cell>
          <cell r="E444" t="str">
            <v>Account Executive II</v>
          </cell>
        </row>
        <row r="445">
          <cell r="D445" t="str">
            <v>Antonella Horrod</v>
          </cell>
          <cell r="E445" t="str">
            <v>Account Executive III</v>
          </cell>
        </row>
        <row r="446">
          <cell r="D446" t="str">
            <v>Letti Howarth</v>
          </cell>
          <cell r="E446" t="str">
            <v>Account Executive II</v>
          </cell>
        </row>
        <row r="447">
          <cell r="D447" t="str">
            <v>Timmie Howis</v>
          </cell>
          <cell r="E447" t="str">
            <v>Account Executive II</v>
          </cell>
        </row>
        <row r="448">
          <cell r="D448" t="str">
            <v>Carri Howis</v>
          </cell>
          <cell r="E448" t="str">
            <v>Account Executive III</v>
          </cell>
        </row>
        <row r="449">
          <cell r="D449" t="str">
            <v>Teresina Howling</v>
          </cell>
          <cell r="E449" t="str">
            <v>Account Executive I</v>
          </cell>
        </row>
        <row r="450">
          <cell r="D450" t="str">
            <v>Saunders Hubery</v>
          </cell>
          <cell r="E450" t="str">
            <v>Account Executive II</v>
          </cell>
        </row>
        <row r="451">
          <cell r="D451" t="str">
            <v>Dex Hughill</v>
          </cell>
          <cell r="E451" t="str">
            <v>Account Executive II</v>
          </cell>
        </row>
        <row r="452">
          <cell r="D452" t="str">
            <v>Pippo Huish</v>
          </cell>
          <cell r="E452" t="str">
            <v>Account Executive I</v>
          </cell>
        </row>
        <row r="453">
          <cell r="D453" t="str">
            <v>Rowen Hullbrook</v>
          </cell>
          <cell r="E453" t="str">
            <v>Account Executive II</v>
          </cell>
        </row>
        <row r="454">
          <cell r="D454" t="str">
            <v>Wendel Hulmes</v>
          </cell>
          <cell r="E454" t="str">
            <v>Account Executive III</v>
          </cell>
        </row>
        <row r="455">
          <cell r="D455" t="str">
            <v>Fabe Hutchinges</v>
          </cell>
          <cell r="E455" t="str">
            <v>Account Executive I</v>
          </cell>
        </row>
        <row r="456">
          <cell r="D456" t="str">
            <v>Hillel Hutley</v>
          </cell>
          <cell r="E456" t="str">
            <v>Account Executive II</v>
          </cell>
        </row>
        <row r="457">
          <cell r="D457" t="str">
            <v>Mavis Huyge</v>
          </cell>
          <cell r="E457" t="str">
            <v>Account Executive II</v>
          </cell>
        </row>
        <row r="458">
          <cell r="D458" t="str">
            <v>Ranique Hyatt</v>
          </cell>
          <cell r="E458" t="str">
            <v>Account Executive I</v>
          </cell>
        </row>
        <row r="459">
          <cell r="D459" t="str">
            <v>Darcie Hylands</v>
          </cell>
          <cell r="E459" t="str">
            <v>Account Executive III</v>
          </cell>
        </row>
        <row r="460">
          <cell r="D460" t="str">
            <v>Konstance Iacovelli</v>
          </cell>
          <cell r="E460" t="str">
            <v>Account Executive II</v>
          </cell>
        </row>
        <row r="461">
          <cell r="D461" t="str">
            <v>Ddene Iddiens</v>
          </cell>
          <cell r="E461" t="str">
            <v>Account Executive I</v>
          </cell>
        </row>
        <row r="462">
          <cell r="D462" t="str">
            <v>Elena Ilyukhov</v>
          </cell>
          <cell r="E462" t="str">
            <v>Account Executive III</v>
          </cell>
        </row>
        <row r="463">
          <cell r="D463" t="str">
            <v>Kara-lynn Ingarfill</v>
          </cell>
          <cell r="E463" t="str">
            <v>Account Executive I</v>
          </cell>
        </row>
        <row r="464">
          <cell r="D464" t="str">
            <v>Yolanthe Ingrey</v>
          </cell>
          <cell r="E464" t="str">
            <v>Account Executive II</v>
          </cell>
        </row>
        <row r="465">
          <cell r="D465" t="str">
            <v>Mendel Iscowitz</v>
          </cell>
          <cell r="E465" t="str">
            <v>Account Executive III</v>
          </cell>
        </row>
        <row r="466">
          <cell r="D466" t="str">
            <v>Danny Itscovitz</v>
          </cell>
          <cell r="E466" t="str">
            <v>Account Executive III</v>
          </cell>
        </row>
        <row r="467">
          <cell r="D467" t="str">
            <v>Sergio Itzakovitz</v>
          </cell>
          <cell r="E467" t="str">
            <v>Account Executive II</v>
          </cell>
        </row>
        <row r="468">
          <cell r="D468" t="str">
            <v>Emmie Ivamy</v>
          </cell>
          <cell r="E468" t="str">
            <v>Account Executive III</v>
          </cell>
        </row>
        <row r="469">
          <cell r="D469" t="str">
            <v>Ali Izaks</v>
          </cell>
          <cell r="E469" t="str">
            <v>Account Executive I</v>
          </cell>
        </row>
        <row r="470">
          <cell r="D470" t="str">
            <v>Fifine Jakeman</v>
          </cell>
          <cell r="E470" t="str">
            <v>Account Executive III</v>
          </cell>
        </row>
        <row r="471">
          <cell r="D471" t="str">
            <v>Raviv Jandel</v>
          </cell>
          <cell r="E471" t="str">
            <v>Account Executive I</v>
          </cell>
        </row>
        <row r="472">
          <cell r="D472" t="str">
            <v>Logan Jansky</v>
          </cell>
          <cell r="E472" t="str">
            <v>Account Executive II</v>
          </cell>
        </row>
        <row r="473">
          <cell r="D473" t="str">
            <v>Deloria Jardine</v>
          </cell>
          <cell r="E473" t="str">
            <v>Account Executive I</v>
          </cell>
        </row>
        <row r="474">
          <cell r="D474" t="str">
            <v>Constancia Jenne</v>
          </cell>
          <cell r="E474" t="str">
            <v>Account Executive II</v>
          </cell>
        </row>
        <row r="475">
          <cell r="D475" t="str">
            <v>Catherine Jerams</v>
          </cell>
          <cell r="E475" t="str">
            <v>Account Executive II</v>
          </cell>
        </row>
        <row r="476">
          <cell r="D476" t="str">
            <v>Birdie Jesper</v>
          </cell>
          <cell r="E476" t="str">
            <v>Account Executive II</v>
          </cell>
        </row>
        <row r="477">
          <cell r="D477" t="str">
            <v>Inger Jime</v>
          </cell>
          <cell r="E477" t="str">
            <v>Account Executive I</v>
          </cell>
        </row>
        <row r="478">
          <cell r="D478" t="str">
            <v>Rosaline Joanic</v>
          </cell>
          <cell r="E478" t="str">
            <v>Account Executive III</v>
          </cell>
        </row>
        <row r="479">
          <cell r="D479" t="str">
            <v>Vickie Jocic</v>
          </cell>
          <cell r="E479" t="str">
            <v>Account Executive III</v>
          </cell>
        </row>
        <row r="480">
          <cell r="D480" t="str">
            <v>Murielle Jorez</v>
          </cell>
          <cell r="E480" t="str">
            <v>Account Executive I</v>
          </cell>
        </row>
        <row r="481">
          <cell r="D481" t="str">
            <v>Barnabas Jozefczak</v>
          </cell>
          <cell r="E481" t="str">
            <v>Account Executive I</v>
          </cell>
        </row>
        <row r="482">
          <cell r="D482" t="str">
            <v>Reagan Jubert</v>
          </cell>
          <cell r="E482" t="str">
            <v>Account Executive I</v>
          </cell>
        </row>
        <row r="483">
          <cell r="D483" t="str">
            <v>Willem Juschke</v>
          </cell>
          <cell r="E483" t="str">
            <v>Account Executive III</v>
          </cell>
        </row>
        <row r="484">
          <cell r="D484" t="str">
            <v>Phillip Kann</v>
          </cell>
          <cell r="E484" t="str">
            <v>Account Executive III</v>
          </cell>
        </row>
        <row r="485">
          <cell r="D485" t="str">
            <v>Pepillo Keaysell</v>
          </cell>
          <cell r="E485" t="str">
            <v>Account Executive II</v>
          </cell>
        </row>
        <row r="486">
          <cell r="D486" t="str">
            <v>Kean Keelinge</v>
          </cell>
          <cell r="E486" t="str">
            <v>Account Executive III</v>
          </cell>
        </row>
        <row r="487">
          <cell r="D487" t="str">
            <v>Alaster Kencott</v>
          </cell>
          <cell r="E487" t="str">
            <v>Account Executive III</v>
          </cell>
        </row>
        <row r="488">
          <cell r="D488" t="str">
            <v>Rosina Kener</v>
          </cell>
          <cell r="E488" t="str">
            <v>Account Executive III</v>
          </cell>
        </row>
        <row r="489">
          <cell r="D489" t="str">
            <v>Freeland Kennerley</v>
          </cell>
          <cell r="E489" t="str">
            <v>Account Executive I</v>
          </cell>
        </row>
        <row r="490">
          <cell r="D490" t="str">
            <v>Elizabet Kentish</v>
          </cell>
          <cell r="E490" t="str">
            <v>Account Executive III</v>
          </cell>
        </row>
        <row r="491">
          <cell r="D491" t="str">
            <v>Rosie Kenzie</v>
          </cell>
          <cell r="E491" t="str">
            <v>Account Executive III</v>
          </cell>
        </row>
        <row r="492">
          <cell r="D492" t="str">
            <v>Erny Kesteven</v>
          </cell>
          <cell r="E492" t="str">
            <v>Account Executive III</v>
          </cell>
        </row>
        <row r="493">
          <cell r="D493" t="str">
            <v>Daile Kettel</v>
          </cell>
          <cell r="E493" t="str">
            <v>Account Executive III</v>
          </cell>
        </row>
        <row r="494">
          <cell r="D494" t="str">
            <v>Morty Kettlestringes</v>
          </cell>
          <cell r="E494" t="str">
            <v>Account Executive I</v>
          </cell>
        </row>
        <row r="495">
          <cell r="D495" t="str">
            <v>Ellen Kevis</v>
          </cell>
          <cell r="E495" t="str">
            <v>Account Executive II</v>
          </cell>
        </row>
        <row r="496">
          <cell r="D496" t="str">
            <v>Moses Keymar</v>
          </cell>
          <cell r="E496" t="str">
            <v>Account Executive I</v>
          </cell>
        </row>
        <row r="497">
          <cell r="D497" t="str">
            <v>Elwyn Keyzman</v>
          </cell>
          <cell r="E497" t="str">
            <v>Account Executive I</v>
          </cell>
        </row>
        <row r="498">
          <cell r="D498" t="str">
            <v>Filmore Kinvig</v>
          </cell>
          <cell r="E498" t="str">
            <v>Account Executive III</v>
          </cell>
        </row>
        <row r="499">
          <cell r="D499" t="str">
            <v>Mallory Kiss</v>
          </cell>
          <cell r="E499" t="str">
            <v>Account Executive I</v>
          </cell>
        </row>
        <row r="500">
          <cell r="D500" t="str">
            <v>Ethyl Klaff</v>
          </cell>
          <cell r="E500" t="str">
            <v>Account Executive III</v>
          </cell>
        </row>
        <row r="501">
          <cell r="D501" t="str">
            <v>Ivett Klass</v>
          </cell>
          <cell r="E501" t="str">
            <v>Account Executive III</v>
          </cell>
        </row>
        <row r="502">
          <cell r="D502" t="str">
            <v>Devland Kohter</v>
          </cell>
          <cell r="E502" t="str">
            <v>Account Executive I</v>
          </cell>
        </row>
        <row r="503">
          <cell r="D503" t="str">
            <v>Adena Kop</v>
          </cell>
          <cell r="E503" t="str">
            <v>Account Executive I</v>
          </cell>
        </row>
        <row r="504">
          <cell r="D504" t="str">
            <v>Tim Koschek</v>
          </cell>
          <cell r="E504" t="str">
            <v>Account Executive III</v>
          </cell>
        </row>
        <row r="505">
          <cell r="D505" t="str">
            <v>Maynard Krebs</v>
          </cell>
          <cell r="E505" t="str">
            <v>Account Executive III</v>
          </cell>
        </row>
        <row r="506">
          <cell r="D506" t="str">
            <v>Orelle Krink</v>
          </cell>
          <cell r="E506" t="str">
            <v>Account Executive II</v>
          </cell>
        </row>
        <row r="507">
          <cell r="D507" t="str">
            <v>Belita Kroll</v>
          </cell>
          <cell r="E507" t="str">
            <v>Account Executive III</v>
          </cell>
        </row>
        <row r="508">
          <cell r="D508" t="str">
            <v>Keenan Kruszelnicki</v>
          </cell>
          <cell r="E508" t="str">
            <v>Account Executive III</v>
          </cell>
        </row>
        <row r="509">
          <cell r="D509" t="str">
            <v>Bess Kubelka</v>
          </cell>
          <cell r="E509" t="str">
            <v>Account Executive III</v>
          </cell>
        </row>
        <row r="510">
          <cell r="D510" t="str">
            <v>Reg Kubista</v>
          </cell>
          <cell r="E510" t="str">
            <v>Account Executive I</v>
          </cell>
        </row>
        <row r="511">
          <cell r="D511" t="str">
            <v>Osbourne Kuhnke</v>
          </cell>
          <cell r="E511" t="str">
            <v>Account Executive III</v>
          </cell>
        </row>
        <row r="512">
          <cell r="D512" t="str">
            <v>Ezequiel Kull</v>
          </cell>
          <cell r="E512" t="str">
            <v>Account Executive II</v>
          </cell>
        </row>
        <row r="513">
          <cell r="D513" t="str">
            <v>Talbot Kynett</v>
          </cell>
          <cell r="E513" t="str">
            <v>Account Executive II</v>
          </cell>
        </row>
        <row r="514">
          <cell r="D514" t="str">
            <v>Gill Labrum</v>
          </cell>
          <cell r="E514" t="str">
            <v>Account Executive I</v>
          </cell>
        </row>
        <row r="515">
          <cell r="D515" t="str">
            <v>Trescha Labusquiere</v>
          </cell>
          <cell r="E515" t="str">
            <v>Account Executive I</v>
          </cell>
        </row>
        <row r="516">
          <cell r="D516" t="str">
            <v>Arden Lackner</v>
          </cell>
          <cell r="E516" t="str">
            <v>Account Executive II</v>
          </cell>
        </row>
        <row r="517">
          <cell r="D517" t="str">
            <v>Fraze Laing</v>
          </cell>
          <cell r="E517" t="str">
            <v>Account Executive I</v>
          </cell>
        </row>
        <row r="518">
          <cell r="D518" t="str">
            <v>Gizela Lalley</v>
          </cell>
          <cell r="E518" t="str">
            <v>Account Executive III</v>
          </cell>
        </row>
        <row r="519">
          <cell r="D519" t="str">
            <v>Hew Lamborne</v>
          </cell>
          <cell r="E519" t="str">
            <v>Account Executive II</v>
          </cell>
        </row>
        <row r="520">
          <cell r="D520" t="str">
            <v>Garey Lambregts</v>
          </cell>
          <cell r="E520" t="str">
            <v>Account Executive II</v>
          </cell>
        </row>
        <row r="521">
          <cell r="D521" t="str">
            <v>Pierre Lambshine</v>
          </cell>
          <cell r="E521" t="str">
            <v>Account Executive III</v>
          </cell>
        </row>
        <row r="522">
          <cell r="D522" t="str">
            <v>Darin Landal</v>
          </cell>
          <cell r="E522" t="str">
            <v>Account Executive I</v>
          </cell>
        </row>
        <row r="523">
          <cell r="D523" t="str">
            <v>Winfield Lansdowne</v>
          </cell>
          <cell r="E523" t="str">
            <v>Account Executive III</v>
          </cell>
        </row>
        <row r="524">
          <cell r="D524" t="str">
            <v>Tedmund Lardeux</v>
          </cell>
          <cell r="E524" t="str">
            <v>Account Executive I</v>
          </cell>
        </row>
        <row r="525">
          <cell r="D525" t="str">
            <v>Zachariah Lared</v>
          </cell>
          <cell r="E525" t="str">
            <v>Account Executive I</v>
          </cell>
        </row>
        <row r="526">
          <cell r="D526" t="str">
            <v>Merell Larose</v>
          </cell>
          <cell r="E526" t="str">
            <v>Account Executive III</v>
          </cell>
        </row>
        <row r="527">
          <cell r="D527" t="str">
            <v>Kiley Lartice</v>
          </cell>
          <cell r="E527" t="str">
            <v>Account Executive I</v>
          </cell>
        </row>
        <row r="528">
          <cell r="D528" t="str">
            <v>Derk Latham</v>
          </cell>
          <cell r="E528" t="str">
            <v>Account Executive I</v>
          </cell>
        </row>
        <row r="529">
          <cell r="D529" t="str">
            <v>Brandtr Lathwood</v>
          </cell>
          <cell r="E529" t="str">
            <v>Account Executive III</v>
          </cell>
        </row>
        <row r="530">
          <cell r="D530" t="str">
            <v>Trumaine Laundon</v>
          </cell>
          <cell r="E530" t="str">
            <v>Account Executive I</v>
          </cell>
        </row>
        <row r="531">
          <cell r="D531" t="str">
            <v>Jo ann Laurand</v>
          </cell>
          <cell r="E531" t="str">
            <v>Account Executive II</v>
          </cell>
        </row>
        <row r="532">
          <cell r="D532" t="str">
            <v>Constantin Laurisch</v>
          </cell>
          <cell r="E532" t="str">
            <v>Account Executive II</v>
          </cell>
        </row>
        <row r="533">
          <cell r="D533" t="str">
            <v>Keelby Lawie</v>
          </cell>
          <cell r="E533" t="str">
            <v>Account Executive I</v>
          </cell>
        </row>
        <row r="534">
          <cell r="D534" t="str">
            <v>Maryjo Laxe</v>
          </cell>
          <cell r="E534" t="str">
            <v>Account Executive III</v>
          </cell>
        </row>
        <row r="535">
          <cell r="D535" t="str">
            <v>Augustine Layne</v>
          </cell>
          <cell r="E535" t="str">
            <v>Account Executive I</v>
          </cell>
        </row>
        <row r="536">
          <cell r="D536" t="str">
            <v>Devland Le Prevost</v>
          </cell>
          <cell r="E536" t="str">
            <v>Account Executive II</v>
          </cell>
        </row>
        <row r="537">
          <cell r="D537" t="str">
            <v>Garner Leatherbarrow</v>
          </cell>
          <cell r="E537" t="str">
            <v>Account Executive III</v>
          </cell>
        </row>
        <row r="538">
          <cell r="D538" t="str">
            <v>Eugene Lebourn</v>
          </cell>
          <cell r="E538" t="str">
            <v>Account Executive I</v>
          </cell>
        </row>
        <row r="539">
          <cell r="D539" t="str">
            <v>Nicko Ledington</v>
          </cell>
          <cell r="E539" t="str">
            <v>Account Executive I</v>
          </cell>
        </row>
        <row r="540">
          <cell r="D540" t="str">
            <v>Deena Leeming</v>
          </cell>
          <cell r="E540" t="str">
            <v>Account Executive II</v>
          </cell>
        </row>
        <row r="541">
          <cell r="D541" t="str">
            <v>Hymie LeEstut</v>
          </cell>
          <cell r="E541" t="str">
            <v>Account Executive I</v>
          </cell>
        </row>
        <row r="542">
          <cell r="D542" t="str">
            <v>Bernard Lefeuvre</v>
          </cell>
          <cell r="E542" t="str">
            <v>Account Executive I</v>
          </cell>
        </row>
        <row r="543">
          <cell r="D543" t="str">
            <v>Benedikt Leisk</v>
          </cell>
          <cell r="E543" t="str">
            <v>Account Executive II</v>
          </cell>
        </row>
        <row r="544">
          <cell r="D544" t="str">
            <v>Rafe Leman</v>
          </cell>
          <cell r="E544" t="str">
            <v>Account Executive II</v>
          </cell>
        </row>
        <row r="545">
          <cell r="D545" t="str">
            <v>Elroy Lenaghen</v>
          </cell>
          <cell r="E545" t="str">
            <v>Account Executive I</v>
          </cell>
        </row>
        <row r="546">
          <cell r="D546" t="str">
            <v>Tammy Lenden</v>
          </cell>
          <cell r="E546" t="str">
            <v>Account Executive II</v>
          </cell>
        </row>
        <row r="547">
          <cell r="D547" t="str">
            <v>Abra Lenney</v>
          </cell>
          <cell r="E547" t="str">
            <v>Account Executive II</v>
          </cell>
        </row>
        <row r="548">
          <cell r="D548" t="str">
            <v>Vale Lesek</v>
          </cell>
          <cell r="E548" t="str">
            <v>Account Executive II</v>
          </cell>
        </row>
        <row r="549">
          <cell r="D549" t="str">
            <v>Lesley Letford</v>
          </cell>
          <cell r="E549" t="str">
            <v>Account Executive I</v>
          </cell>
        </row>
        <row r="550">
          <cell r="D550" t="str">
            <v>Currie Lethbury</v>
          </cell>
          <cell r="E550" t="str">
            <v>Account Executive I</v>
          </cell>
        </row>
        <row r="551">
          <cell r="D551" t="str">
            <v>Scot Lethem</v>
          </cell>
          <cell r="E551" t="str">
            <v>Account Executive III</v>
          </cell>
        </row>
        <row r="552">
          <cell r="D552" t="str">
            <v>Friederike Leve</v>
          </cell>
          <cell r="E552" t="str">
            <v>Account Executive II</v>
          </cell>
        </row>
        <row r="553">
          <cell r="D553" t="str">
            <v>Merilee Leverich</v>
          </cell>
          <cell r="E553" t="str">
            <v>Account Executive II</v>
          </cell>
        </row>
        <row r="554">
          <cell r="D554" t="str">
            <v>Granger Lewin</v>
          </cell>
          <cell r="E554" t="str">
            <v>Account Executive II</v>
          </cell>
        </row>
        <row r="555">
          <cell r="D555" t="str">
            <v>Zebedee Lewzey</v>
          </cell>
          <cell r="E555" t="str">
            <v>Account Executive II</v>
          </cell>
        </row>
        <row r="556">
          <cell r="D556" t="str">
            <v>Doralynne Lexa</v>
          </cell>
          <cell r="E556" t="str">
            <v>Account Executive III</v>
          </cell>
        </row>
        <row r="557">
          <cell r="D557" t="str">
            <v>Dion Liccardi</v>
          </cell>
          <cell r="E557" t="str">
            <v>Account Executive I</v>
          </cell>
        </row>
        <row r="558">
          <cell r="D558" t="str">
            <v>Doria Lidgertwood</v>
          </cell>
          <cell r="E558" t="str">
            <v>Account Executive I</v>
          </cell>
        </row>
        <row r="559">
          <cell r="D559" t="str">
            <v>Vincenz Lillford</v>
          </cell>
          <cell r="E559" t="str">
            <v>Account Executive II</v>
          </cell>
        </row>
        <row r="560">
          <cell r="D560" t="str">
            <v>Trude Lindenbluth</v>
          </cell>
          <cell r="E560" t="str">
            <v>Account Executive III</v>
          </cell>
        </row>
        <row r="561">
          <cell r="D561" t="str">
            <v>Marjory Lindman</v>
          </cell>
          <cell r="E561" t="str">
            <v>Account Executive II</v>
          </cell>
        </row>
        <row r="562">
          <cell r="D562" t="str">
            <v>Pansie Lingley</v>
          </cell>
          <cell r="E562" t="str">
            <v>Account Executive I</v>
          </cell>
        </row>
        <row r="563">
          <cell r="D563" t="str">
            <v>Marleah Lingner</v>
          </cell>
          <cell r="E563" t="str">
            <v>Account Executive I</v>
          </cell>
        </row>
        <row r="564">
          <cell r="D564" t="str">
            <v>Jaimie Lisimore</v>
          </cell>
          <cell r="E564" t="str">
            <v>Account Executive I</v>
          </cell>
        </row>
        <row r="565">
          <cell r="D565" t="str">
            <v>Cecilia Livingstone</v>
          </cell>
          <cell r="E565" t="str">
            <v>Account Executive II</v>
          </cell>
        </row>
        <row r="566">
          <cell r="D566" t="str">
            <v>Kristien Llewelly</v>
          </cell>
          <cell r="E566" t="str">
            <v>Account Executive I</v>
          </cell>
        </row>
        <row r="567">
          <cell r="D567" t="str">
            <v>Jonah Lobb</v>
          </cell>
          <cell r="E567" t="str">
            <v>Account Executive II</v>
          </cell>
        </row>
        <row r="568">
          <cell r="D568" t="str">
            <v>Barbara Locker</v>
          </cell>
          <cell r="E568" t="str">
            <v>Account Executive II</v>
          </cell>
        </row>
        <row r="569">
          <cell r="D569" t="str">
            <v>Prentiss Lockery</v>
          </cell>
          <cell r="E569" t="str">
            <v>Account Executive I</v>
          </cell>
        </row>
        <row r="570">
          <cell r="D570" t="str">
            <v>Amalle Lodo</v>
          </cell>
          <cell r="E570" t="str">
            <v>Account Executive II</v>
          </cell>
        </row>
        <row r="571">
          <cell r="D571" t="str">
            <v>Emmerich Longmuir</v>
          </cell>
          <cell r="E571" t="str">
            <v>Account Executive I</v>
          </cell>
        </row>
        <row r="572">
          <cell r="D572" t="str">
            <v>Robinia Losseljong</v>
          </cell>
          <cell r="E572" t="str">
            <v>Account Executive III</v>
          </cell>
        </row>
        <row r="573">
          <cell r="D573" t="str">
            <v>Joletta Lounds</v>
          </cell>
          <cell r="E573" t="str">
            <v>Account Executive I</v>
          </cell>
        </row>
        <row r="574">
          <cell r="D574" t="str">
            <v>Jacky Lovat</v>
          </cell>
          <cell r="E574" t="str">
            <v>Account Executive I</v>
          </cell>
        </row>
        <row r="575">
          <cell r="D575" t="str">
            <v>Cairistiona Lyver</v>
          </cell>
          <cell r="E575" t="str">
            <v>Account Executive II</v>
          </cell>
        </row>
        <row r="576">
          <cell r="D576" t="str">
            <v>Leyla MacAree</v>
          </cell>
          <cell r="E576" t="str">
            <v>Account Executive I</v>
          </cell>
        </row>
        <row r="577">
          <cell r="D577" t="str">
            <v>Kean MacCrann</v>
          </cell>
          <cell r="E577" t="str">
            <v>Account Executive III</v>
          </cell>
        </row>
        <row r="578">
          <cell r="D578" t="str">
            <v>Boycey MacDermott</v>
          </cell>
          <cell r="E578" t="str">
            <v>Account Executive II</v>
          </cell>
        </row>
        <row r="579">
          <cell r="D579" t="str">
            <v>Camila MacGillespie</v>
          </cell>
          <cell r="E579" t="str">
            <v>Account Executive I</v>
          </cell>
        </row>
        <row r="580">
          <cell r="D580" t="str">
            <v>Sophie MacLoughlin</v>
          </cell>
          <cell r="E580" t="str">
            <v>Account Executive II</v>
          </cell>
        </row>
        <row r="581">
          <cell r="D581" t="str">
            <v>Karney MacMillan</v>
          </cell>
          <cell r="E581" t="str">
            <v>Account Executive II</v>
          </cell>
        </row>
        <row r="582">
          <cell r="D582" t="str">
            <v>Beatrice MacRorie</v>
          </cell>
          <cell r="E582" t="str">
            <v>Account Executive III</v>
          </cell>
        </row>
        <row r="583">
          <cell r="D583" t="str">
            <v>Rutter Maddams</v>
          </cell>
          <cell r="E583" t="str">
            <v>Account Executive II</v>
          </cell>
        </row>
        <row r="584">
          <cell r="D584" t="str">
            <v>Minetta Maden</v>
          </cell>
          <cell r="E584" t="str">
            <v>Account Executive II</v>
          </cell>
        </row>
        <row r="585">
          <cell r="D585" t="str">
            <v>Kimberlyn Maffia</v>
          </cell>
          <cell r="E585" t="str">
            <v>Account Executive III</v>
          </cell>
        </row>
        <row r="586">
          <cell r="D586" t="str">
            <v>Vail Mailey</v>
          </cell>
          <cell r="E586" t="str">
            <v>Account Executive III</v>
          </cell>
        </row>
        <row r="587">
          <cell r="D587" t="str">
            <v>Franny Malarkey</v>
          </cell>
          <cell r="E587" t="str">
            <v>Account Executive II</v>
          </cell>
        </row>
        <row r="588">
          <cell r="D588" t="str">
            <v>Ward Mance</v>
          </cell>
          <cell r="E588" t="str">
            <v>Account Executive II</v>
          </cell>
        </row>
        <row r="589">
          <cell r="D589" t="str">
            <v>Colette Mangon</v>
          </cell>
          <cell r="E589" t="str">
            <v>Account Executive II</v>
          </cell>
        </row>
        <row r="590">
          <cell r="D590" t="str">
            <v>Xylia Manshaw</v>
          </cell>
          <cell r="E590" t="str">
            <v>Account Executive II</v>
          </cell>
        </row>
        <row r="591">
          <cell r="D591" t="str">
            <v>Chas Manthorpe</v>
          </cell>
          <cell r="E591" t="str">
            <v>Account Executive I</v>
          </cell>
        </row>
        <row r="592">
          <cell r="D592" t="str">
            <v>Jesus Mantle</v>
          </cell>
          <cell r="E592" t="str">
            <v>Account Executive II</v>
          </cell>
        </row>
        <row r="593">
          <cell r="D593" t="str">
            <v>Quintin Marc</v>
          </cell>
          <cell r="E593" t="str">
            <v>Account Executive II</v>
          </cell>
        </row>
        <row r="594">
          <cell r="D594" t="str">
            <v>Kendra March</v>
          </cell>
          <cell r="E594" t="str">
            <v>Account Executive III</v>
          </cell>
        </row>
        <row r="595">
          <cell r="D595" t="str">
            <v>Laird Margiotta</v>
          </cell>
          <cell r="E595" t="str">
            <v>Account Executive II</v>
          </cell>
        </row>
        <row r="596">
          <cell r="D596" t="str">
            <v>Marie-jeanne Marrow</v>
          </cell>
          <cell r="E596" t="str">
            <v>Account Executive I</v>
          </cell>
        </row>
        <row r="597">
          <cell r="D597" t="str">
            <v>Brendis Marsie</v>
          </cell>
          <cell r="E597" t="str">
            <v>Account Executive III</v>
          </cell>
        </row>
        <row r="598">
          <cell r="D598" t="str">
            <v>Boycie Marten</v>
          </cell>
          <cell r="E598" t="str">
            <v>Account Executive I</v>
          </cell>
        </row>
        <row r="599">
          <cell r="D599" t="str">
            <v>Elisabetta Martinec</v>
          </cell>
          <cell r="E599" t="str">
            <v>Account Executive I</v>
          </cell>
        </row>
        <row r="600">
          <cell r="D600" t="str">
            <v>Jess Martini</v>
          </cell>
          <cell r="E600" t="str">
            <v>Account Executive II</v>
          </cell>
        </row>
        <row r="601">
          <cell r="D601" t="str">
            <v>Nickolai Martins</v>
          </cell>
          <cell r="E601" t="str">
            <v>Account Executive I</v>
          </cell>
        </row>
        <row r="602">
          <cell r="D602" t="str">
            <v>Mab Marxsen</v>
          </cell>
          <cell r="E602" t="str">
            <v>Account Executive II</v>
          </cell>
        </row>
        <row r="603">
          <cell r="D603" t="str">
            <v>Hamlin Matchitt</v>
          </cell>
          <cell r="E603" t="str">
            <v>Account Executive I</v>
          </cell>
        </row>
        <row r="604">
          <cell r="D604" t="str">
            <v>Nicolette Matityahu</v>
          </cell>
          <cell r="E604" t="str">
            <v>Account Executive II</v>
          </cell>
        </row>
        <row r="605">
          <cell r="D605" t="str">
            <v>Odell Matterdace</v>
          </cell>
          <cell r="E605" t="str">
            <v>Account Executive II</v>
          </cell>
        </row>
        <row r="606">
          <cell r="D606" t="str">
            <v>Barbi Matysiak</v>
          </cell>
          <cell r="E606" t="str">
            <v>Account Executive II</v>
          </cell>
        </row>
        <row r="607">
          <cell r="D607" t="str">
            <v>Carce Maund</v>
          </cell>
          <cell r="E607" t="str">
            <v>Account Executive III</v>
          </cell>
        </row>
        <row r="608">
          <cell r="D608" t="str">
            <v>Barnabe McCaighey</v>
          </cell>
          <cell r="E608" t="str">
            <v>Account Executive III</v>
          </cell>
        </row>
        <row r="609">
          <cell r="D609" t="str">
            <v>Nisse McCauley</v>
          </cell>
          <cell r="E609" t="str">
            <v>Account Executive I</v>
          </cell>
        </row>
        <row r="610">
          <cell r="D610" t="str">
            <v>Chev McConnal</v>
          </cell>
          <cell r="E610" t="str">
            <v>Account Executive III</v>
          </cell>
        </row>
        <row r="611">
          <cell r="D611" t="str">
            <v>Heddi McCurley</v>
          </cell>
          <cell r="E611" t="str">
            <v>Account Executive II</v>
          </cell>
        </row>
        <row r="612">
          <cell r="D612" t="str">
            <v>Kathrine McDougald</v>
          </cell>
          <cell r="E612" t="str">
            <v>Account Executive I</v>
          </cell>
        </row>
        <row r="613">
          <cell r="D613" t="str">
            <v>Massimo McDougle</v>
          </cell>
          <cell r="E613" t="str">
            <v>Account Executive III</v>
          </cell>
        </row>
        <row r="614">
          <cell r="D614" t="str">
            <v>Amandie McDyer</v>
          </cell>
          <cell r="E614" t="str">
            <v>Account Executive II</v>
          </cell>
        </row>
        <row r="615">
          <cell r="D615" t="str">
            <v>Barth McGifford</v>
          </cell>
          <cell r="E615" t="str">
            <v>Account Executive I</v>
          </cell>
        </row>
        <row r="616">
          <cell r="D616" t="str">
            <v>Veriee McGillacoell</v>
          </cell>
          <cell r="E616" t="str">
            <v>Account Executive II</v>
          </cell>
        </row>
        <row r="617">
          <cell r="D617" t="str">
            <v>Sayer McGonagle</v>
          </cell>
          <cell r="E617" t="str">
            <v>Account Executive III</v>
          </cell>
        </row>
        <row r="618">
          <cell r="D618" t="str">
            <v>Arabella McGriffin</v>
          </cell>
          <cell r="E618" t="str">
            <v>Account Executive III</v>
          </cell>
        </row>
        <row r="619">
          <cell r="D619" t="str">
            <v>Henka McInulty</v>
          </cell>
          <cell r="E619" t="str">
            <v>Account Executive III</v>
          </cell>
        </row>
        <row r="620">
          <cell r="D620" t="str">
            <v>Massimiliano McIver</v>
          </cell>
          <cell r="E620" t="str">
            <v>Account Executive III</v>
          </cell>
        </row>
        <row r="621">
          <cell r="D621" t="str">
            <v>Sanders McKinstry</v>
          </cell>
          <cell r="E621" t="str">
            <v>Account Executive I</v>
          </cell>
        </row>
        <row r="622">
          <cell r="D622" t="str">
            <v>Daniela McMichael</v>
          </cell>
          <cell r="E622" t="str">
            <v>Account Executive III</v>
          </cell>
        </row>
        <row r="623">
          <cell r="D623" t="str">
            <v>Alric McNaught</v>
          </cell>
          <cell r="E623" t="str">
            <v>Account Executive III</v>
          </cell>
        </row>
        <row r="624">
          <cell r="D624" t="str">
            <v>Anthe McNish</v>
          </cell>
          <cell r="E624" t="str">
            <v>Account Executive II</v>
          </cell>
        </row>
        <row r="625">
          <cell r="D625" t="str">
            <v>Jammal McPhee</v>
          </cell>
          <cell r="E625" t="str">
            <v>Account Executive II</v>
          </cell>
        </row>
        <row r="626">
          <cell r="D626" t="str">
            <v>Helyn McQuaker</v>
          </cell>
          <cell r="E626" t="str">
            <v>Account Executive III</v>
          </cell>
        </row>
        <row r="627">
          <cell r="D627" t="str">
            <v>Troy McQuarrie</v>
          </cell>
          <cell r="E627" t="str">
            <v>Account Executive II</v>
          </cell>
        </row>
        <row r="628">
          <cell r="D628" t="str">
            <v>Gabriela McVicker</v>
          </cell>
          <cell r="E628" t="str">
            <v>Account Executive III</v>
          </cell>
        </row>
        <row r="629">
          <cell r="D629" t="str">
            <v>Ulrike Meagher</v>
          </cell>
          <cell r="E629" t="str">
            <v>Account Executive II</v>
          </cell>
        </row>
        <row r="630">
          <cell r="D630" t="str">
            <v>Rance Medwell</v>
          </cell>
          <cell r="E630" t="str">
            <v>Account Executive II</v>
          </cell>
        </row>
        <row r="631">
          <cell r="D631" t="str">
            <v>Harlan Mein</v>
          </cell>
          <cell r="E631" t="str">
            <v>Account Executive I</v>
          </cell>
        </row>
        <row r="632">
          <cell r="D632" t="str">
            <v>Felita Melpuss</v>
          </cell>
          <cell r="E632" t="str">
            <v>Account Executive II</v>
          </cell>
        </row>
        <row r="633">
          <cell r="D633" t="str">
            <v>Raff Menichini</v>
          </cell>
          <cell r="E633" t="str">
            <v>Account Executive III</v>
          </cell>
        </row>
        <row r="634">
          <cell r="D634" t="str">
            <v>Joye Mepham</v>
          </cell>
          <cell r="E634" t="str">
            <v>Account Executive II</v>
          </cell>
        </row>
        <row r="635">
          <cell r="D635" t="str">
            <v>Greer Mercey</v>
          </cell>
          <cell r="E635" t="str">
            <v>Account Executive II</v>
          </cell>
        </row>
        <row r="636">
          <cell r="D636" t="str">
            <v>Elfrieda Merington</v>
          </cell>
          <cell r="E636" t="str">
            <v>Account Executive III</v>
          </cell>
        </row>
        <row r="637">
          <cell r="D637" t="str">
            <v>Cecilius Messam</v>
          </cell>
          <cell r="E637" t="str">
            <v>Account Executive II</v>
          </cell>
        </row>
        <row r="638">
          <cell r="D638" t="str">
            <v>Damaris Metson</v>
          </cell>
          <cell r="E638" t="str">
            <v>Account Executive II</v>
          </cell>
        </row>
        <row r="639">
          <cell r="D639" t="str">
            <v>Laurice Miall</v>
          </cell>
          <cell r="E639" t="str">
            <v>Account Executive I</v>
          </cell>
        </row>
        <row r="640">
          <cell r="D640" t="str">
            <v>Chloette Millard</v>
          </cell>
          <cell r="E640" t="str">
            <v>Account Executive II</v>
          </cell>
        </row>
        <row r="641">
          <cell r="D641" t="str">
            <v>Shayne Millin</v>
          </cell>
          <cell r="E641" t="str">
            <v>Account Executive III</v>
          </cell>
        </row>
        <row r="642">
          <cell r="D642" t="str">
            <v>Rodina Minchin</v>
          </cell>
          <cell r="E642" t="str">
            <v>Account Executive III</v>
          </cell>
        </row>
        <row r="643">
          <cell r="D643" t="str">
            <v>Lawrence Minchindon</v>
          </cell>
          <cell r="E643" t="str">
            <v>Account Executive I</v>
          </cell>
        </row>
        <row r="644">
          <cell r="D644" t="str">
            <v>Carleen Mingus</v>
          </cell>
          <cell r="E644" t="str">
            <v>Account Executive III</v>
          </cell>
        </row>
        <row r="645">
          <cell r="D645" t="str">
            <v>Nicki Minnock</v>
          </cell>
          <cell r="E645" t="str">
            <v>Account Executive II</v>
          </cell>
        </row>
        <row r="646">
          <cell r="D646" t="str">
            <v>Kyle Molan</v>
          </cell>
          <cell r="E646" t="str">
            <v>Account Executive I</v>
          </cell>
        </row>
        <row r="647">
          <cell r="D647" t="str">
            <v>Shaine Monsey</v>
          </cell>
          <cell r="E647" t="str">
            <v>Account Executive III</v>
          </cell>
        </row>
        <row r="648">
          <cell r="D648" t="str">
            <v>Alberto Morgan</v>
          </cell>
          <cell r="E648" t="str">
            <v>Account Executive I</v>
          </cell>
        </row>
        <row r="649">
          <cell r="D649" t="str">
            <v>Tab Morter</v>
          </cell>
          <cell r="E649" t="str">
            <v>Account Executive II</v>
          </cell>
        </row>
        <row r="650">
          <cell r="D650" t="str">
            <v>Hugo Mowbray</v>
          </cell>
          <cell r="E650" t="str">
            <v>Account Executive III</v>
          </cell>
        </row>
        <row r="651">
          <cell r="D651" t="str">
            <v>Gar Mueller</v>
          </cell>
          <cell r="E651" t="str">
            <v>Account Executive I</v>
          </cell>
        </row>
        <row r="652">
          <cell r="D652" t="str">
            <v>Tuckie Mullenger</v>
          </cell>
          <cell r="E652" t="str">
            <v>Account Executive I</v>
          </cell>
        </row>
        <row r="653">
          <cell r="D653" t="str">
            <v>Hobie Munnis</v>
          </cell>
          <cell r="E653" t="str">
            <v>Account Executive III</v>
          </cell>
        </row>
        <row r="654">
          <cell r="D654" t="str">
            <v>Estele Murcott</v>
          </cell>
          <cell r="E654" t="str">
            <v>Account Executive II</v>
          </cell>
        </row>
        <row r="655">
          <cell r="D655" t="str">
            <v>Titus Murray</v>
          </cell>
          <cell r="E655" t="str">
            <v>Account Executive III</v>
          </cell>
        </row>
        <row r="656">
          <cell r="D656" t="str">
            <v>Amalea Murty</v>
          </cell>
          <cell r="E656" t="str">
            <v>Account Executive I</v>
          </cell>
        </row>
        <row r="657">
          <cell r="D657" t="str">
            <v>Read Muxworthy</v>
          </cell>
          <cell r="E657" t="str">
            <v>Account Executive III</v>
          </cell>
        </row>
        <row r="658">
          <cell r="D658" t="str">
            <v>Corrie Naldrett</v>
          </cell>
          <cell r="E658" t="str">
            <v>Account Executive II</v>
          </cell>
        </row>
        <row r="659">
          <cell r="D659" t="str">
            <v>Vladimir Nassy</v>
          </cell>
          <cell r="E659" t="str">
            <v>Account Executive I</v>
          </cell>
        </row>
        <row r="660">
          <cell r="D660" t="str">
            <v>Beitris Naulty</v>
          </cell>
          <cell r="E660" t="str">
            <v>Account Executive II</v>
          </cell>
        </row>
        <row r="661">
          <cell r="D661" t="str">
            <v>Rafaela Neagle</v>
          </cell>
          <cell r="E661" t="str">
            <v>Account Executive III</v>
          </cell>
        </row>
        <row r="662">
          <cell r="D662" t="str">
            <v>Lark Nelmes</v>
          </cell>
          <cell r="E662" t="str">
            <v>Account Executive I</v>
          </cell>
        </row>
        <row r="663">
          <cell r="D663" t="str">
            <v>Travers Nequest</v>
          </cell>
          <cell r="E663" t="str">
            <v>Account Executive III</v>
          </cell>
        </row>
        <row r="664">
          <cell r="D664" t="str">
            <v>Izak Newbigging</v>
          </cell>
          <cell r="E664" t="str">
            <v>Account Executive II</v>
          </cell>
        </row>
        <row r="665">
          <cell r="D665" t="str">
            <v>Moishe Nicely</v>
          </cell>
          <cell r="E665" t="str">
            <v>Account Executive II</v>
          </cell>
        </row>
        <row r="666">
          <cell r="D666" t="str">
            <v>Carley Niemetz</v>
          </cell>
          <cell r="E666" t="str">
            <v>Account Executive III</v>
          </cell>
        </row>
        <row r="667">
          <cell r="D667" t="str">
            <v>Nealson Niezen</v>
          </cell>
          <cell r="E667" t="str">
            <v>Account Executive II</v>
          </cell>
        </row>
        <row r="668">
          <cell r="D668" t="str">
            <v>Petronille Niles</v>
          </cell>
          <cell r="E668" t="str">
            <v>Account Executive II</v>
          </cell>
        </row>
        <row r="669">
          <cell r="D669" t="str">
            <v>Baudoin Normanville</v>
          </cell>
          <cell r="E669" t="str">
            <v>Account Executive I</v>
          </cell>
        </row>
        <row r="670">
          <cell r="D670" t="str">
            <v>Granger Norsworthy</v>
          </cell>
          <cell r="E670" t="str">
            <v>Account Executive III</v>
          </cell>
        </row>
        <row r="671">
          <cell r="D671" t="str">
            <v>Terri Novic</v>
          </cell>
          <cell r="E671" t="str">
            <v>Account Executive I</v>
          </cell>
        </row>
        <row r="672">
          <cell r="D672" t="str">
            <v>Bernice Nucci</v>
          </cell>
          <cell r="E672" t="str">
            <v>Account Executive II</v>
          </cell>
        </row>
        <row r="673">
          <cell r="D673" t="str">
            <v>Georgiana Nutten</v>
          </cell>
          <cell r="E673" t="str">
            <v>Account Executive I</v>
          </cell>
        </row>
        <row r="674">
          <cell r="D674" t="str">
            <v>Deloris Nuzzti</v>
          </cell>
          <cell r="E674" t="str">
            <v>Account Executive II</v>
          </cell>
        </row>
        <row r="675">
          <cell r="D675" t="str">
            <v>Hoyt O' Loughran</v>
          </cell>
          <cell r="E675" t="str">
            <v>Account Executive II</v>
          </cell>
        </row>
        <row r="676">
          <cell r="D676" t="str">
            <v>Joane O' Mulderrig</v>
          </cell>
          <cell r="E676" t="str">
            <v>Account Executive III</v>
          </cell>
        </row>
        <row r="677">
          <cell r="D677" t="str">
            <v>Petronella O' Ronan</v>
          </cell>
          <cell r="E677" t="str">
            <v>Account Executive I</v>
          </cell>
        </row>
        <row r="678">
          <cell r="D678" t="str">
            <v>Cassaundra Offield</v>
          </cell>
          <cell r="E678" t="str">
            <v>Account Executive I</v>
          </cell>
        </row>
        <row r="679">
          <cell r="D679" t="str">
            <v>Jermayne O'Grady</v>
          </cell>
          <cell r="E679" t="str">
            <v>Account Executive I</v>
          </cell>
        </row>
        <row r="680">
          <cell r="D680" t="str">
            <v>Skipper Ohm</v>
          </cell>
          <cell r="E680" t="str">
            <v>Account Executive II</v>
          </cell>
        </row>
        <row r="681">
          <cell r="D681" t="str">
            <v>Farand Okie</v>
          </cell>
          <cell r="E681" t="str">
            <v>Account Executive I</v>
          </cell>
        </row>
        <row r="682">
          <cell r="D682" t="str">
            <v>Bear Olczyk</v>
          </cell>
          <cell r="E682" t="str">
            <v>Account Executive I</v>
          </cell>
        </row>
        <row r="683">
          <cell r="D683" t="str">
            <v>Malachi Oldknow</v>
          </cell>
          <cell r="E683" t="str">
            <v>Account Executive III</v>
          </cell>
        </row>
        <row r="684">
          <cell r="D684" t="str">
            <v>Glenn O'Murtagh</v>
          </cell>
          <cell r="E684" t="str">
            <v>Account Executive III</v>
          </cell>
        </row>
        <row r="685">
          <cell r="D685" t="str">
            <v>Colline Openshaw</v>
          </cell>
          <cell r="E685" t="str">
            <v>Account Executive I</v>
          </cell>
        </row>
        <row r="686">
          <cell r="D686" t="str">
            <v>Manya Orbell</v>
          </cell>
          <cell r="E686" t="str">
            <v>Account Executive I</v>
          </cell>
        </row>
        <row r="687">
          <cell r="D687" t="str">
            <v>Barr Orring</v>
          </cell>
          <cell r="E687" t="str">
            <v>Account Executive III</v>
          </cell>
        </row>
        <row r="688">
          <cell r="D688" t="str">
            <v>Broderic Osbourne</v>
          </cell>
          <cell r="E688" t="str">
            <v>Account Executive III</v>
          </cell>
        </row>
        <row r="689">
          <cell r="D689" t="str">
            <v>Brice O'Sheeryne</v>
          </cell>
          <cell r="E689" t="str">
            <v>Account Executive I</v>
          </cell>
        </row>
        <row r="690">
          <cell r="D690" t="str">
            <v>Elsey O'Shevlin</v>
          </cell>
          <cell r="E690" t="str">
            <v>Account Executive II</v>
          </cell>
        </row>
        <row r="691">
          <cell r="D691" t="str">
            <v>Bonny Oxteby</v>
          </cell>
          <cell r="E691" t="str">
            <v>Account Executive III</v>
          </cell>
        </row>
        <row r="692">
          <cell r="D692" t="str">
            <v>Craggie Paradin</v>
          </cell>
          <cell r="E692" t="str">
            <v>Account Executive I</v>
          </cell>
        </row>
        <row r="693">
          <cell r="D693" t="str">
            <v>Anselma Paradise</v>
          </cell>
          <cell r="E693" t="str">
            <v>Account Executive III</v>
          </cell>
        </row>
        <row r="694">
          <cell r="D694" t="str">
            <v>Zebadiah Parham</v>
          </cell>
          <cell r="E694" t="str">
            <v>Account Executive I</v>
          </cell>
        </row>
        <row r="695">
          <cell r="D695" t="str">
            <v>Luisa Parradice</v>
          </cell>
          <cell r="E695" t="str">
            <v>Account Executive I</v>
          </cell>
        </row>
        <row r="696">
          <cell r="D696" t="str">
            <v>Jourdain Patience</v>
          </cell>
          <cell r="E696" t="str">
            <v>Account Executive II</v>
          </cell>
        </row>
        <row r="697">
          <cell r="D697" t="str">
            <v>Noami Pauletti</v>
          </cell>
          <cell r="E697" t="str">
            <v>Account Executive II</v>
          </cell>
        </row>
        <row r="698">
          <cell r="D698" t="str">
            <v>Kathe Pauly</v>
          </cell>
          <cell r="E698" t="str">
            <v>Account Executive I</v>
          </cell>
        </row>
        <row r="699">
          <cell r="D699" t="str">
            <v>Wenona Pawlik</v>
          </cell>
          <cell r="E699" t="str">
            <v>Account Executive II</v>
          </cell>
        </row>
        <row r="700">
          <cell r="D700" t="str">
            <v>Maighdiln Payfoot</v>
          </cell>
          <cell r="E700" t="str">
            <v>Account Executive I</v>
          </cell>
        </row>
        <row r="701">
          <cell r="D701" t="str">
            <v>Jessie Peabody</v>
          </cell>
          <cell r="E701" t="str">
            <v>Account Executive II</v>
          </cell>
        </row>
        <row r="702">
          <cell r="D702" t="str">
            <v>Winston Pech</v>
          </cell>
          <cell r="E702" t="str">
            <v>Account Executive III</v>
          </cell>
        </row>
        <row r="703">
          <cell r="D703" t="str">
            <v>Fidelia Pedrocco</v>
          </cell>
          <cell r="E703" t="str">
            <v>Account Executive II</v>
          </cell>
        </row>
        <row r="704">
          <cell r="D704" t="str">
            <v>Lindy Pember</v>
          </cell>
          <cell r="E704" t="str">
            <v>Account Executive III</v>
          </cell>
        </row>
        <row r="705">
          <cell r="D705" t="str">
            <v>Obadias Penelli</v>
          </cell>
          <cell r="E705" t="str">
            <v>Account Executive III</v>
          </cell>
        </row>
        <row r="706">
          <cell r="D706" t="str">
            <v>Cindy Pentecost</v>
          </cell>
          <cell r="E706" t="str">
            <v>Account Executive II</v>
          </cell>
        </row>
        <row r="707">
          <cell r="D707" t="str">
            <v>Josiah Pepi</v>
          </cell>
          <cell r="E707" t="str">
            <v>Account Executive III</v>
          </cell>
        </row>
        <row r="708">
          <cell r="D708" t="str">
            <v>Jethro Percifer</v>
          </cell>
          <cell r="E708" t="str">
            <v>Account Executive III</v>
          </cell>
        </row>
        <row r="709">
          <cell r="D709" t="str">
            <v>Kevon Perl</v>
          </cell>
          <cell r="E709" t="str">
            <v>Account Executive I</v>
          </cell>
        </row>
        <row r="710">
          <cell r="D710" t="str">
            <v>Neil Perritt</v>
          </cell>
          <cell r="E710" t="str">
            <v>Account Executive II</v>
          </cell>
        </row>
        <row r="711">
          <cell r="D711" t="str">
            <v>Stanislas Pessolt</v>
          </cell>
          <cell r="E711" t="str">
            <v>Account Executive III</v>
          </cell>
        </row>
        <row r="712">
          <cell r="D712" t="str">
            <v>Chuck Petkov</v>
          </cell>
          <cell r="E712" t="str">
            <v>Account Executive I</v>
          </cell>
        </row>
        <row r="713">
          <cell r="D713" t="str">
            <v>Elroy Petrasso</v>
          </cell>
          <cell r="E713" t="str">
            <v>Account Executive I</v>
          </cell>
        </row>
        <row r="714">
          <cell r="D714" t="str">
            <v>Archy Petri</v>
          </cell>
          <cell r="E714" t="str">
            <v>Account Executive I</v>
          </cell>
        </row>
        <row r="715">
          <cell r="D715" t="str">
            <v>Agretha Pevreal</v>
          </cell>
          <cell r="E715" t="str">
            <v>Account Executive III</v>
          </cell>
        </row>
        <row r="716">
          <cell r="D716" t="str">
            <v>Tracey Phelip</v>
          </cell>
          <cell r="E716" t="str">
            <v>Account Executive II</v>
          </cell>
        </row>
        <row r="717">
          <cell r="D717" t="str">
            <v>Horst Phelips</v>
          </cell>
          <cell r="E717" t="str">
            <v>Account Executive II</v>
          </cell>
        </row>
        <row r="718">
          <cell r="D718" t="str">
            <v>Orelia Philipson</v>
          </cell>
          <cell r="E718" t="str">
            <v>Account Executive II</v>
          </cell>
        </row>
        <row r="719">
          <cell r="D719" t="str">
            <v>Vivian Philson</v>
          </cell>
          <cell r="E719" t="str">
            <v>Account Executive I</v>
          </cell>
        </row>
        <row r="720">
          <cell r="D720" t="str">
            <v>Arvy Phittiplace</v>
          </cell>
          <cell r="E720" t="str">
            <v>Account Executive I</v>
          </cell>
        </row>
        <row r="721">
          <cell r="D721" t="str">
            <v>Somerset Phlippsen</v>
          </cell>
          <cell r="E721" t="str">
            <v>Account Executive I</v>
          </cell>
        </row>
        <row r="722">
          <cell r="D722" t="str">
            <v>Denny Pickard</v>
          </cell>
          <cell r="E722" t="str">
            <v>Account Executive III</v>
          </cell>
        </row>
        <row r="723">
          <cell r="D723" t="str">
            <v>Aurelie Pickaver</v>
          </cell>
          <cell r="E723" t="str">
            <v>Account Executive I</v>
          </cell>
        </row>
        <row r="724">
          <cell r="D724" t="str">
            <v>Arleyne Piens</v>
          </cell>
          <cell r="E724" t="str">
            <v>Account Executive I</v>
          </cell>
        </row>
        <row r="725">
          <cell r="D725" t="str">
            <v>Amberly Pillman</v>
          </cell>
          <cell r="E725" t="str">
            <v>Account Executive III</v>
          </cell>
        </row>
        <row r="726">
          <cell r="D726" t="str">
            <v>Vally Pinel</v>
          </cell>
          <cell r="E726" t="str">
            <v>Account Executive II</v>
          </cell>
        </row>
        <row r="727">
          <cell r="D727" t="str">
            <v>Zonda Pipes</v>
          </cell>
          <cell r="E727" t="str">
            <v>Account Executive III</v>
          </cell>
        </row>
        <row r="728">
          <cell r="D728" t="str">
            <v>Rainer Pirdy</v>
          </cell>
          <cell r="E728" t="str">
            <v>Account Executive II</v>
          </cell>
        </row>
        <row r="729">
          <cell r="D729" t="str">
            <v>Barbra Pistol</v>
          </cell>
          <cell r="E729" t="str">
            <v>Account Executive II</v>
          </cell>
        </row>
        <row r="730">
          <cell r="D730" t="str">
            <v>Hedwiga Plail</v>
          </cell>
          <cell r="E730" t="str">
            <v>Account Executive III</v>
          </cell>
        </row>
        <row r="731">
          <cell r="D731" t="str">
            <v>Nikolaus Plampeyn</v>
          </cell>
          <cell r="E731" t="str">
            <v>Account Executive I</v>
          </cell>
        </row>
        <row r="732">
          <cell r="D732" t="str">
            <v>Arther Plant</v>
          </cell>
          <cell r="E732" t="str">
            <v>Account Executive II</v>
          </cell>
        </row>
        <row r="733">
          <cell r="D733" t="str">
            <v>Durant Poag</v>
          </cell>
          <cell r="E733" t="str">
            <v>Account Executive I</v>
          </cell>
        </row>
        <row r="734">
          <cell r="D734" t="str">
            <v>Marvin Pochin</v>
          </cell>
          <cell r="E734" t="str">
            <v>Account Executive II</v>
          </cell>
        </row>
        <row r="735">
          <cell r="D735" t="str">
            <v>Jana Polding</v>
          </cell>
          <cell r="E735" t="str">
            <v>Account Executive I</v>
          </cell>
        </row>
        <row r="736">
          <cell r="D736" t="str">
            <v>Merrel Pomphrey</v>
          </cell>
          <cell r="E736" t="str">
            <v>Account Executive II</v>
          </cell>
        </row>
        <row r="737">
          <cell r="D737" t="str">
            <v>Antons Porkiss</v>
          </cell>
          <cell r="E737" t="str">
            <v>Account Executive I</v>
          </cell>
        </row>
        <row r="738">
          <cell r="D738" t="str">
            <v>Teriann Portress</v>
          </cell>
          <cell r="E738" t="str">
            <v>Account Executive I</v>
          </cell>
        </row>
        <row r="739">
          <cell r="D739" t="str">
            <v>See Postin</v>
          </cell>
          <cell r="E739" t="str">
            <v>Account Executive II</v>
          </cell>
        </row>
        <row r="740">
          <cell r="D740" t="str">
            <v>Barde Pound</v>
          </cell>
          <cell r="E740" t="str">
            <v>Account Executive I</v>
          </cell>
        </row>
        <row r="741">
          <cell r="D741" t="str">
            <v>Shawna Powland</v>
          </cell>
          <cell r="E741" t="str">
            <v>Account Executive I</v>
          </cell>
        </row>
        <row r="742">
          <cell r="D742" t="str">
            <v>Nelly Prando</v>
          </cell>
          <cell r="E742" t="str">
            <v>Account Executive I</v>
          </cell>
        </row>
        <row r="743">
          <cell r="D743" t="str">
            <v>Brien Prate</v>
          </cell>
          <cell r="E743" t="str">
            <v>Account Executive II</v>
          </cell>
        </row>
        <row r="744">
          <cell r="D744" t="str">
            <v>Donnell Preon</v>
          </cell>
          <cell r="E744" t="str">
            <v>Account Executive I</v>
          </cell>
        </row>
        <row r="745">
          <cell r="D745" t="str">
            <v>Ike Pretorius</v>
          </cell>
          <cell r="E745" t="str">
            <v>Account Executive III</v>
          </cell>
        </row>
        <row r="746">
          <cell r="D746" t="str">
            <v>Mirabel Prigmore</v>
          </cell>
          <cell r="E746" t="str">
            <v>Account Executive II</v>
          </cell>
        </row>
        <row r="747">
          <cell r="D747" t="str">
            <v>Pavlov Pucknell</v>
          </cell>
          <cell r="E747" t="str">
            <v>Account Executive III</v>
          </cell>
        </row>
        <row r="748">
          <cell r="D748" t="str">
            <v>Olenka Puddicombe</v>
          </cell>
          <cell r="E748" t="str">
            <v>Account Executive III</v>
          </cell>
        </row>
        <row r="749">
          <cell r="D749" t="str">
            <v>Nanine Pummell</v>
          </cell>
          <cell r="E749" t="str">
            <v>Account Executive II</v>
          </cell>
        </row>
        <row r="750">
          <cell r="D750" t="str">
            <v>Myrilla Purvey</v>
          </cell>
          <cell r="E750" t="str">
            <v>Account Executive II</v>
          </cell>
        </row>
        <row r="751">
          <cell r="D751" t="str">
            <v>Alleen Pymar</v>
          </cell>
          <cell r="E751" t="str">
            <v>Account Executive III</v>
          </cell>
        </row>
        <row r="752">
          <cell r="D752" t="str">
            <v>Carmelia Quainton</v>
          </cell>
          <cell r="E752" t="str">
            <v>Account Executive III</v>
          </cell>
        </row>
        <row r="753">
          <cell r="D753" t="str">
            <v>Nobie Queripel</v>
          </cell>
          <cell r="E753" t="str">
            <v>Account Executive II</v>
          </cell>
        </row>
        <row r="754">
          <cell r="D754" t="str">
            <v>Maure Quinane</v>
          </cell>
          <cell r="E754" t="str">
            <v>Account Executive III</v>
          </cell>
        </row>
        <row r="755">
          <cell r="D755" t="str">
            <v>Sibby Rastrick</v>
          </cell>
          <cell r="E755" t="str">
            <v>Account Executive III</v>
          </cell>
        </row>
        <row r="756">
          <cell r="D756" t="str">
            <v>Maryrose Ravenshaw</v>
          </cell>
          <cell r="E756" t="str">
            <v>Account Executive II</v>
          </cell>
        </row>
        <row r="757">
          <cell r="D757" t="str">
            <v>Micah Rawdales</v>
          </cell>
          <cell r="E757" t="str">
            <v>Account Executive I</v>
          </cell>
        </row>
        <row r="758">
          <cell r="D758" t="str">
            <v>Drake Rawlison</v>
          </cell>
          <cell r="E758" t="str">
            <v>Account Executive I</v>
          </cell>
        </row>
        <row r="759">
          <cell r="D759" t="str">
            <v>Chaddie Record</v>
          </cell>
          <cell r="E759" t="str">
            <v>Account Executive III</v>
          </cell>
        </row>
        <row r="760">
          <cell r="D760" t="str">
            <v>Garrot Redrup</v>
          </cell>
          <cell r="E760" t="str">
            <v>Account Executive II</v>
          </cell>
        </row>
        <row r="761">
          <cell r="D761" t="str">
            <v>Jamil Regnard</v>
          </cell>
          <cell r="E761" t="str">
            <v>Account Executive III</v>
          </cell>
        </row>
        <row r="762">
          <cell r="D762" t="str">
            <v>Jae Reihm</v>
          </cell>
          <cell r="E762" t="str">
            <v>Account Executive III</v>
          </cell>
        </row>
        <row r="763">
          <cell r="D763" t="str">
            <v>Berk Remnant</v>
          </cell>
          <cell r="E763" t="str">
            <v>Account Executive III</v>
          </cell>
        </row>
        <row r="764">
          <cell r="D764" t="str">
            <v>Ophelia Renak</v>
          </cell>
          <cell r="E764" t="str">
            <v>Account Executive I</v>
          </cell>
        </row>
        <row r="765">
          <cell r="D765" t="str">
            <v>Mallissa Renak</v>
          </cell>
          <cell r="E765" t="str">
            <v>Account Executive III</v>
          </cell>
        </row>
        <row r="766">
          <cell r="D766" t="str">
            <v>Wheeler Renoden</v>
          </cell>
          <cell r="E766" t="str">
            <v>Account Executive III</v>
          </cell>
        </row>
        <row r="767">
          <cell r="D767" t="str">
            <v>Beaufort Rentcome</v>
          </cell>
          <cell r="E767" t="str">
            <v>Account Executive I</v>
          </cell>
        </row>
        <row r="768">
          <cell r="D768" t="str">
            <v>Ellery Renzini</v>
          </cell>
          <cell r="E768" t="str">
            <v>Account Executive II</v>
          </cell>
        </row>
        <row r="769">
          <cell r="D769" t="str">
            <v>Fianna Restorick</v>
          </cell>
          <cell r="E769" t="str">
            <v>Account Executive I</v>
          </cell>
        </row>
        <row r="770">
          <cell r="D770" t="str">
            <v>Amalle Reymers</v>
          </cell>
          <cell r="E770" t="str">
            <v>Account Executive III</v>
          </cell>
        </row>
        <row r="771">
          <cell r="D771" t="str">
            <v>Marlon Rhodus</v>
          </cell>
          <cell r="E771" t="str">
            <v>Account Executive II</v>
          </cell>
        </row>
        <row r="772">
          <cell r="D772" t="str">
            <v>Bil Riatt</v>
          </cell>
          <cell r="E772" t="str">
            <v>Account Executive I</v>
          </cell>
        </row>
        <row r="773">
          <cell r="D773" t="str">
            <v>Kippar Ricardin</v>
          </cell>
          <cell r="E773" t="str">
            <v>Account Executive I</v>
          </cell>
        </row>
        <row r="774">
          <cell r="D774" t="str">
            <v>Mercy Richemont</v>
          </cell>
          <cell r="E774" t="str">
            <v>Account Executive I</v>
          </cell>
        </row>
        <row r="775">
          <cell r="D775" t="str">
            <v>May Richings</v>
          </cell>
          <cell r="E775" t="str">
            <v>Account Executive III</v>
          </cell>
        </row>
        <row r="776">
          <cell r="D776" t="str">
            <v>Evvy Riedel</v>
          </cell>
          <cell r="E776" t="str">
            <v>Account Executive III</v>
          </cell>
        </row>
        <row r="777">
          <cell r="D777" t="str">
            <v>Engracia Rigolle</v>
          </cell>
          <cell r="E777" t="str">
            <v>Account Executive I</v>
          </cell>
        </row>
        <row r="778">
          <cell r="D778" t="str">
            <v>Wallas Riolfi</v>
          </cell>
          <cell r="E778" t="str">
            <v>Account Executive I</v>
          </cell>
        </row>
        <row r="779">
          <cell r="D779" t="str">
            <v>Dyane Rival</v>
          </cell>
          <cell r="E779" t="str">
            <v>Account Executive III</v>
          </cell>
        </row>
        <row r="780">
          <cell r="D780" t="str">
            <v>Orion Robak</v>
          </cell>
          <cell r="E780" t="str">
            <v>Account Executive III</v>
          </cell>
        </row>
        <row r="781">
          <cell r="D781" t="str">
            <v>Juditha Robe</v>
          </cell>
          <cell r="E781" t="str">
            <v>Account Executive II</v>
          </cell>
        </row>
        <row r="782">
          <cell r="D782" t="str">
            <v>Gaelan Robrow</v>
          </cell>
          <cell r="E782" t="str">
            <v>Account Executive III</v>
          </cell>
        </row>
        <row r="783">
          <cell r="D783" t="str">
            <v>Doralia Robshaw</v>
          </cell>
          <cell r="E783" t="str">
            <v>Account Executive III</v>
          </cell>
        </row>
        <row r="784">
          <cell r="D784" t="str">
            <v>Tiebout Roby</v>
          </cell>
          <cell r="E784" t="str">
            <v>Account Executive III</v>
          </cell>
        </row>
        <row r="785">
          <cell r="D785" t="str">
            <v>Emelyne Rochford</v>
          </cell>
          <cell r="E785" t="str">
            <v>Account Executive III</v>
          </cell>
        </row>
        <row r="786">
          <cell r="D786" t="str">
            <v>Ernesta Rodd</v>
          </cell>
          <cell r="E786" t="str">
            <v>Account Executive II</v>
          </cell>
        </row>
        <row r="787">
          <cell r="D787" t="str">
            <v>Ahmed Roizn</v>
          </cell>
          <cell r="E787" t="str">
            <v>Account Executive III</v>
          </cell>
        </row>
        <row r="788">
          <cell r="D788" t="str">
            <v>Arel Rolland</v>
          </cell>
          <cell r="E788" t="str">
            <v>Account Executive I</v>
          </cell>
        </row>
        <row r="789">
          <cell r="D789" t="str">
            <v>Cassius Roseaman</v>
          </cell>
          <cell r="E789" t="str">
            <v>Account Executive II</v>
          </cell>
        </row>
        <row r="790">
          <cell r="D790" t="str">
            <v>Wait Rosenbaum</v>
          </cell>
          <cell r="E790" t="str">
            <v>Account Executive I</v>
          </cell>
        </row>
        <row r="791">
          <cell r="D791" t="str">
            <v>Salomi Rosenhaus</v>
          </cell>
          <cell r="E791" t="str">
            <v>Account Executive III</v>
          </cell>
        </row>
        <row r="792">
          <cell r="D792" t="str">
            <v>Trey Rosenthal</v>
          </cell>
          <cell r="E792" t="str">
            <v>Account Executive I</v>
          </cell>
        </row>
        <row r="793">
          <cell r="D793" t="str">
            <v>Consolata Rosier</v>
          </cell>
          <cell r="E793" t="str">
            <v>Account Executive I</v>
          </cell>
        </row>
        <row r="794">
          <cell r="D794" t="str">
            <v>Krisha Rotherham</v>
          </cell>
          <cell r="E794" t="str">
            <v>Account Executive III</v>
          </cell>
        </row>
        <row r="795">
          <cell r="D795" t="str">
            <v>Rodrigo Rourke</v>
          </cell>
          <cell r="E795" t="str">
            <v>Account Executive I</v>
          </cell>
        </row>
        <row r="796">
          <cell r="D796" t="str">
            <v>Giordano Rubie</v>
          </cell>
          <cell r="E796" t="str">
            <v>Account Executive I</v>
          </cell>
        </row>
        <row r="797">
          <cell r="D797" t="str">
            <v>Jayson Rugg</v>
          </cell>
          <cell r="E797" t="str">
            <v>Account Executive II</v>
          </cell>
        </row>
        <row r="798">
          <cell r="D798" t="str">
            <v>Artair Runcie</v>
          </cell>
          <cell r="E798" t="str">
            <v>Account Executive III</v>
          </cell>
        </row>
        <row r="799">
          <cell r="D799" t="str">
            <v>Nikolos Ruppeli</v>
          </cell>
          <cell r="E799" t="str">
            <v>Account Executive I</v>
          </cell>
        </row>
        <row r="800">
          <cell r="D800" t="str">
            <v>Mathew Russ</v>
          </cell>
          <cell r="E800" t="str">
            <v>Account Executive II</v>
          </cell>
        </row>
        <row r="801">
          <cell r="D801" t="str">
            <v>Jermain Ruthven</v>
          </cell>
          <cell r="E801" t="str">
            <v>Account Executive I</v>
          </cell>
        </row>
        <row r="802">
          <cell r="D802" t="str">
            <v>Andres Sackett</v>
          </cell>
          <cell r="E802" t="str">
            <v>Account Executive I</v>
          </cell>
        </row>
        <row r="803">
          <cell r="D803" t="str">
            <v>Denni Sadd</v>
          </cell>
          <cell r="E803" t="str">
            <v>Account Executive III</v>
          </cell>
        </row>
        <row r="804">
          <cell r="D804" t="str">
            <v>Josiah Saer</v>
          </cell>
          <cell r="E804" t="str">
            <v>Account Executive III</v>
          </cell>
        </row>
        <row r="805">
          <cell r="D805" t="str">
            <v>Jo Saffen</v>
          </cell>
          <cell r="E805" t="str">
            <v>Account Executive III</v>
          </cell>
        </row>
        <row r="806">
          <cell r="D806" t="str">
            <v>Meredith Samudio</v>
          </cell>
          <cell r="E806" t="str">
            <v>Account Executive II</v>
          </cell>
        </row>
        <row r="807">
          <cell r="D807" t="str">
            <v>Elsey Sanchez</v>
          </cell>
          <cell r="E807" t="str">
            <v>Account Executive I</v>
          </cell>
        </row>
        <row r="808">
          <cell r="D808" t="str">
            <v>Avivah Sante</v>
          </cell>
          <cell r="E808" t="str">
            <v>Account Executive III</v>
          </cell>
        </row>
        <row r="809">
          <cell r="D809" t="str">
            <v>Nikolos Santino</v>
          </cell>
          <cell r="E809" t="str">
            <v>Account Executive III</v>
          </cell>
        </row>
        <row r="810">
          <cell r="D810" t="str">
            <v>Richmound Satyford</v>
          </cell>
          <cell r="E810" t="str">
            <v>Account Executive I</v>
          </cell>
        </row>
        <row r="811">
          <cell r="D811" t="str">
            <v>Patin Scardifield</v>
          </cell>
          <cell r="E811" t="str">
            <v>Account Executive III</v>
          </cell>
        </row>
        <row r="812">
          <cell r="D812" t="str">
            <v>Loralyn Scarffe</v>
          </cell>
          <cell r="E812" t="str">
            <v>Account Executive II</v>
          </cell>
        </row>
        <row r="813">
          <cell r="D813" t="str">
            <v>Emilio Schimke</v>
          </cell>
          <cell r="E813" t="str">
            <v>Account Executive II</v>
          </cell>
        </row>
        <row r="814">
          <cell r="D814" t="str">
            <v>Shelley Schuh</v>
          </cell>
          <cell r="E814" t="str">
            <v>Account Executive III</v>
          </cell>
        </row>
        <row r="815">
          <cell r="D815" t="str">
            <v>Myles Scoggans</v>
          </cell>
          <cell r="E815" t="str">
            <v>Account Executive III</v>
          </cell>
        </row>
        <row r="816">
          <cell r="D816" t="str">
            <v>Kev Scogin</v>
          </cell>
          <cell r="E816" t="str">
            <v>Account Executive III</v>
          </cell>
        </row>
        <row r="817">
          <cell r="D817" t="str">
            <v>Ediva Screase</v>
          </cell>
          <cell r="E817" t="str">
            <v>Account Executive II</v>
          </cell>
        </row>
        <row r="818">
          <cell r="D818" t="str">
            <v>Netti Scullion</v>
          </cell>
          <cell r="E818" t="str">
            <v>Account Executive I</v>
          </cell>
        </row>
        <row r="819">
          <cell r="D819" t="str">
            <v>Madella Seabert</v>
          </cell>
          <cell r="E819" t="str">
            <v>Account Executive III</v>
          </cell>
        </row>
        <row r="820">
          <cell r="D820" t="str">
            <v>Isiahi Sealand</v>
          </cell>
          <cell r="E820" t="str">
            <v>Account Executive III</v>
          </cell>
        </row>
        <row r="821">
          <cell r="D821" t="str">
            <v>Standford Searight</v>
          </cell>
          <cell r="E821" t="str">
            <v>Account Executive II</v>
          </cell>
        </row>
        <row r="822">
          <cell r="D822" t="str">
            <v>Bjorn Seedman</v>
          </cell>
          <cell r="E822" t="str">
            <v>Account Executive III</v>
          </cell>
        </row>
        <row r="823">
          <cell r="D823" t="str">
            <v>Cristina Seegar</v>
          </cell>
          <cell r="E823" t="str">
            <v>Account Executive II</v>
          </cell>
        </row>
        <row r="824">
          <cell r="D824" t="str">
            <v>Norbert Segges</v>
          </cell>
          <cell r="E824" t="str">
            <v>Account Executive II</v>
          </cell>
        </row>
        <row r="825">
          <cell r="D825" t="str">
            <v>Juliet Semered</v>
          </cell>
          <cell r="E825" t="str">
            <v>Account Executive III</v>
          </cell>
        </row>
        <row r="826">
          <cell r="D826" t="str">
            <v>Bianka Sertin</v>
          </cell>
          <cell r="E826" t="str">
            <v>Account Executive I</v>
          </cell>
        </row>
        <row r="827">
          <cell r="D827" t="str">
            <v>Aura Server</v>
          </cell>
          <cell r="E827" t="str">
            <v>Account Executive I</v>
          </cell>
        </row>
        <row r="828">
          <cell r="D828" t="str">
            <v>Georgie Seyler</v>
          </cell>
          <cell r="E828" t="str">
            <v>Account Executive II</v>
          </cell>
        </row>
        <row r="829">
          <cell r="D829" t="str">
            <v>Amalee Shaddock</v>
          </cell>
          <cell r="E829" t="str">
            <v>Account Executive I</v>
          </cell>
        </row>
        <row r="830">
          <cell r="D830" t="str">
            <v>Anabel Shall</v>
          </cell>
          <cell r="E830" t="str">
            <v>Account Executive III</v>
          </cell>
        </row>
        <row r="831">
          <cell r="D831" t="str">
            <v>Pren Shanahan</v>
          </cell>
          <cell r="E831" t="str">
            <v>Account Executive II</v>
          </cell>
        </row>
        <row r="832">
          <cell r="D832" t="str">
            <v>Melina Shapter</v>
          </cell>
          <cell r="E832" t="str">
            <v>Account Executive I</v>
          </cell>
        </row>
        <row r="833">
          <cell r="D833" t="str">
            <v>Basilio Shattock</v>
          </cell>
          <cell r="E833" t="str">
            <v>Account Executive II</v>
          </cell>
        </row>
        <row r="834">
          <cell r="D834" t="str">
            <v>Aviva Shayes</v>
          </cell>
          <cell r="E834" t="str">
            <v>Account Executive II</v>
          </cell>
        </row>
        <row r="835">
          <cell r="D835" t="str">
            <v>Millie Shayler</v>
          </cell>
          <cell r="E835" t="str">
            <v>Account Executive II</v>
          </cell>
        </row>
        <row r="836">
          <cell r="D836" t="str">
            <v>Katya Sheaf</v>
          </cell>
          <cell r="E836" t="str">
            <v>Account Executive III</v>
          </cell>
        </row>
        <row r="837">
          <cell r="D837" t="str">
            <v>Jessica Sheather</v>
          </cell>
          <cell r="E837" t="str">
            <v>Account Executive I</v>
          </cell>
        </row>
        <row r="838">
          <cell r="D838" t="str">
            <v>Aluino Sheerin</v>
          </cell>
          <cell r="E838" t="str">
            <v>Account Executive III</v>
          </cell>
        </row>
        <row r="839">
          <cell r="D839" t="str">
            <v>Elaina Shelmardine</v>
          </cell>
          <cell r="E839" t="str">
            <v>Account Executive III</v>
          </cell>
        </row>
        <row r="840">
          <cell r="D840" t="str">
            <v>Titos Shelmardine</v>
          </cell>
          <cell r="E840" t="str">
            <v>Account Executive I</v>
          </cell>
        </row>
        <row r="841">
          <cell r="D841" t="str">
            <v>Phillipe Shildrake</v>
          </cell>
          <cell r="E841" t="str">
            <v>Account Executive II</v>
          </cell>
        </row>
        <row r="842">
          <cell r="D842" t="str">
            <v>Newton Shillabear</v>
          </cell>
          <cell r="E842" t="str">
            <v>Account Executive III</v>
          </cell>
        </row>
        <row r="843">
          <cell r="D843" t="str">
            <v>Chan Shillabeare</v>
          </cell>
          <cell r="E843" t="str">
            <v>Account Executive I</v>
          </cell>
        </row>
        <row r="844">
          <cell r="D844" t="str">
            <v>Bengt Shillum</v>
          </cell>
          <cell r="E844" t="str">
            <v>Account Executive III</v>
          </cell>
        </row>
        <row r="845">
          <cell r="D845" t="str">
            <v>Gaby Shilston</v>
          </cell>
          <cell r="E845" t="str">
            <v>Account Executive III</v>
          </cell>
        </row>
        <row r="846">
          <cell r="D846" t="str">
            <v>Eddy Shilston</v>
          </cell>
          <cell r="E846" t="str">
            <v>Account Executive II</v>
          </cell>
        </row>
        <row r="847">
          <cell r="D847" t="str">
            <v>Latrina Shropsheir</v>
          </cell>
          <cell r="E847" t="str">
            <v>Account Executive II</v>
          </cell>
        </row>
        <row r="848">
          <cell r="D848" t="str">
            <v>Maddalena Shurrock</v>
          </cell>
          <cell r="E848" t="str">
            <v>Account Executive II</v>
          </cell>
        </row>
        <row r="849">
          <cell r="D849" t="str">
            <v>Rasla Shutte</v>
          </cell>
          <cell r="E849" t="str">
            <v>Account Executive I</v>
          </cell>
        </row>
        <row r="850">
          <cell r="D850" t="str">
            <v>Billye Shwalbe</v>
          </cell>
          <cell r="E850" t="str">
            <v>Account Executive I</v>
          </cell>
        </row>
        <row r="851">
          <cell r="D851" t="str">
            <v>Paulo Sibbert</v>
          </cell>
          <cell r="E851" t="str">
            <v>Account Executive I</v>
          </cell>
        </row>
        <row r="852">
          <cell r="D852" t="str">
            <v>Winfred Siggee</v>
          </cell>
          <cell r="E852" t="str">
            <v>Account Executive II</v>
          </cell>
        </row>
        <row r="853">
          <cell r="D853" t="str">
            <v>Denys Siggers</v>
          </cell>
          <cell r="E853" t="str">
            <v>Account Executive II</v>
          </cell>
        </row>
        <row r="854">
          <cell r="D854" t="str">
            <v>Myrtie Silversmid</v>
          </cell>
          <cell r="E854" t="str">
            <v>Account Executive II</v>
          </cell>
        </row>
        <row r="855">
          <cell r="D855" t="str">
            <v>Lianne Simeoni</v>
          </cell>
          <cell r="E855" t="str">
            <v>Account Executive I</v>
          </cell>
        </row>
        <row r="856">
          <cell r="D856" t="str">
            <v>Jamie Simmings</v>
          </cell>
          <cell r="E856" t="str">
            <v>Account Executive I</v>
          </cell>
        </row>
        <row r="857">
          <cell r="D857" t="str">
            <v>Desmond Simmins</v>
          </cell>
          <cell r="E857" t="str">
            <v>Account Executive II</v>
          </cell>
        </row>
        <row r="858">
          <cell r="D858" t="str">
            <v>Dyanne Simper</v>
          </cell>
          <cell r="E858" t="str">
            <v>Account Executive I</v>
          </cell>
        </row>
        <row r="859">
          <cell r="D859" t="str">
            <v>Welbie Siveyer</v>
          </cell>
          <cell r="E859" t="str">
            <v>Account Executive II</v>
          </cell>
        </row>
        <row r="860">
          <cell r="D860" t="str">
            <v>Marysa Skalls</v>
          </cell>
          <cell r="E860" t="str">
            <v>Account Executive II</v>
          </cell>
        </row>
        <row r="861">
          <cell r="D861" t="str">
            <v>Zebulen Skeemor</v>
          </cell>
          <cell r="E861" t="str">
            <v>Account Executive I</v>
          </cell>
        </row>
        <row r="862">
          <cell r="D862" t="str">
            <v>Scot Skoughman</v>
          </cell>
          <cell r="E862" t="str">
            <v>Account Executive III</v>
          </cell>
        </row>
        <row r="863">
          <cell r="D863" t="str">
            <v>Rolph Slatcher</v>
          </cell>
          <cell r="E863" t="str">
            <v>Account Executive III</v>
          </cell>
        </row>
        <row r="864">
          <cell r="D864" t="str">
            <v>Jone Sleep</v>
          </cell>
          <cell r="E864" t="str">
            <v>Account Executive II</v>
          </cell>
        </row>
        <row r="865">
          <cell r="D865" t="str">
            <v>Cull Slott</v>
          </cell>
          <cell r="E865" t="str">
            <v>Account Executive I</v>
          </cell>
        </row>
        <row r="866">
          <cell r="D866" t="str">
            <v>Hynda Smee</v>
          </cell>
          <cell r="E866" t="str">
            <v>Account Executive II</v>
          </cell>
        </row>
        <row r="867">
          <cell r="D867" t="str">
            <v>Rufe Smerdon</v>
          </cell>
          <cell r="E867" t="str">
            <v>Account Executive III</v>
          </cell>
        </row>
        <row r="868">
          <cell r="D868" t="str">
            <v>Foster Smith</v>
          </cell>
          <cell r="E868" t="str">
            <v>Account Executive I</v>
          </cell>
        </row>
        <row r="869">
          <cell r="D869" t="str">
            <v>Mauricio Smooth</v>
          </cell>
          <cell r="E869" t="str">
            <v>Account Executive II</v>
          </cell>
        </row>
        <row r="870">
          <cell r="D870" t="str">
            <v>Esra Snibson</v>
          </cell>
          <cell r="E870" t="str">
            <v>Account Executive I</v>
          </cell>
        </row>
        <row r="871">
          <cell r="D871" t="str">
            <v>Danny Snoddin</v>
          </cell>
          <cell r="E871" t="str">
            <v>Account Executive I</v>
          </cell>
        </row>
        <row r="872">
          <cell r="D872" t="str">
            <v>Ashley Somerton</v>
          </cell>
          <cell r="E872" t="str">
            <v>Account Executive III</v>
          </cell>
        </row>
        <row r="873">
          <cell r="D873" t="str">
            <v>Conny Sommerly</v>
          </cell>
          <cell r="E873" t="str">
            <v>Account Executive I</v>
          </cell>
        </row>
        <row r="874">
          <cell r="D874" t="str">
            <v>Carmelle Sothcott</v>
          </cell>
          <cell r="E874" t="str">
            <v>Account Executive I</v>
          </cell>
        </row>
        <row r="875">
          <cell r="D875" t="str">
            <v>Sherwynd Southerell</v>
          </cell>
          <cell r="E875" t="str">
            <v>Account Executive II</v>
          </cell>
        </row>
        <row r="876">
          <cell r="D876" t="str">
            <v>Shaylynn Southern</v>
          </cell>
          <cell r="E876" t="str">
            <v>Account Executive III</v>
          </cell>
        </row>
        <row r="877">
          <cell r="D877" t="str">
            <v>Merrill Speakman</v>
          </cell>
          <cell r="E877" t="str">
            <v>Account Executive III</v>
          </cell>
        </row>
        <row r="878">
          <cell r="D878" t="str">
            <v>Robinette Speller</v>
          </cell>
          <cell r="E878" t="str">
            <v>Account Executive II</v>
          </cell>
        </row>
        <row r="879">
          <cell r="D879" t="str">
            <v>Monty Spellward</v>
          </cell>
          <cell r="E879" t="str">
            <v>Account Executive III</v>
          </cell>
        </row>
        <row r="880">
          <cell r="D880" t="str">
            <v>Ransell Spira</v>
          </cell>
          <cell r="E880" t="str">
            <v>Account Executive III</v>
          </cell>
        </row>
        <row r="881">
          <cell r="D881" t="str">
            <v>Christye Spraging</v>
          </cell>
          <cell r="E881" t="str">
            <v>Account Executive III</v>
          </cell>
        </row>
        <row r="882">
          <cell r="D882" t="str">
            <v>Shanan St Clair</v>
          </cell>
          <cell r="E882" t="str">
            <v>Account Executive I</v>
          </cell>
        </row>
        <row r="883">
          <cell r="D883" t="str">
            <v>Xymenes Stallard</v>
          </cell>
          <cell r="E883" t="str">
            <v>Account Executive II</v>
          </cell>
        </row>
        <row r="884">
          <cell r="D884" t="str">
            <v>Tobe Standen</v>
          </cell>
          <cell r="E884" t="str">
            <v>Account Executive III</v>
          </cell>
        </row>
        <row r="885">
          <cell r="D885" t="str">
            <v>Derry Staniforth</v>
          </cell>
          <cell r="E885" t="str">
            <v>Account Executive II</v>
          </cell>
        </row>
        <row r="886">
          <cell r="D886" t="str">
            <v>Filip Stellman</v>
          </cell>
          <cell r="E886" t="str">
            <v>Account Executive II</v>
          </cell>
        </row>
        <row r="887">
          <cell r="D887" t="str">
            <v>Agace Sterry</v>
          </cell>
          <cell r="E887" t="str">
            <v>Account Executive III</v>
          </cell>
        </row>
        <row r="888">
          <cell r="D888" t="str">
            <v>Sibeal Stirman</v>
          </cell>
          <cell r="E888" t="str">
            <v>Account Executive III</v>
          </cell>
        </row>
        <row r="889">
          <cell r="D889" t="str">
            <v>Bridgette Stivers</v>
          </cell>
          <cell r="E889" t="str">
            <v>Account Executive II</v>
          </cell>
        </row>
        <row r="890">
          <cell r="D890" t="str">
            <v>Lyle Stoyles</v>
          </cell>
          <cell r="E890" t="str">
            <v>Account Executive II</v>
          </cell>
        </row>
        <row r="891">
          <cell r="D891" t="str">
            <v>Horton Stretton</v>
          </cell>
          <cell r="E891" t="str">
            <v>Account Executive I</v>
          </cell>
        </row>
        <row r="892">
          <cell r="D892" t="str">
            <v>Reggie Striker</v>
          </cell>
          <cell r="E892" t="str">
            <v>Account Executive II</v>
          </cell>
        </row>
        <row r="893">
          <cell r="D893" t="str">
            <v>Huey Strognell</v>
          </cell>
          <cell r="E893" t="str">
            <v>Account Executive I</v>
          </cell>
        </row>
        <row r="894">
          <cell r="D894" t="str">
            <v>Giorgio Suett</v>
          </cell>
          <cell r="E894" t="str">
            <v>Account Executive I</v>
          </cell>
        </row>
        <row r="895">
          <cell r="D895" t="str">
            <v>Aubrey Suthren</v>
          </cell>
          <cell r="E895" t="str">
            <v>Account Executive II</v>
          </cell>
        </row>
        <row r="896">
          <cell r="D896" t="str">
            <v>Zaneta Swaddle</v>
          </cell>
          <cell r="E896" t="str">
            <v>Account Executive I</v>
          </cell>
        </row>
        <row r="897">
          <cell r="D897" t="str">
            <v>Jami Swinbourne</v>
          </cell>
          <cell r="E897" t="str">
            <v>Account Executive II</v>
          </cell>
        </row>
        <row r="898">
          <cell r="D898" t="str">
            <v>Obadiah Swinnard</v>
          </cell>
          <cell r="E898" t="str">
            <v>Account Executive III</v>
          </cell>
        </row>
        <row r="899">
          <cell r="D899" t="str">
            <v>Leticia Szymanzyk</v>
          </cell>
          <cell r="E899" t="str">
            <v>Account Executive I</v>
          </cell>
        </row>
        <row r="900">
          <cell r="D900" t="str">
            <v>Yuri Tampin</v>
          </cell>
          <cell r="E900" t="str">
            <v>Account Executive III</v>
          </cell>
        </row>
        <row r="901">
          <cell r="D901" t="str">
            <v>Lammond Tangye</v>
          </cell>
          <cell r="E901" t="str">
            <v>Account Executive III</v>
          </cell>
        </row>
        <row r="902">
          <cell r="D902" t="str">
            <v>Otha Tappor</v>
          </cell>
          <cell r="E902" t="str">
            <v>Account Executive II</v>
          </cell>
        </row>
        <row r="903">
          <cell r="D903" t="str">
            <v>Della Tapson</v>
          </cell>
          <cell r="E903" t="str">
            <v>Account Executive II</v>
          </cell>
        </row>
        <row r="904">
          <cell r="D904" t="str">
            <v>Lefty Tatteshall</v>
          </cell>
          <cell r="E904" t="str">
            <v>Account Executive II</v>
          </cell>
        </row>
        <row r="905">
          <cell r="D905" t="str">
            <v>Wendel Taudevin</v>
          </cell>
          <cell r="E905" t="str">
            <v>Account Executive I</v>
          </cell>
        </row>
        <row r="906">
          <cell r="D906" t="str">
            <v>Laural Teasey</v>
          </cell>
          <cell r="E906" t="str">
            <v>Account Executive I</v>
          </cell>
        </row>
        <row r="907">
          <cell r="D907" t="str">
            <v>Pet Tellenbrook</v>
          </cell>
          <cell r="E907" t="str">
            <v>Account Executive III</v>
          </cell>
        </row>
        <row r="908">
          <cell r="D908" t="str">
            <v>Cletis Temlett</v>
          </cell>
          <cell r="E908" t="str">
            <v>Account Executive III</v>
          </cell>
        </row>
        <row r="909">
          <cell r="D909" t="str">
            <v>Lotta Thoresbie</v>
          </cell>
          <cell r="E909" t="str">
            <v>Account Executive I</v>
          </cell>
        </row>
        <row r="910">
          <cell r="D910" t="str">
            <v>Chan Thorwarth</v>
          </cell>
          <cell r="E910" t="str">
            <v>Account Executive II</v>
          </cell>
        </row>
        <row r="911">
          <cell r="D911" t="str">
            <v>Garey Thow</v>
          </cell>
          <cell r="E911" t="str">
            <v>Account Executive II</v>
          </cell>
        </row>
        <row r="912">
          <cell r="D912" t="str">
            <v>Abdul Thunnerclef</v>
          </cell>
          <cell r="E912" t="str">
            <v>Account Executive II</v>
          </cell>
        </row>
        <row r="913">
          <cell r="D913" t="str">
            <v>Mil Tichelaar</v>
          </cell>
          <cell r="E913" t="str">
            <v>Account Executive III</v>
          </cell>
        </row>
        <row r="914">
          <cell r="D914" t="str">
            <v>Christabella Timblett</v>
          </cell>
          <cell r="E914" t="str">
            <v>Account Executive I</v>
          </cell>
        </row>
        <row r="915">
          <cell r="D915" t="str">
            <v>Meara Timmis</v>
          </cell>
          <cell r="E915" t="str">
            <v>Account Executive I</v>
          </cell>
        </row>
        <row r="916">
          <cell r="D916" t="str">
            <v>Darwin Tinsley</v>
          </cell>
          <cell r="E916" t="str">
            <v>Account Executive III</v>
          </cell>
        </row>
        <row r="917">
          <cell r="D917" t="str">
            <v>Erroll Tirkin</v>
          </cell>
          <cell r="E917" t="str">
            <v>Account Executive III</v>
          </cell>
        </row>
        <row r="918">
          <cell r="D918" t="str">
            <v>Kit Tivolier</v>
          </cell>
          <cell r="E918" t="str">
            <v>Account Executive III</v>
          </cell>
        </row>
        <row r="919">
          <cell r="D919" t="str">
            <v>Giffer Toke</v>
          </cell>
          <cell r="E919" t="str">
            <v>Account Executive III</v>
          </cell>
        </row>
        <row r="920">
          <cell r="D920" t="str">
            <v>Vania Tolefree</v>
          </cell>
          <cell r="E920" t="str">
            <v>Account Executive III</v>
          </cell>
        </row>
        <row r="921">
          <cell r="D921" t="str">
            <v>Bryn Tomas</v>
          </cell>
          <cell r="E921" t="str">
            <v>Account Executive I</v>
          </cell>
        </row>
        <row r="922">
          <cell r="D922" t="str">
            <v>Brade Torn</v>
          </cell>
          <cell r="E922" t="str">
            <v>Account Executive I</v>
          </cell>
        </row>
        <row r="923">
          <cell r="D923" t="str">
            <v>Ruthi Torrance</v>
          </cell>
          <cell r="E923" t="str">
            <v>Account Executive II</v>
          </cell>
        </row>
        <row r="924">
          <cell r="D924" t="str">
            <v>Brewer Torres</v>
          </cell>
          <cell r="E924" t="str">
            <v>Account Executive I</v>
          </cell>
        </row>
        <row r="925">
          <cell r="D925" t="str">
            <v>Baxter Toulamain</v>
          </cell>
          <cell r="E925" t="str">
            <v>Account Executive II</v>
          </cell>
        </row>
        <row r="926">
          <cell r="D926" t="str">
            <v>Lyn Trewett</v>
          </cell>
          <cell r="E926" t="str">
            <v>Account Executive II</v>
          </cell>
        </row>
        <row r="927">
          <cell r="D927" t="str">
            <v>Sharline Tribbeck</v>
          </cell>
          <cell r="E927" t="str">
            <v>Account Executive I</v>
          </cell>
        </row>
        <row r="928">
          <cell r="D928" t="str">
            <v>Norina Truckett</v>
          </cell>
          <cell r="E928" t="str">
            <v>Account Executive II</v>
          </cell>
        </row>
        <row r="929">
          <cell r="D929" t="str">
            <v>Godard Truett</v>
          </cell>
          <cell r="E929" t="str">
            <v>Account Executive II</v>
          </cell>
        </row>
        <row r="930">
          <cell r="D930" t="str">
            <v>Malissia Try</v>
          </cell>
          <cell r="E930" t="str">
            <v>Account Executive II</v>
          </cell>
        </row>
        <row r="931">
          <cell r="D931" t="str">
            <v>Bertie Turpey</v>
          </cell>
          <cell r="E931" t="str">
            <v>Account Executive III</v>
          </cell>
        </row>
        <row r="932">
          <cell r="D932" t="str">
            <v>Valencia Ubsdale</v>
          </cell>
          <cell r="E932" t="str">
            <v>Account Executive II</v>
          </cell>
        </row>
        <row r="933">
          <cell r="D933" t="str">
            <v>Adolf Underhill</v>
          </cell>
          <cell r="E933" t="str">
            <v>Account Executive II</v>
          </cell>
        </row>
        <row r="934">
          <cell r="D934" t="str">
            <v>Auguste Uren</v>
          </cell>
          <cell r="E934" t="str">
            <v>Account Executive III</v>
          </cell>
        </row>
        <row r="935">
          <cell r="D935" t="str">
            <v>Merrile Urrey</v>
          </cell>
          <cell r="E935" t="str">
            <v>Account Executive III</v>
          </cell>
        </row>
        <row r="936">
          <cell r="D936" t="str">
            <v>Carmelle Utridge</v>
          </cell>
          <cell r="E936" t="str">
            <v>Account Executive I</v>
          </cell>
        </row>
        <row r="937">
          <cell r="D937" t="str">
            <v>Herrick Utterson</v>
          </cell>
          <cell r="E937" t="str">
            <v>Account Executive I</v>
          </cell>
        </row>
        <row r="938">
          <cell r="D938" t="str">
            <v>Waldemar Vaggers</v>
          </cell>
          <cell r="E938" t="str">
            <v>Account Executive III</v>
          </cell>
        </row>
        <row r="939">
          <cell r="D939" t="str">
            <v>Farris Valance</v>
          </cell>
          <cell r="E939" t="str">
            <v>Account Executive II</v>
          </cell>
        </row>
        <row r="940">
          <cell r="D940" t="str">
            <v>Isidoro Vamplers</v>
          </cell>
          <cell r="E940" t="str">
            <v>Account Executive III</v>
          </cell>
        </row>
        <row r="941">
          <cell r="D941" t="str">
            <v>Eddy Van Arsdale</v>
          </cell>
          <cell r="E941" t="str">
            <v>Account Executive II</v>
          </cell>
        </row>
        <row r="942">
          <cell r="D942" t="str">
            <v>Vladamir Van Castele</v>
          </cell>
          <cell r="E942" t="str">
            <v>Account Executive III</v>
          </cell>
        </row>
        <row r="943">
          <cell r="D943" t="str">
            <v>Noelyn Vankin</v>
          </cell>
          <cell r="E943" t="str">
            <v>Account Executive III</v>
          </cell>
        </row>
        <row r="944">
          <cell r="D944" t="str">
            <v>Lynea Vanyukhin</v>
          </cell>
          <cell r="E944" t="str">
            <v>Account Executive II</v>
          </cell>
        </row>
        <row r="945">
          <cell r="D945" t="str">
            <v>Fredek Vaskin</v>
          </cell>
          <cell r="E945" t="str">
            <v>Account Executive II</v>
          </cell>
        </row>
        <row r="946">
          <cell r="D946" t="str">
            <v>Jethro Vedishchev</v>
          </cell>
          <cell r="E946" t="str">
            <v>Account Executive II</v>
          </cell>
        </row>
        <row r="947">
          <cell r="D947" t="str">
            <v>Van Vedmore</v>
          </cell>
          <cell r="E947" t="str">
            <v>Account Executive II</v>
          </cell>
        </row>
        <row r="948">
          <cell r="D948" t="str">
            <v>Jacinthe Vel</v>
          </cell>
          <cell r="E948" t="str">
            <v>Account Executive III</v>
          </cell>
        </row>
        <row r="949">
          <cell r="D949" t="str">
            <v>Aristotle Vibert</v>
          </cell>
          <cell r="E949" t="str">
            <v>Account Executive III</v>
          </cell>
        </row>
        <row r="950">
          <cell r="D950" t="str">
            <v>Beverlie Viccary</v>
          </cell>
          <cell r="E950" t="str">
            <v>Account Executive II</v>
          </cell>
        </row>
        <row r="951">
          <cell r="D951" t="str">
            <v>Jenda Villaron</v>
          </cell>
          <cell r="E951" t="str">
            <v>Account Executive III</v>
          </cell>
        </row>
        <row r="952">
          <cell r="D952" t="str">
            <v>Stephen Vince</v>
          </cell>
          <cell r="E952" t="str">
            <v>Account Executive I</v>
          </cell>
        </row>
        <row r="953">
          <cell r="D953" t="str">
            <v>Carlin Vivash</v>
          </cell>
          <cell r="E953" t="str">
            <v>Account Executive III</v>
          </cell>
        </row>
        <row r="954">
          <cell r="D954" t="str">
            <v>Cami Wagstaffe</v>
          </cell>
          <cell r="E954" t="str">
            <v>Account Executive II</v>
          </cell>
        </row>
        <row r="955">
          <cell r="D955" t="str">
            <v>Anette Waldock</v>
          </cell>
          <cell r="E955" t="str">
            <v>Account Executive II</v>
          </cell>
        </row>
        <row r="956">
          <cell r="D956" t="str">
            <v>Gennifer Waple</v>
          </cell>
          <cell r="E956" t="str">
            <v>Account Executive II</v>
          </cell>
        </row>
        <row r="957">
          <cell r="D957" t="str">
            <v>Jessa Wasbrough</v>
          </cell>
          <cell r="E957" t="str">
            <v>Account Executive I</v>
          </cell>
        </row>
        <row r="958">
          <cell r="D958" t="str">
            <v>Beatrice Watkin</v>
          </cell>
          <cell r="E958" t="str">
            <v>Account Executive II</v>
          </cell>
        </row>
        <row r="959">
          <cell r="D959" t="str">
            <v>Lancelot Watmough</v>
          </cell>
          <cell r="E959" t="str">
            <v>Account Executive II</v>
          </cell>
        </row>
        <row r="960">
          <cell r="D960" t="str">
            <v>Adaline Waud</v>
          </cell>
          <cell r="E960" t="str">
            <v>Account Executive I</v>
          </cell>
        </row>
        <row r="961">
          <cell r="D961" t="str">
            <v>Kevin Wayvill</v>
          </cell>
          <cell r="E961" t="str">
            <v>Account Executive II</v>
          </cell>
        </row>
        <row r="962">
          <cell r="D962" t="str">
            <v>Deirdre Wem</v>
          </cell>
          <cell r="E962" t="str">
            <v>Account Executive II</v>
          </cell>
        </row>
        <row r="963">
          <cell r="D963" t="str">
            <v>Andre Wemyss</v>
          </cell>
          <cell r="E963" t="str">
            <v>Account Executive II</v>
          </cell>
        </row>
        <row r="964">
          <cell r="D964" t="str">
            <v>Karlie Wennington</v>
          </cell>
          <cell r="E964" t="str">
            <v>Account Executive I</v>
          </cell>
        </row>
        <row r="965">
          <cell r="D965" t="str">
            <v>Olivero Wessel</v>
          </cell>
          <cell r="E965" t="str">
            <v>Account Executive III</v>
          </cell>
        </row>
        <row r="966">
          <cell r="D966" t="str">
            <v>Hillary Westphalen</v>
          </cell>
          <cell r="E966" t="str">
            <v>Account Executive III</v>
          </cell>
        </row>
        <row r="967">
          <cell r="D967" t="str">
            <v>Denney Whetland</v>
          </cell>
          <cell r="E967" t="str">
            <v>Account Executive I</v>
          </cell>
        </row>
        <row r="968">
          <cell r="D968" t="str">
            <v>Hildagard White</v>
          </cell>
          <cell r="E968" t="str">
            <v>Account Executive III</v>
          </cell>
        </row>
        <row r="969">
          <cell r="D969" t="str">
            <v>Licha Whitemarsh</v>
          </cell>
          <cell r="E969" t="str">
            <v>Account Executive III</v>
          </cell>
        </row>
        <row r="970">
          <cell r="D970" t="str">
            <v>Misty Whitrod</v>
          </cell>
          <cell r="E970" t="str">
            <v>Account Executive I</v>
          </cell>
        </row>
        <row r="971">
          <cell r="D971" t="str">
            <v>Lucky Whittlesey</v>
          </cell>
          <cell r="E971" t="str">
            <v>Account Executive I</v>
          </cell>
        </row>
        <row r="972">
          <cell r="D972" t="str">
            <v>Martica Whyler</v>
          </cell>
          <cell r="E972" t="str">
            <v>Account Executive III</v>
          </cell>
        </row>
        <row r="973">
          <cell r="D973" t="str">
            <v>Adolpho Wickersham</v>
          </cell>
          <cell r="E973" t="str">
            <v>Account Executive III</v>
          </cell>
        </row>
        <row r="974">
          <cell r="D974" t="str">
            <v>Deny Wiffler</v>
          </cell>
          <cell r="E974" t="str">
            <v>Account Executive II</v>
          </cell>
        </row>
        <row r="975">
          <cell r="D975" t="str">
            <v>Norman Wilden</v>
          </cell>
          <cell r="E975" t="str">
            <v>Account Executive II</v>
          </cell>
        </row>
        <row r="976">
          <cell r="D976" t="str">
            <v>Erma Wilder</v>
          </cell>
          <cell r="E976" t="str">
            <v>Account Executive II</v>
          </cell>
        </row>
        <row r="977">
          <cell r="D977" t="str">
            <v>Donovan Willingham</v>
          </cell>
          <cell r="E977" t="str">
            <v>Account Executive II</v>
          </cell>
        </row>
        <row r="978">
          <cell r="D978" t="str">
            <v>Ariadne Willshire</v>
          </cell>
          <cell r="E978" t="str">
            <v>Account Executive III</v>
          </cell>
        </row>
        <row r="979">
          <cell r="D979" t="str">
            <v>Umeko Wilshaw</v>
          </cell>
          <cell r="E979" t="str">
            <v>Account Executive I</v>
          </cell>
        </row>
        <row r="980">
          <cell r="D980" t="str">
            <v>Charlotta Wines</v>
          </cell>
          <cell r="E980" t="str">
            <v>Account Executive II</v>
          </cell>
        </row>
        <row r="981">
          <cell r="D981" t="str">
            <v>Gerri Witherbed</v>
          </cell>
          <cell r="E981" t="str">
            <v>Account Executive I</v>
          </cell>
        </row>
        <row r="982">
          <cell r="D982" t="str">
            <v>Frankie Witnall</v>
          </cell>
          <cell r="E982" t="str">
            <v>Account Executive III</v>
          </cell>
        </row>
        <row r="983">
          <cell r="D983" t="str">
            <v>Darci Wixey</v>
          </cell>
          <cell r="E983" t="str">
            <v>Account Executive II</v>
          </cell>
        </row>
        <row r="984">
          <cell r="D984" t="str">
            <v>Shea Woodeson</v>
          </cell>
          <cell r="E984" t="str">
            <v>Account Executive II</v>
          </cell>
        </row>
        <row r="985">
          <cell r="D985" t="str">
            <v>Hedwig Wooding</v>
          </cell>
          <cell r="E985" t="str">
            <v>Account Executive II</v>
          </cell>
        </row>
        <row r="986">
          <cell r="D986" t="str">
            <v>Garnette Woodyear</v>
          </cell>
          <cell r="E986" t="str">
            <v>Account Executive I</v>
          </cell>
        </row>
        <row r="987">
          <cell r="D987" t="str">
            <v>Kiel Woolveridge</v>
          </cell>
          <cell r="E987" t="str">
            <v>Account Executive II</v>
          </cell>
        </row>
        <row r="988">
          <cell r="D988" t="str">
            <v>Andris Worboy</v>
          </cell>
          <cell r="E988" t="str">
            <v>Account Executive I</v>
          </cell>
        </row>
        <row r="989">
          <cell r="D989" t="str">
            <v>Thoma Worcester</v>
          </cell>
          <cell r="E989" t="str">
            <v>Account Executive I</v>
          </cell>
        </row>
        <row r="990">
          <cell r="D990" t="str">
            <v>Darryl Worgan</v>
          </cell>
          <cell r="E990" t="str">
            <v>Account Executive II</v>
          </cell>
        </row>
        <row r="991">
          <cell r="D991" t="str">
            <v>Tucker Wurst</v>
          </cell>
          <cell r="E991" t="str">
            <v>Account Executive I</v>
          </cell>
        </row>
        <row r="992">
          <cell r="D992" t="str">
            <v>Austine Wyer</v>
          </cell>
          <cell r="E992" t="str">
            <v>Account Executive II</v>
          </cell>
        </row>
        <row r="993">
          <cell r="D993" t="str">
            <v>Lulita Wyke</v>
          </cell>
          <cell r="E993" t="str">
            <v>Account Executive II</v>
          </cell>
        </row>
        <row r="994">
          <cell r="D994" t="str">
            <v>Moll Wylie</v>
          </cell>
          <cell r="E994" t="str">
            <v>Account Executive III</v>
          </cell>
        </row>
        <row r="995">
          <cell r="D995" t="str">
            <v>Rudolfo Yanyushkin</v>
          </cell>
          <cell r="E995" t="str">
            <v>Account Executive I</v>
          </cell>
        </row>
        <row r="996">
          <cell r="D996" t="str">
            <v>Carlin Yardley</v>
          </cell>
          <cell r="E996" t="str">
            <v>Account Executive III</v>
          </cell>
        </row>
        <row r="997">
          <cell r="D997" t="str">
            <v>Leelah Yarnton</v>
          </cell>
          <cell r="E997" t="str">
            <v>Account Executive II</v>
          </cell>
        </row>
        <row r="998">
          <cell r="D998" t="str">
            <v>Chancey Yarrell</v>
          </cell>
          <cell r="E998" t="str">
            <v>Account Executive II</v>
          </cell>
        </row>
        <row r="999">
          <cell r="D999" t="str">
            <v>Marillin Yerrall</v>
          </cell>
          <cell r="E999" t="str">
            <v>Account Executive III</v>
          </cell>
        </row>
        <row r="1000">
          <cell r="D1000" t="str">
            <v>Rosella Zamora</v>
          </cell>
          <cell r="E1000" t="str">
            <v>Account Executive I</v>
          </cell>
        </row>
        <row r="1001">
          <cell r="D1001" t="str">
            <v>Andria Zimmermanns</v>
          </cell>
          <cell r="E1001" t="str">
            <v>Account Executive III</v>
          </cell>
        </row>
      </sheetData>
      <sheetData sheetId="4"/>
      <sheetData sheetId="5"/>
      <sheetData sheetId="6"/>
      <sheetData sheetId="7">
        <row r="1">
          <cell r="A1" t="str">
            <v xml:space="preserve"> Title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-data-OLD-KEE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o" refreshedDate="43990.579282523147" createdVersion="6" refreshedVersion="6" minRefreshableVersion="3" recordCount="1000" xr:uid="{8B9420C8-6E12-47E3-9165-95F8D043E575}">
  <cacheSource type="worksheet">
    <worksheetSource ref="A1:AB1001" sheet="Calculations" r:id="rId2"/>
  </cacheSource>
  <cacheFields count="28">
    <cacheField name="employee_id" numFmtId="0">
      <sharedItems containsSemiMixedTypes="0" containsString="0" containsNumber="1" containsInteger="1" minValue="17898579" maxValue="9984023702"/>
    </cacheField>
    <cacheField name="first_name" numFmtId="0">
      <sharedItems/>
    </cacheField>
    <cacheField name="last_name" numFmtId="0">
      <sharedItems/>
    </cacheField>
    <cacheField name="full_name" numFmtId="0">
      <sharedItems count="1000">
        <s v="Ave Abbatini"/>
        <s v="Alyse Abrahmer"/>
        <s v="Mada Addie"/>
        <s v="Bobette Advani"/>
        <s v="Westley Affleck"/>
        <s v="Jacklin Agiolfinger"/>
        <s v="Brew Aguirre"/>
        <s v="Alfie Ainsworth"/>
        <s v="Meryl Aitchinson"/>
        <s v="Wash Aizlewood"/>
        <s v="Lin Ajean"/>
        <s v="Webster Akerman"/>
        <s v="Damon Albisser"/>
        <s v="Fulvia Aldie"/>
        <s v="Nikolaus Aldwich"/>
        <s v="Wini Allenson"/>
        <s v="Ollie Allsupp"/>
        <s v="Edith Altree"/>
        <s v="Gothart Alven"/>
        <s v="Marieann Andren"/>
        <s v="Javier Andriolli"/>
        <s v="Ayn Angless"/>
        <s v="Luisa Antic"/>
        <s v="Nial Antonazzi"/>
        <s v="Mildred Antonio"/>
        <s v="Peter Aps"/>
        <s v="Codie Ardy"/>
        <s v="Claudie Armin"/>
        <s v="Caddric Armytage"/>
        <s v="Steward Arnke"/>
        <s v="Ellwood Aronoff"/>
        <s v="Rubina Arp"/>
        <s v="Mariquilla Arsmith"/>
        <s v="Tabina Askell"/>
        <s v="Alex Ateridge"/>
        <s v="Martica Attenbrow"/>
        <s v="Celka Attoc"/>
        <s v="Christina Augar"/>
        <s v="Elva Aumerle"/>
        <s v="Marijn Avison"/>
        <s v="Cobb Avramow"/>
        <s v="Benedetto Aymes"/>
        <s v="Barbi Ayshford"/>
        <s v="Derrik Bacchus"/>
        <s v="Hunt Bachura"/>
        <s v="Chanda Bahls"/>
        <s v="Alexa Balch"/>
        <s v="Pacorro Balden"/>
        <s v="Lesli Baldini"/>
        <s v="Natassia Baldoni"/>
        <s v="Andreana Baly"/>
        <s v="Lorie Bamblett"/>
        <s v="Pamela Banke"/>
        <s v="Sherilyn Barendtsen"/>
        <s v="Berkly Barg"/>
        <s v="Ward Barnett"/>
        <s v="Alene Barneveld"/>
        <s v="Nate Bartaletti"/>
        <s v="Walker Bartels"/>
        <s v="Sena Bartholomieu"/>
        <s v="Thebault Base"/>
        <s v="Gale Batchelder"/>
        <s v="Sarita Batcheldor"/>
        <s v="Tabbatha Battaille"/>
        <s v="Adelice Baudinet"/>
        <s v="Rouvin Bavister"/>
        <s v="Osmond Bayfield"/>
        <s v="Sterling Bebbington"/>
        <s v="Raquel Beelby"/>
        <s v="Kalli Beeze"/>
        <s v="Denney Behr"/>
        <s v="Maury Belshaw"/>
        <s v="Lil Benion"/>
        <s v="Carey Bennellick"/>
        <s v="Chastity Benninger"/>
        <s v="Nickolaus Bernardeau"/>
        <s v="Culley Bernardotti"/>
        <s v="Susi Berndsen"/>
        <s v="Albertine Berntssen"/>
        <s v="Loree Bertelet"/>
        <s v="Eulalie Bianco"/>
        <s v="Gina Biggadyke"/>
        <s v="Rudd Bigland"/>
        <s v="Stephannie Birt"/>
        <s v="Emanuele Blackden"/>
        <s v="Kippy Blaver"/>
        <s v="Vite Blethyn"/>
        <s v="Arlette Blinder"/>
        <s v="Bernelle Blint"/>
        <s v="Leicester Blonden"/>
        <s v="Esdras Blucher"/>
        <s v="Coleman Blunderfield"/>
        <s v="Luise Bodley"/>
        <s v="Cirilo Bolf"/>
        <s v="Hermina Bowditch"/>
        <s v="Gennifer Bowdrey"/>
        <s v="Nathalie Bowerbank"/>
        <s v="Sadella Bowgen"/>
        <s v="Rosalie Brankley"/>
        <s v="Frasquito Breach"/>
        <s v="Tait Brewitt"/>
        <s v="Court Brightwell"/>
        <s v="Tracy Briztman"/>
        <s v="Arty Brobak"/>
        <s v="Melva Brosoli"/>
        <s v="Brooks Brouncker"/>
        <s v="Melloney Brown"/>
        <s v="Lory Brundell"/>
        <s v="Sheilakathryn Buckberry"/>
        <s v="Tallie Buckner"/>
        <s v="Martyn Bunhill"/>
        <s v="Hillel Burdett"/>
        <s v="Darcey Caldaro"/>
        <s v="Gerick Callar"/>
        <s v="Rodina Calloway"/>
        <s v="Elie Cantillion"/>
        <s v="Krishnah Capelle"/>
        <s v="Silvester Capinetti"/>
        <s v="Leone Capstack"/>
        <s v="Norman Carcas"/>
        <s v="Ardine Carloni"/>
        <s v="Kalindi Carmel"/>
        <s v="Tedie Cartmer"/>
        <s v="Valene Carverhill"/>
        <s v="Ddene Castree"/>
        <s v="Jasmine Cathcart"/>
        <s v="Abram Causton"/>
        <s v="Ozzy Cavnor"/>
        <s v="Barbabas Cawt"/>
        <s v="Sidnee Chalkly"/>
        <s v="Arlene Charlin"/>
        <s v="Miguel Chasemore"/>
        <s v="Lavinia Chasier"/>
        <s v="Prentiss Chastaing"/>
        <s v="Burch Chat"/>
        <s v="Inger Chatenet"/>
        <s v="Keven Chatters"/>
        <s v="Donavon Cheer"/>
        <s v="Mattias Cheers"/>
        <s v="Vanni Cheston"/>
        <s v="Zane Cheverton"/>
        <s v="Veronike Chidwick"/>
        <s v="Rafe Chorlton"/>
        <s v="Megan Churchard"/>
        <s v="Loretta Churchward"/>
        <s v="Minetta Claeskens"/>
        <s v="Kristoforo Claremont"/>
        <s v="Carlos Claxson"/>
        <s v="Franni Clemencet"/>
        <s v="Dionis Climie"/>
        <s v="Fancy Clitsome"/>
        <s v="Sebastiano Cloute"/>
        <s v="Ashli Clynter"/>
        <s v="Zack Codlin"/>
        <s v="Pietro Coenraets"/>
        <s v="Gayelord Coffin"/>
        <s v="Curry Coiley"/>
        <s v="Florri Coldbath"/>
        <s v="Titos Collaton"/>
        <s v="Stanislas Colleer"/>
        <s v="Heinrick Conelly"/>
        <s v="Bobine Congrave"/>
        <s v="Loella Connell"/>
        <s v="Diane Corben"/>
        <s v="Gregoire Corington"/>
        <s v="Phillipe Corter"/>
        <s v="Bill Covil"/>
        <s v="Richard Cowdry"/>
        <s v="Judd Cowlard"/>
        <s v="Barbabra Cramond"/>
        <s v="Dennis Cranage"/>
        <s v="Amory Crasswell"/>
        <s v="Carree Crayker"/>
        <s v="Eustacia Creamer"/>
        <s v="Jonah Crighton"/>
        <s v="Toma Crisell"/>
        <s v="Fraze Crisell"/>
        <s v="Brantley Cristofolini"/>
        <s v="Shanta Crooke"/>
        <s v="Darcy Crosier"/>
        <s v="Zita Crossgrove"/>
        <s v="Thalia Crowcher"/>
        <s v="Rubin Crummay"/>
        <s v="Kial Cuchey"/>
        <s v="Tiphani Cuerda"/>
        <s v="Dionis Cumpton"/>
        <s v="Eward Cureton"/>
        <s v="Elisabetta Curzey"/>
        <s v="Daryle Custed"/>
        <s v="Sibbie Cutbush"/>
        <s v="Viv Czajka"/>
        <s v="Shelly Dabs"/>
        <s v="Cyndi D'Agostino"/>
        <s v="Filbert Dahle"/>
        <s v="Janenna Dailey"/>
        <s v="Sandor D'Ambrogi"/>
        <s v="Katrina Danne"/>
        <s v="Weylin Daouze"/>
        <s v="Isadora Davana"/>
        <s v="Orv Davidou"/>
        <s v="Ivor Davidy"/>
        <s v="Ted Davoren"/>
        <s v="Yehudit Dawdary"/>
        <s v="Shani Dawdary"/>
        <s v="Ramsay Dawdry"/>
        <s v="Clyve Dayley"/>
        <s v="Nikolai De Castri"/>
        <s v="Saree de Clercq"/>
        <s v="Caryn De La Coste"/>
        <s v="Queenie De la Harpe"/>
        <s v="Elva Delepine"/>
        <s v="Helen Delwater"/>
        <s v="Bobbi Denis"/>
        <s v="Delphine Denisard"/>
        <s v="Arabel Denison"/>
        <s v="Marty Denson"/>
        <s v="Eryn Derle"/>
        <s v="Jessica Derye-Barrett"/>
        <s v="Cate Devall"/>
        <s v="De Devereux"/>
        <s v="Etan Devericks"/>
        <s v="Golda Devigne"/>
        <s v="Emanuel Devita"/>
        <s v="Saleem Dewdney"/>
        <s v="Gris Dewsnap"/>
        <s v="Corene Diamant"/>
        <s v="Chen Dicker"/>
        <s v="Robbyn Didball"/>
        <s v="Grazia Didball"/>
        <s v="Finn Dixey"/>
        <s v="Neil Doctor"/>
        <s v="Tam Doniso"/>
        <s v="Ellen Dooman"/>
        <s v="Barn Doram"/>
        <s v="Terri Dorn"/>
        <s v="Temple Dorracott"/>
        <s v="Grenville D'Orsay"/>
        <s v="Dewie Dory"/>
        <s v="Georgiana Doul"/>
        <s v="Nil Dowden"/>
        <s v="Margit Dransfield"/>
        <s v="Bennie Drayton"/>
        <s v="Sheffield Drayton"/>
        <s v="Had Drew"/>
        <s v="Wilmette Dronsfield"/>
        <s v="Wallas Druitt"/>
        <s v="Aldin Dryburgh"/>
        <s v="Erin Ducker"/>
        <s v="Beverie Ducket"/>
        <s v="Guilbert Duckett"/>
        <s v="Merissa Duckitt"/>
        <s v="Coralyn Dudney"/>
        <s v="Gonzalo Dudson"/>
        <s v="Alfi Duesberry"/>
        <s v="Sherlock Duffell"/>
        <s v="Jermayne Duffie"/>
        <s v="Christan Dukesbury"/>
        <s v="Matthus Dumphrey"/>
        <s v="Andris Dunbleton"/>
        <s v="Fredi Dunkerly"/>
        <s v="Julianna Dunklee"/>
        <s v="Cory Duplan"/>
        <s v="Lazar Durant"/>
        <s v="Tirrell Durdle"/>
        <s v="Chalmers Durrad"/>
        <s v="Karalee Durrance"/>
        <s v="Orville Dutt"/>
        <s v="Daphna Dyson"/>
        <s v="Tremaine Dyzart"/>
        <s v="Aluino Eble"/>
        <s v="Pietrek Eborn"/>
        <s v="Stinky Eddoes"/>
        <s v="Janeva Edelheid"/>
        <s v="Yves Edelmann"/>
        <s v="Lucita Edington"/>
        <s v="Keefer Edmonson"/>
        <s v="Will Elmhirst"/>
        <s v="Rodie Elsip"/>
        <s v="Leilah Elsy"/>
        <s v="Celine Ennew"/>
        <s v="Iago Epine"/>
        <s v="Hunter Erni"/>
        <s v="Kimmi Erskin"/>
        <s v="Claire Espinos"/>
        <s v="Artie Etheredge"/>
        <s v="Nathaniel Evered"/>
        <s v="Jorie Everex"/>
        <s v="Dexter Ewington"/>
        <s v="Saree Exrol"/>
        <s v="Ranice Exton"/>
        <s v="Nichols Exton"/>
        <s v="Donelle Eyckelbeck"/>
        <s v="Eal Ezzle"/>
        <s v="Rickert Fairley"/>
        <s v="Phil Falconar"/>
        <s v="Arline Fallowes"/>
        <s v="Sutherland Fantin"/>
        <s v="Giles Fardy"/>
        <s v="Lucina Farndon"/>
        <s v="Tessie Farre"/>
        <s v="Caro Farrington"/>
        <s v="Sadella Fateley"/>
        <s v="Loleta Faull"/>
        <s v="Chantalle Fedynski"/>
        <s v="Carmen Ferrick"/>
        <s v="Norris Ferrillio"/>
        <s v="Bride Fidelli"/>
        <s v="Myriam Filby"/>
        <s v="Ferdinand Filippucci"/>
        <s v="Rodrique Filon"/>
        <s v="Costa Fincke"/>
        <s v="Bernardina Fisbey"/>
        <s v="Carmela Fliege"/>
        <s v="Tamqrah Flowerden"/>
        <s v="Blanche Folliott"/>
        <s v="Elfrida Fone"/>
        <s v="Erika Forsaith"/>
        <s v="Alyssa Forsyth"/>
        <s v="May Fortesquieu"/>
        <s v="Lucila Fosh"/>
        <s v="Danit Fosserd"/>
        <s v="Lotty Foxall"/>
        <s v="Horatio Franchyonok"/>
        <s v="Annis Francomb"/>
        <s v="Cyndia Fratson"/>
        <s v="Gradey Frazier"/>
        <s v="Arleen Freezor"/>
        <s v="Arvin Friar"/>
        <s v="Rodd Froggatt"/>
        <s v="Taite Fulk"/>
        <s v="Delia Fylan"/>
        <s v="Rani Gaffney"/>
        <s v="Ferrel Gainforth"/>
        <s v="Rochella Galland"/>
        <s v="Junina Galland"/>
        <s v="Packston Gamlin"/>
        <s v="Glynis Garaghan"/>
        <s v="Leighton Garbar"/>
        <s v="Emanuele Garfitt"/>
        <s v="Hillyer Garrique"/>
        <s v="Klement Garrison"/>
        <s v="Katlin Garthland"/>
        <s v="Simone Garz"/>
        <s v="Gennifer Gaythwaite"/>
        <s v="Ranice Gaytor"/>
        <s v="Duane Geoghegan"/>
        <s v="Bartlet Gerardeaux"/>
        <s v="Dionisio Gethyn"/>
        <s v="Dorothea Gheeraert"/>
        <s v="Cymbre Giampietro"/>
        <s v="Gayelord Gianelli"/>
        <s v="Fredelia Gianetti"/>
        <s v="Elmore Gianullo"/>
        <s v="Glenn Gillespie"/>
        <s v="Glennie Giorgio"/>
        <s v="Row Giottini"/>
        <s v="Nial Giovanazzi"/>
        <s v="Meredith Giraudot"/>
        <s v="Clem Girth"/>
        <s v="Arlin Glacken"/>
        <s v="Genni Glader"/>
        <s v="Jolee Gladyer"/>
        <s v="Izzy Glennon"/>
        <s v="Caroline Glidden"/>
        <s v="Sunny Glyne"/>
        <s v="Demetri Goatman"/>
        <s v="Bea Gofton"/>
        <s v="Orland Gommery"/>
        <s v="Nolie Gonnin"/>
        <s v="Ivan Gonzalo"/>
        <s v="Salli Gooda"/>
        <s v="Cordelia Goodered"/>
        <s v="Pablo Goodhand"/>
        <s v="Jonathon Goodrum"/>
        <s v="Darnall Goodship"/>
        <s v="Jaquenetta Gorelli"/>
        <s v="Murdock Gorton"/>
        <s v="Verine Gouldstone"/>
        <s v="Elbertina Gounet"/>
        <s v="Antonina Grammer"/>
        <s v="Nicola Granleese"/>
        <s v="Brandi Gratton"/>
        <s v="Andros Graveson"/>
        <s v="Peggie Grayland"/>
        <s v="Geoff Greenmon"/>
        <s v="Phillipe Greenroyd"/>
        <s v="Shayne Greensall"/>
        <s v="Meg Greensides"/>
        <s v="Stephan Greeve"/>
        <s v="Kaitlin Greeveson"/>
        <s v="Trevor Greschik"/>
        <s v="Madeline Grief"/>
        <s v="Becki Grigorini"/>
        <s v="Evania Grime"/>
        <s v="Duffy Grimsdyke"/>
        <s v="Lionello Grogono"/>
        <s v="Cherye Grunbaum"/>
        <s v="Crystie Guerrazzi"/>
        <s v="Roger Guiet"/>
        <s v="Lorianne Guillem"/>
        <s v="Lowe Guiness"/>
        <s v="Kristal Guitonneau"/>
        <s v="Reginauld Gurner"/>
        <s v="Cristiano Gyurko"/>
        <s v="Lenette Gyves"/>
        <s v="Michale Hackley"/>
        <s v="Tani Haddock"/>
        <s v="Hanson Hadigate"/>
        <s v="Kristy Hadland"/>
        <s v="Kyle Hadlow"/>
        <s v="Rory Hadwick"/>
        <s v="Matthias Haestier"/>
        <s v="Ingar Halpine"/>
        <s v="Maximilianus Hamlington"/>
        <s v="Monique Hammelberg"/>
        <s v="Elva Hamsher"/>
        <s v="Bernhard Hannan"/>
        <s v="Rossie Harget"/>
        <s v="Leola Harhoff"/>
        <s v="Clemmie Harrap"/>
        <s v="Delmore Harrild"/>
        <s v="Melisse Hartill"/>
        <s v="Brewer Hartright"/>
        <s v="Idell Haskew"/>
        <s v="Kelsey Hassur"/>
        <s v="Thatcher Haug"/>
        <s v="Basilius Hawlgarth"/>
        <s v="Baird Hayhow"/>
        <s v="Faustine Hayward"/>
        <s v="Demetris Hazlegrove"/>
        <s v="Kalindi Hedin"/>
        <s v="Kitti Hedworth"/>
        <s v="Skell Heijne"/>
        <s v="Tori Helis"/>
        <s v="Clarke Hemphall"/>
        <s v="Orel Henrie"/>
        <s v="Terry Hess"/>
        <s v="Renaud Highwood"/>
        <s v="Reeta Hildred"/>
        <s v="Trisha Hinchshaw"/>
        <s v="Darsey Hooban"/>
        <s v="Abram Hopfer"/>
        <s v="Mellicent Hopkyns"/>
        <s v="Antonella Horrod"/>
        <s v="Letti Howarth"/>
        <s v="Timmie Howis"/>
        <s v="Carri Howis"/>
        <s v="Teresina Howling"/>
        <s v="Saunders Hubery"/>
        <s v="Dex Hughill"/>
        <s v="Pippo Huish"/>
        <s v="Rowen Hullbrook"/>
        <s v="Wendel Hulmes"/>
        <s v="Fabe Hutchinges"/>
        <s v="Hillel Hutley"/>
        <s v="Mavis Huyge"/>
        <s v="Ranique Hyatt"/>
        <s v="Darcie Hylands"/>
        <s v="Konstance Iacovelli"/>
        <s v="Ddene Iddiens"/>
        <s v="Elena Ilyukhov"/>
        <s v="Kara-lynn Ingarfill"/>
        <s v="Yolanthe Ingrey"/>
        <s v="Mendel Iscowitz"/>
        <s v="Danny Itscovitz"/>
        <s v="Sergio Itzakovitz"/>
        <s v="Emmie Ivamy"/>
        <s v="Ali Izaks"/>
        <s v="Fifine Jakeman"/>
        <s v="Raviv Jandel"/>
        <s v="Logan Jansky"/>
        <s v="Deloria Jardine"/>
        <s v="Constancia Jenne"/>
        <s v="Catherine Jerams"/>
        <s v="Birdie Jesper"/>
        <s v="Inger Jime"/>
        <s v="Rosaline Joanic"/>
        <s v="Vickie Jocic"/>
        <s v="Murielle Jorez"/>
        <s v="Barnabas Jozefczak"/>
        <s v="Reagan Jubert"/>
        <s v="Willem Juschke"/>
        <s v="Phillip Kann"/>
        <s v="Pepillo Keaysell"/>
        <s v="Kean Keelinge"/>
        <s v="Alaster Kencott"/>
        <s v="Rosina Kener"/>
        <s v="Freeland Kennerley"/>
        <s v="Elizabet Kentish"/>
        <s v="Rosie Kenzie"/>
        <s v="Erny Kesteven"/>
        <s v="Daile Kettel"/>
        <s v="Morty Kettlestringes"/>
        <s v="Ellen Kevis"/>
        <s v="Moses Keymar"/>
        <s v="Elwyn Keyzman"/>
        <s v="Filmore Kinvig"/>
        <s v="Mallory Kiss"/>
        <s v="Ethyl Klaff"/>
        <s v="Ivett Klass"/>
        <s v="Devland Kohter"/>
        <s v="Adena Kop"/>
        <s v="Tim Koschek"/>
        <s v="Maynard Krebs"/>
        <s v="Orelle Krink"/>
        <s v="Belita Kroll"/>
        <s v="Keenan Kruszelnicki"/>
        <s v="Bess Kubelka"/>
        <s v="Reg Kubista"/>
        <s v="Osbourne Kuhnke"/>
        <s v="Ezequiel Kull"/>
        <s v="Talbot Kynett"/>
        <s v="Gill Labrum"/>
        <s v="Trescha Labusquiere"/>
        <s v="Arden Lackner"/>
        <s v="Fraze Laing"/>
        <s v="Gizela Lalley"/>
        <s v="Hew Lamborne"/>
        <s v="Garey Lambregts"/>
        <s v="Pierre Lambshine"/>
        <s v="Darin Landal"/>
        <s v="Winfield Lansdowne"/>
        <s v="Tedmund Lardeux"/>
        <s v="Zachariah Lared"/>
        <s v="Merell Larose"/>
        <s v="Kiley Lartice"/>
        <s v="Derk Latham"/>
        <s v="Brandtr Lathwood"/>
        <s v="Trumaine Laundon"/>
        <s v="Jo ann Laurand"/>
        <s v="Constantin Laurisch"/>
        <s v="Keelby Lawie"/>
        <s v="Maryjo Laxe"/>
        <s v="Augustine Layne"/>
        <s v="Devland Le Prevost"/>
        <s v="Garner Leatherbarrow"/>
        <s v="Eugene Lebourn"/>
        <s v="Nicko Ledington"/>
        <s v="Deena Leeming"/>
        <s v="Hymie LeEstut"/>
        <s v="Bernard Lefeuvre"/>
        <s v="Benedikt Leisk"/>
        <s v="Rafe Leman"/>
        <s v="Elroy Lenaghen"/>
        <s v="Tammy Lenden"/>
        <s v="Abra Lenney"/>
        <s v="Vale Lesek"/>
        <s v="Lesley Letford"/>
        <s v="Currie Lethbury"/>
        <s v="Scot Lethem"/>
        <s v="Friederike Leve"/>
        <s v="Merilee Leverich"/>
        <s v="Granger Lewin"/>
        <s v="Zebedee Lewzey"/>
        <s v="Doralynne Lexa"/>
        <s v="Dion Liccardi"/>
        <s v="Doria Lidgertwood"/>
        <s v="Vincenz Lillford"/>
        <s v="Trude Lindenbluth"/>
        <s v="Marjory Lindman"/>
        <s v="Pansie Lingley"/>
        <s v="Marleah Lingner"/>
        <s v="Jaimie Lisimore"/>
        <s v="Cecilia Livingstone"/>
        <s v="Kristien Llewelly"/>
        <s v="Jonah Lobb"/>
        <s v="Barbara Locker"/>
        <s v="Prentiss Lockery"/>
        <s v="Amalle Lodo"/>
        <s v="Emmerich Longmuir"/>
        <s v="Robinia Losseljong"/>
        <s v="Joletta Lounds"/>
        <s v="Jacky Lovat"/>
        <s v="Cairistiona Lyver"/>
        <s v="Leyla MacAree"/>
        <s v="Kean MacCrann"/>
        <s v="Boycey MacDermott"/>
        <s v="Camila MacGillespie"/>
        <s v="Sophie MacLoughlin"/>
        <s v="Karney MacMillan"/>
        <s v="Beatrice MacRorie"/>
        <s v="Rutter Maddams"/>
        <s v="Minetta Maden"/>
        <s v="Kimberlyn Maffia"/>
        <s v="Vail Mailey"/>
        <s v="Franny Malarkey"/>
        <s v="Ward Mance"/>
        <s v="Colette Mangon"/>
        <s v="Xylia Manshaw"/>
        <s v="Chas Manthorpe"/>
        <s v="Jesus Mantle"/>
        <s v="Quintin Marc"/>
        <s v="Kendra March"/>
        <s v="Laird Margiotta"/>
        <s v="Marie-jeanne Marrow"/>
        <s v="Brendis Marsie"/>
        <s v="Boycie Marten"/>
        <s v="Elisabetta Martinec"/>
        <s v="Jess Martini"/>
        <s v="Nickolai Martins"/>
        <s v="Mab Marxsen"/>
        <s v="Hamlin Matchitt"/>
        <s v="Nicolette Matityahu"/>
        <s v="Odell Matterdace"/>
        <s v="Barbi Matysiak"/>
        <s v="Carce Maund"/>
        <s v="Barnabe McCaighey"/>
        <s v="Nisse McCauley"/>
        <s v="Chev McConnal"/>
        <s v="Heddi McCurley"/>
        <s v="Kathrine McDougald"/>
        <s v="Massimo McDougle"/>
        <s v="Amandie McDyer"/>
        <s v="Barth McGifford"/>
        <s v="Veriee McGillacoell"/>
        <s v="Sayer McGonagle"/>
        <s v="Arabella McGriffin"/>
        <s v="Henka McInulty"/>
        <s v="Massimiliano McIver"/>
        <s v="Sanders McKinstry"/>
        <s v="Daniela McMichael"/>
        <s v="Alric McNaught"/>
        <s v="Anthe McNish"/>
        <s v="Jammal McPhee"/>
        <s v="Helyn McQuaker"/>
        <s v="Troy McQuarrie"/>
        <s v="Gabriela McVicker"/>
        <s v="Ulrike Meagher"/>
        <s v="Rance Medwell"/>
        <s v="Harlan Mein"/>
        <s v="Felita Melpuss"/>
        <s v="Raff Menichini"/>
        <s v="Joye Mepham"/>
        <s v="Greer Mercey"/>
        <s v="Elfrieda Merington"/>
        <s v="Cecilius Messam"/>
        <s v="Damaris Metson"/>
        <s v="Laurice Miall"/>
        <s v="Chloette Millard"/>
        <s v="Shayne Millin"/>
        <s v="Rodina Minchin"/>
        <s v="Lawrence Minchindon"/>
        <s v="Carleen Mingus"/>
        <s v="Nicki Minnock"/>
        <s v="Kyle Molan"/>
        <s v="Shaine Monsey"/>
        <s v="Alberto Morgan"/>
        <s v="Tab Morter"/>
        <s v="Hugo Mowbray"/>
        <s v="Gar Mueller"/>
        <s v="Tuckie Mullenger"/>
        <s v="Hobie Munnis"/>
        <s v="Estele Murcott"/>
        <s v="Titus Murray"/>
        <s v="Amalea Murty"/>
        <s v="Read Muxworthy"/>
        <s v="Corrie Naldrett"/>
        <s v="Vladimir Nassy"/>
        <s v="Beitris Naulty"/>
        <s v="Rafaela Neagle"/>
        <s v="Lark Nelmes"/>
        <s v="Travers Nequest"/>
        <s v="Izak Newbigging"/>
        <s v="Moishe Nicely"/>
        <s v="Carley Niemetz"/>
        <s v="Nealson Niezen"/>
        <s v="Petronille Niles"/>
        <s v="Baudoin Normanville"/>
        <s v="Granger Norsworthy"/>
        <s v="Terri Novic"/>
        <s v="Bernice Nucci"/>
        <s v="Georgiana Nutten"/>
        <s v="Deloris Nuzzti"/>
        <s v="Hoyt O' Loughran"/>
        <s v="Joane O' Mulderrig"/>
        <s v="Petronella O' Ronan"/>
        <s v="Cassaundra Offield"/>
        <s v="Jermayne O'Grady"/>
        <s v="Skipper Ohm"/>
        <s v="Farand Okie"/>
        <s v="Bear Olczyk"/>
        <s v="Malachi Oldknow"/>
        <s v="Glenn O'Murtagh"/>
        <s v="Colline Openshaw"/>
        <s v="Manya Orbell"/>
        <s v="Barr Orring"/>
        <s v="Broderic Osbourne"/>
        <s v="Brice O'Sheeryne"/>
        <s v="Elsey O'Shevlin"/>
        <s v="Bonny Oxteby"/>
        <s v="Craggie Paradin"/>
        <s v="Anselma Paradise"/>
        <s v="Zebadiah Parham"/>
        <s v="Luisa Parradice"/>
        <s v="Jourdain Patience"/>
        <s v="Noami Pauletti"/>
        <s v="Kathe Pauly"/>
        <s v="Wenona Pawlik"/>
        <s v="Maighdiln Payfoot"/>
        <s v="Jessie Peabody"/>
        <s v="Winston Pech"/>
        <s v="Fidelia Pedrocco"/>
        <s v="Lindy Pember"/>
        <s v="Obadias Penelli"/>
        <s v="Cindy Pentecost"/>
        <s v="Josiah Pepi"/>
        <s v="Jethro Percifer"/>
        <s v="Kevon Perl"/>
        <s v="Neil Perritt"/>
        <s v="Stanislas Pessolt"/>
        <s v="Chuck Petkov"/>
        <s v="Elroy Petrasso"/>
        <s v="Archy Petri"/>
        <s v="Agretha Pevreal"/>
        <s v="Tracey Phelip"/>
        <s v="Horst Phelips"/>
        <s v="Orelia Philipson"/>
        <s v="Vivian Philson"/>
        <s v="Arvy Phittiplace"/>
        <s v="Somerset Phlippsen"/>
        <s v="Denny Pickard"/>
        <s v="Aurelie Pickaver"/>
        <s v="Arleyne Piens"/>
        <s v="Amberly Pillman"/>
        <s v="Vally Pinel"/>
        <s v="Zonda Pipes"/>
        <s v="Rainer Pirdy"/>
        <s v="Barbra Pistol"/>
        <s v="Hedwiga Plail"/>
        <s v="Nikolaus Plampeyn"/>
        <s v="Arther Plant"/>
        <s v="Durant Poag"/>
        <s v="Marvin Pochin"/>
        <s v="Jana Polding"/>
        <s v="Merrel Pomphrey"/>
        <s v="Antons Porkiss"/>
        <s v="Teriann Portress"/>
        <s v="See Postin"/>
        <s v="Barde Pound"/>
        <s v="Shawna Powland"/>
        <s v="Nelly Prando"/>
        <s v="Brien Prate"/>
        <s v="Donnell Preon"/>
        <s v="Ike Pretorius"/>
        <s v="Mirabel Prigmore"/>
        <s v="Pavlov Pucknell"/>
        <s v="Olenka Puddicombe"/>
        <s v="Nanine Pummell"/>
        <s v="Myrilla Purvey"/>
        <s v="Alleen Pymar"/>
        <s v="Carmelia Quainton"/>
        <s v="Nobie Queripel"/>
        <s v="Maure Quinane"/>
        <s v="Sibby Rastrick"/>
        <s v="Maryrose Ravenshaw"/>
        <s v="Micah Rawdales"/>
        <s v="Drake Rawlison"/>
        <s v="Chaddie Record"/>
        <s v="Garrot Redrup"/>
        <s v="Jamil Regnard"/>
        <s v="Jae Reihm"/>
        <s v="Berk Remnant"/>
        <s v="Ophelia Renak"/>
        <s v="Mallissa Renak"/>
        <s v="Wheeler Renoden"/>
        <s v="Beaufort Rentcome"/>
        <s v="Ellery Renzini"/>
        <s v="Fianna Restorick"/>
        <s v="Amalle Reymers"/>
        <s v="Marlon Rhodus"/>
        <s v="Bil Riatt"/>
        <s v="Kippar Ricardin"/>
        <s v="Mercy Richemont"/>
        <s v="May Richings"/>
        <s v="Evvy Riedel"/>
        <s v="Engracia Rigolle"/>
        <s v="Wallas Riolfi"/>
        <s v="Dyane Rival"/>
        <s v="Orion Robak"/>
        <s v="Juditha Robe"/>
        <s v="Gaelan Robrow"/>
        <s v="Doralia Robshaw"/>
        <s v="Tiebout Roby"/>
        <s v="Emelyne Rochford"/>
        <s v="Ernesta Rodd"/>
        <s v="Ahmed Roizn"/>
        <s v="Arel Rolland"/>
        <s v="Cassius Roseaman"/>
        <s v="Wait Rosenbaum"/>
        <s v="Salomi Rosenhaus"/>
        <s v="Trey Rosenthal"/>
        <s v="Consolata Rosier"/>
        <s v="Krisha Rotherham"/>
        <s v="Rodrigo Rourke"/>
        <s v="Giordano Rubie"/>
        <s v="Jayson Rugg"/>
        <s v="Artair Runcie"/>
        <s v="Nikolos Ruppeli"/>
        <s v="Mathew Russ"/>
        <s v="Jermain Ruthven"/>
        <s v="Andres Sackett"/>
        <s v="Denni Sadd"/>
        <s v="Josiah Saer"/>
        <s v="Jo Saffen"/>
        <s v="Meredith Samudio"/>
        <s v="Elsey Sanchez"/>
        <s v="Avivah Sante"/>
        <s v="Nikolos Santino"/>
        <s v="Richmound Satyford"/>
        <s v="Patin Scardifield"/>
        <s v="Loralyn Scarffe"/>
        <s v="Emilio Schimke"/>
        <s v="Shelley Schuh"/>
        <s v="Myles Scoggans"/>
        <s v="Kev Scogin"/>
        <s v="Ediva Screase"/>
        <s v="Netti Scullion"/>
        <s v="Madella Seabert"/>
        <s v="Isiahi Sealand"/>
        <s v="Standford Searight"/>
        <s v="Bjorn Seedman"/>
        <s v="Cristina Seegar"/>
        <s v="Norbert Segges"/>
        <s v="Juliet Semered"/>
        <s v="Bianka Sertin"/>
        <s v="Aura Server"/>
        <s v="Georgie Seyler"/>
        <s v="Amalee Shaddock"/>
        <s v="Anabel Shall"/>
        <s v="Pren Shanahan"/>
        <s v="Melina Shapter"/>
        <s v="Basilio Shattock"/>
        <s v="Aviva Shayes"/>
        <s v="Millie Shayler"/>
        <s v="Katya Sheaf"/>
        <s v="Jessica Sheather"/>
        <s v="Aluino Sheerin"/>
        <s v="Elaina Shelmardine"/>
        <s v="Titos Shelmardine"/>
        <s v="Phillipe Shildrake"/>
        <s v="Newton Shillabear"/>
        <s v="Chan Shillabeare"/>
        <s v="Bengt Shillum"/>
        <s v="Gaby Shilston"/>
        <s v="Eddy Shilston"/>
        <s v="Latrina Shropsheir"/>
        <s v="Maddalena Shurrock"/>
        <s v="Rasla Shutte"/>
        <s v="Billye Shwalbe"/>
        <s v="Paulo Sibbert"/>
        <s v="Winfred Siggee"/>
        <s v="Denys Siggers"/>
        <s v="Myrtie Silversmid"/>
        <s v="Lianne Simeoni"/>
        <s v="Jamie Simmings"/>
        <s v="Desmond Simmins"/>
        <s v="Dyanne Simper"/>
        <s v="Welbie Siveyer"/>
        <s v="Marysa Skalls"/>
        <s v="Zebulen Skeemor"/>
        <s v="Scot Skoughman"/>
        <s v="Rolph Slatcher"/>
        <s v="Jone Sleep"/>
        <s v="Cull Slott"/>
        <s v="Hynda Smee"/>
        <s v="Rufe Smerdon"/>
        <s v="Foster Smith"/>
        <s v="Mauricio Smooth"/>
        <s v="Esra Snibson"/>
        <s v="Danny Snoddin"/>
        <s v="Ashley Somerton"/>
        <s v="Conny Sommerly"/>
        <s v="Carmelle Sothcott"/>
        <s v="Sherwynd Southerell"/>
        <s v="Shaylynn Southern"/>
        <s v="Merrill Speakman"/>
        <s v="Robinette Speller"/>
        <s v="Monty Spellward"/>
        <s v="Ransell Spira"/>
        <s v="Christye Spraging"/>
        <s v="Shanan St Clair"/>
        <s v="Xymenes Stallard"/>
        <s v="Tobe Standen"/>
        <s v="Derry Staniforth"/>
        <s v="Filip Stellman"/>
        <s v="Agace Sterry"/>
        <s v="Sibeal Stirman"/>
        <s v="Bridgette Stivers"/>
        <s v="Lyle Stoyles"/>
        <s v="Horton Stretton"/>
        <s v="Reggie Striker"/>
        <s v="Huey Strognell"/>
        <s v="Giorgio Suett"/>
        <s v="Aubrey Suthren"/>
        <s v="Zaneta Swaddle"/>
        <s v="Jami Swinbourne"/>
        <s v="Obadiah Swinnard"/>
        <s v="Leticia Szymanzyk"/>
        <s v="Yuri Tampin"/>
        <s v="Lammond Tangye"/>
        <s v="Otha Tappor"/>
        <s v="Della Tapson"/>
        <s v="Lefty Tatteshall"/>
        <s v="Wendel Taudevin"/>
        <s v="Laural Teasey"/>
        <s v="Pet Tellenbrook"/>
        <s v="Cletis Temlett"/>
        <s v="Lotta Thoresbie"/>
        <s v="Chan Thorwarth"/>
        <s v="Garey Thow"/>
        <s v="Abdul Thunnerclef"/>
        <s v="Mil Tichelaar"/>
        <s v="Christabella Timblett"/>
        <s v="Meara Timmis"/>
        <s v="Darwin Tinsley"/>
        <s v="Erroll Tirkin"/>
        <s v="Kit Tivolier"/>
        <s v="Giffer Toke"/>
        <s v="Vania Tolefree"/>
        <s v="Bryn Tomas"/>
        <s v="Brade Torn"/>
        <s v="Ruthi Torrance"/>
        <s v="Brewer Torres"/>
        <s v="Baxter Toulamain"/>
        <s v="Lyn Trewett"/>
        <s v="Sharline Tribbeck"/>
        <s v="Norina Truckett"/>
        <s v="Godard Truett"/>
        <s v="Malissia Try"/>
        <s v="Bertie Turpey"/>
        <s v="Valencia Ubsdale"/>
        <s v="Adolf Underhill"/>
        <s v="Auguste Uren"/>
        <s v="Merrile Urrey"/>
        <s v="Carmelle Utridge"/>
        <s v="Herrick Utterson"/>
        <s v="Waldemar Vaggers"/>
        <s v="Farris Valance"/>
        <s v="Isidoro Vamplers"/>
        <s v="Eddy Van Arsdale"/>
        <s v="Vladamir Van Castele"/>
        <s v="Noelyn Vankin"/>
        <s v="Lynea Vanyukhin"/>
        <s v="Fredek Vaskin"/>
        <s v="Jethro Vedishchev"/>
        <s v="Van Vedmore"/>
        <s v="Jacinthe Vel"/>
        <s v="Aristotle Vibert"/>
        <s v="Beverlie Viccary"/>
        <s v="Jenda Villaron"/>
        <s v="Stephen Vince"/>
        <s v="Carlin Vivash"/>
        <s v="Cami Wagstaffe"/>
        <s v="Anette Waldock"/>
        <s v="Gennifer Waple"/>
        <s v="Jessa Wasbrough"/>
        <s v="Beatrice Watkin"/>
        <s v="Lancelot Watmough"/>
        <s v="Adaline Waud"/>
        <s v="Kevin Wayvill"/>
        <s v="Deirdre Wem"/>
        <s v="Andre Wemyss"/>
        <s v="Karlie Wennington"/>
        <s v="Olivero Wessel"/>
        <s v="Hillary Westphalen"/>
        <s v="Denney Whetland"/>
        <s v="Hildagard White"/>
        <s v="Licha Whitemarsh"/>
        <s v="Misty Whitrod"/>
        <s v="Lucky Whittlesey"/>
        <s v="Martica Whyler"/>
        <s v="Adolpho Wickersham"/>
        <s v="Deny Wiffler"/>
        <s v="Norman Wilden"/>
        <s v="Erma Wilder"/>
        <s v="Donovan Willingham"/>
        <s v="Ariadne Willshire"/>
        <s v="Umeko Wilshaw"/>
        <s v="Charlotta Wines"/>
        <s v="Gerri Witherbed"/>
        <s v="Frankie Witnall"/>
        <s v="Darci Wixey"/>
        <s v="Shea Woodeson"/>
        <s v="Hedwig Wooding"/>
        <s v="Garnette Woodyear"/>
        <s v="Kiel Woolveridge"/>
        <s v="Andris Worboy"/>
        <s v="Thoma Worcester"/>
        <s v="Darryl Worgan"/>
        <s v="Tucker Wurst"/>
        <s v="Austine Wyer"/>
        <s v="Lulita Wyke"/>
        <s v="Moll Wylie"/>
        <s v="Rudolfo Yanyushkin"/>
        <s v="Carlin Yardley"/>
        <s v="Leelah Yarnton"/>
        <s v="Chancey Yarrell"/>
        <s v="Marillin Yerrall"/>
        <s v="Rosella Zamora"/>
        <s v="Andria Zimmermanns"/>
      </sharedItems>
    </cacheField>
    <cacheField name="job_title" numFmtId="0">
      <sharedItems count="3">
        <s v="Account Executive I"/>
        <s v="Account Executive II"/>
        <s v="Account Executive III"/>
      </sharedItems>
    </cacheField>
    <cacheField name="base" numFmtId="164">
      <sharedItems containsSemiMixedTypes="0" containsString="0" containsNumber="1" containsInteger="1" minValue="30113" maxValue="124928"/>
    </cacheField>
    <cacheField name="number_of_accounts" numFmtId="0">
      <sharedItems containsSemiMixedTypes="0" containsString="0" containsNumber="1" containsInteger="1" minValue="7" maxValue="35"/>
    </cacheField>
    <cacheField name="revenue" numFmtId="164">
      <sharedItems containsSemiMixedTypes="0" containsString="0" containsNumber="1" containsInteger="1" minValue="219869" maxValue="1369014" count="1000">
        <n v="792386"/>
        <n v="891412"/>
        <n v="831136"/>
        <n v="919261"/>
        <n v="714034"/>
        <n v="751367"/>
        <n v="820679"/>
        <n v="516813"/>
        <n v="471986"/>
        <n v="645183"/>
        <n v="693280"/>
        <n v="601807"/>
        <n v="563960"/>
        <n v="909707"/>
        <n v="710072"/>
        <n v="639491"/>
        <n v="780733"/>
        <n v="662428"/>
        <n v="757866"/>
        <n v="688820"/>
        <n v="633741"/>
        <n v="520983"/>
        <n v="430513"/>
        <n v="921122"/>
        <n v="635587"/>
        <n v="711184"/>
        <n v="546387"/>
        <n v="416927"/>
        <n v="714914"/>
        <n v="637396"/>
        <n v="624821"/>
        <n v="771161"/>
        <n v="1078035"/>
        <n v="512176"/>
        <n v="656054"/>
        <n v="559337"/>
        <n v="700449"/>
        <n v="597842"/>
        <n v="558872"/>
        <n v="976276"/>
        <n v="621994"/>
        <n v="724029"/>
        <n v="869554"/>
        <n v="749434"/>
        <n v="621858"/>
        <n v="397145"/>
        <n v="825594"/>
        <n v="596790"/>
        <n v="493637"/>
        <n v="816810"/>
        <n v="753098"/>
        <n v="617946"/>
        <n v="699755"/>
        <n v="374529"/>
        <n v="594518"/>
        <n v="575085"/>
        <n v="959690"/>
        <n v="985355"/>
        <n v="515945"/>
        <n v="500816"/>
        <n v="691543"/>
        <n v="433083"/>
        <n v="789211"/>
        <n v="722942"/>
        <n v="770020"/>
        <n v="596808"/>
        <n v="876505"/>
        <n v="708390"/>
        <n v="777563"/>
        <n v="462920"/>
        <n v="450892"/>
        <n v="1023789"/>
        <n v="818109"/>
        <n v="760918"/>
        <n v="624674"/>
        <n v="414266"/>
        <n v="1006770"/>
        <n v="801961"/>
        <n v="668998"/>
        <n v="1001970"/>
        <n v="456453"/>
        <n v="534301"/>
        <n v="751155"/>
        <n v="806073"/>
        <n v="589906"/>
        <n v="501329"/>
        <n v="475694"/>
        <n v="540083"/>
        <n v="412896"/>
        <n v="552282"/>
        <n v="747967"/>
        <n v="540953"/>
        <n v="219869"/>
        <n v="495757"/>
        <n v="573607"/>
        <n v="550691"/>
        <n v="1230202"/>
        <n v="930106"/>
        <n v="629139"/>
        <n v="609653"/>
        <n v="788532"/>
        <n v="661373"/>
        <n v="631287"/>
        <n v="342782"/>
        <n v="634351"/>
        <n v="664319"/>
        <n v="861253"/>
        <n v="493164"/>
        <n v="474301"/>
        <n v="764254"/>
        <n v="516004"/>
        <n v="334109"/>
        <n v="592368"/>
        <n v="458353"/>
        <n v="616122"/>
        <n v="850684"/>
        <n v="668595"/>
        <n v="1039232"/>
        <n v="301335"/>
        <n v="681211"/>
        <n v="826675"/>
        <n v="747840"/>
        <n v="704699"/>
        <n v="686292"/>
        <n v="478308"/>
        <n v="633620"/>
        <n v="691255"/>
        <n v="610839"/>
        <n v="607881"/>
        <n v="683280"/>
        <n v="632643"/>
        <n v="585898"/>
        <n v="721356"/>
        <n v="642284"/>
        <n v="677142"/>
        <n v="851032"/>
        <n v="554263"/>
        <n v="825058"/>
        <n v="1100641"/>
        <n v="795625"/>
        <n v="471697"/>
        <n v="614133"/>
        <n v="476791"/>
        <n v="737282"/>
        <n v="640512"/>
        <n v="531435"/>
        <n v="970661"/>
        <n v="549442"/>
        <n v="588509"/>
        <n v="671623"/>
        <n v="894395"/>
        <n v="503861"/>
        <n v="723173"/>
        <n v="823572"/>
        <n v="819368"/>
        <n v="739687"/>
        <n v="739115"/>
        <n v="833615"/>
        <n v="517010"/>
        <n v="551017"/>
        <n v="685881"/>
        <n v="742017"/>
        <n v="827946"/>
        <n v="827180"/>
        <n v="852493"/>
        <n v="699440"/>
        <n v="724529"/>
        <n v="848509"/>
        <n v="831331"/>
        <n v="518120"/>
        <n v="521382"/>
        <n v="742123"/>
        <n v="772208"/>
        <n v="479942"/>
        <n v="599656"/>
        <n v="693757"/>
        <n v="876577"/>
        <n v="472412"/>
        <n v="635919"/>
        <n v="721111"/>
        <n v="577152"/>
        <n v="526014"/>
        <n v="664872"/>
        <n v="783210"/>
        <n v="503681"/>
        <n v="680870"/>
        <n v="830970"/>
        <n v="831538"/>
        <n v="719283"/>
        <n v="885458"/>
        <n v="756417"/>
        <n v="963557"/>
        <n v="982174"/>
        <n v="921203"/>
        <n v="729594"/>
        <n v="760710"/>
        <n v="711786"/>
        <n v="432502"/>
        <n v="664135"/>
        <n v="656820"/>
        <n v="403196"/>
        <n v="445363"/>
        <n v="584140"/>
        <n v="682856"/>
        <n v="795363"/>
        <n v="793429"/>
        <n v="601444"/>
        <n v="745490"/>
        <n v="924749"/>
        <n v="834584"/>
        <n v="573666"/>
        <n v="638646"/>
        <n v="593443"/>
        <n v="497009"/>
        <n v="573420"/>
        <n v="637475"/>
        <n v="704698"/>
        <n v="593010"/>
        <n v="908049"/>
        <n v="854322"/>
        <n v="621576"/>
        <n v="610321"/>
        <n v="698195"/>
        <n v="601920"/>
        <n v="596801"/>
        <n v="674298"/>
        <n v="489227"/>
        <n v="809800"/>
        <n v="481035"/>
        <n v="773763"/>
        <n v="997332"/>
        <n v="937239"/>
        <n v="646430"/>
        <n v="932920"/>
        <n v="1039370"/>
        <n v="725779"/>
        <n v="608507"/>
        <n v="942255"/>
        <n v="925114"/>
        <n v="488228"/>
        <n v="620798"/>
        <n v="842895"/>
        <n v="698575"/>
        <n v="482137"/>
        <n v="528881"/>
        <n v="483097"/>
        <n v="769447"/>
        <n v="328657"/>
        <n v="792341"/>
        <n v="360151"/>
        <n v="691420"/>
        <n v="722703"/>
        <n v="704311"/>
        <n v="607215"/>
        <n v="906215"/>
        <n v="463959"/>
        <n v="961682"/>
        <n v="664445"/>
        <n v="742207"/>
        <n v="421213"/>
        <n v="417717"/>
        <n v="681893"/>
        <n v="593430"/>
        <n v="501339"/>
        <n v="692731"/>
        <n v="606785"/>
        <n v="717326"/>
        <n v="640951"/>
        <n v="864106"/>
        <n v="735042"/>
        <n v="1012954"/>
        <n v="644436"/>
        <n v="525024"/>
        <n v="775092"/>
        <n v="876325"/>
        <n v="1082264"/>
        <n v="646520"/>
        <n v="649888"/>
        <n v="826224"/>
        <n v="914251"/>
        <n v="900340"/>
        <n v="780782"/>
        <n v="774827"/>
        <n v="671936"/>
        <n v="601796"/>
        <n v="633853"/>
        <n v="766017"/>
        <n v="317530"/>
        <n v="818193"/>
        <n v="995076"/>
        <n v="746897"/>
        <n v="990045"/>
        <n v="579015"/>
        <n v="393982"/>
        <n v="623150"/>
        <n v="841032"/>
        <n v="1194738"/>
        <n v="762746"/>
        <n v="805390"/>
        <n v="662396"/>
        <n v="1086845"/>
        <n v="895549"/>
        <n v="605319"/>
        <n v="540162"/>
        <n v="968216"/>
        <n v="716671"/>
        <n v="833134"/>
        <n v="637004"/>
        <n v="785519"/>
        <n v="435921"/>
        <n v="437303"/>
        <n v="1259829"/>
        <n v="503488"/>
        <n v="613625"/>
        <n v="578752"/>
        <n v="652900"/>
        <n v="607396"/>
        <n v="436976"/>
        <n v="741656"/>
        <n v="818243"/>
        <n v="665862"/>
        <n v="780989"/>
        <n v="600732"/>
        <n v="734794"/>
        <n v="569297"/>
        <n v="609192"/>
        <n v="518943"/>
        <n v="459709"/>
        <n v="408387"/>
        <n v="647076"/>
        <n v="826017"/>
        <n v="752931"/>
        <n v="539738"/>
        <n v="758395"/>
        <n v="637937"/>
        <n v="792767"/>
        <n v="1010499"/>
        <n v="464896"/>
        <n v="1153023"/>
        <n v="676061"/>
        <n v="944716"/>
        <n v="854570"/>
        <n v="638311"/>
        <n v="906546"/>
        <n v="475552"/>
        <n v="774805"/>
        <n v="867952"/>
        <n v="543073"/>
        <n v="860270"/>
        <n v="608630"/>
        <n v="878279"/>
        <n v="694093"/>
        <n v="523072"/>
        <n v="895817"/>
        <n v="651320"/>
        <n v="1064286"/>
        <n v="648709"/>
        <n v="582051"/>
        <n v="583650"/>
        <n v="914088"/>
        <n v="574785"/>
        <n v="945309"/>
        <n v="835084"/>
        <n v="1128878"/>
        <n v="400289"/>
        <n v="933223"/>
        <n v="954130"/>
        <n v="764531"/>
        <n v="695781"/>
        <n v="480741"/>
        <n v="805766"/>
        <n v="767064"/>
        <n v="938038"/>
        <n v="893432"/>
        <n v="551513"/>
        <n v="277209"/>
        <n v="983343"/>
        <n v="619591"/>
        <n v="968439"/>
        <n v="762478"/>
        <n v="746728"/>
        <n v="1074426"/>
        <n v="865380"/>
        <n v="544437"/>
        <n v="669220"/>
        <n v="722389"/>
        <n v="679482"/>
        <n v="290823"/>
        <n v="834572"/>
        <n v="956782"/>
        <n v="877959"/>
        <n v="371993"/>
        <n v="804790"/>
        <n v="1196909"/>
        <n v="382630"/>
        <n v="662269"/>
        <n v="635564"/>
        <n v="659415"/>
        <n v="787765"/>
        <n v="538916"/>
        <n v="950987"/>
        <n v="765283"/>
        <n v="450041"/>
        <n v="763688"/>
        <n v="714330"/>
        <n v="948638"/>
        <n v="747655"/>
        <n v="599910"/>
        <n v="550672"/>
        <n v="658453"/>
        <n v="543853"/>
        <n v="413366"/>
        <n v="781150"/>
        <n v="537360"/>
        <n v="634736"/>
        <n v="690078"/>
        <n v="666454"/>
        <n v="854317"/>
        <n v="734546"/>
        <n v="725008"/>
        <n v="995314"/>
        <n v="1063967"/>
        <n v="540781"/>
        <n v="665332"/>
        <n v="660983"/>
        <n v="802034"/>
        <n v="1092533"/>
        <n v="871918"/>
        <n v="814665"/>
        <n v="577677"/>
        <n v="626420"/>
        <n v="860242"/>
        <n v="890240"/>
        <n v="613323"/>
        <n v="1002125"/>
        <n v="511004"/>
        <n v="641225"/>
        <n v="885649"/>
        <n v="638133"/>
        <n v="599671"/>
        <n v="795153"/>
        <n v="638085"/>
        <n v="620204"/>
        <n v="697983"/>
        <n v="773302"/>
        <n v="911285"/>
        <n v="732680"/>
        <n v="298334"/>
        <n v="740914"/>
        <n v="754953"/>
        <n v="924420"/>
        <n v="647443"/>
        <n v="676232"/>
        <n v="545501"/>
        <n v="625052"/>
        <n v="746779"/>
        <n v="830753"/>
        <n v="880318"/>
        <n v="623497"/>
        <n v="505122"/>
        <n v="664840"/>
        <n v="1056123"/>
        <n v="866306"/>
        <n v="634582"/>
        <n v="973466"/>
        <n v="229221"/>
        <n v="711984"/>
        <n v="922938"/>
        <n v="973243"/>
        <n v="665283"/>
        <n v="520405"/>
        <n v="529642"/>
        <n v="711521"/>
        <n v="736143"/>
        <n v="602144"/>
        <n v="673026"/>
        <n v="916522"/>
        <n v="563423"/>
        <n v="909806"/>
        <n v="730353"/>
        <n v="662952"/>
        <n v="630239"/>
        <n v="667421"/>
        <n v="428438"/>
        <n v="619467"/>
        <n v="777666"/>
        <n v="535073"/>
        <n v="717908"/>
        <n v="454708"/>
        <n v="553683"/>
        <n v="739933"/>
        <n v="817155"/>
        <n v="700912"/>
        <n v="645529"/>
        <n v="570118"/>
        <n v="727326"/>
        <n v="767904"/>
        <n v="614002"/>
        <n v="489050"/>
        <n v="773542"/>
        <n v="594947"/>
        <n v="451004"/>
        <n v="510949"/>
        <n v="873913"/>
        <n v="618982"/>
        <n v="737684"/>
        <n v="955328"/>
        <n v="720527"/>
        <n v="519595"/>
        <n v="769342"/>
        <n v="642239"/>
        <n v="793388"/>
        <n v="822111"/>
        <n v="852715"/>
        <n v="993865"/>
        <n v="671362"/>
        <n v="875408"/>
        <n v="499847"/>
        <n v="561077"/>
        <n v="436501"/>
        <n v="588871"/>
        <n v="945909"/>
        <n v="939740"/>
        <n v="660630"/>
        <n v="416902"/>
        <n v="788832"/>
        <n v="788945"/>
        <n v="724454"/>
        <n v="439483"/>
        <n v="735952"/>
        <n v="844242"/>
        <n v="423642"/>
        <n v="668997"/>
        <n v="613556"/>
        <n v="646367"/>
        <n v="690784"/>
        <n v="603952"/>
        <n v="283269"/>
        <n v="689066"/>
        <n v="627760"/>
        <n v="739737"/>
        <n v="580579"/>
        <n v="256286"/>
        <n v="729765"/>
        <n v="621016"/>
        <n v="495156"/>
        <n v="808131"/>
        <n v="749195"/>
        <n v="596017"/>
        <n v="1224207"/>
        <n v="737953"/>
        <n v="347519"/>
        <n v="660133"/>
        <n v="662174"/>
        <n v="734144"/>
        <n v="637903"/>
        <n v="496536"/>
        <n v="551500"/>
        <n v="814416"/>
        <n v="981577"/>
        <n v="988078"/>
        <n v="641056"/>
        <n v="729900"/>
        <n v="1057474"/>
        <n v="630390"/>
        <n v="570251"/>
        <n v="920165"/>
        <n v="543471"/>
        <n v="655607"/>
        <n v="788591"/>
        <n v="768592"/>
        <n v="699928"/>
        <n v="516401"/>
        <n v="755828"/>
        <n v="750884"/>
        <n v="916479"/>
        <n v="457979"/>
        <n v="974290"/>
        <n v="833601"/>
        <n v="575747"/>
        <n v="596012"/>
        <n v="679511"/>
        <n v="568483"/>
        <n v="765238"/>
        <n v="808246"/>
        <n v="528737"/>
        <n v="658709"/>
        <n v="1127142"/>
        <n v="991891"/>
        <n v="373695"/>
        <n v="622486"/>
        <n v="808753"/>
        <n v="351514"/>
        <n v="673446"/>
        <n v="492886"/>
        <n v="858970"/>
        <n v="732653"/>
        <n v="330864"/>
        <n v="694245"/>
        <n v="430049"/>
        <n v="1026059"/>
        <n v="555207"/>
        <n v="535986"/>
        <n v="523769"/>
        <n v="602312"/>
        <n v="653912"/>
        <n v="1172724"/>
        <n v="726495"/>
        <n v="400606"/>
        <n v="644947"/>
        <n v="551295"/>
        <n v="789567"/>
        <n v="839903"/>
        <n v="937682"/>
        <n v="677458"/>
        <n v="843239"/>
        <n v="681974"/>
        <n v="791364"/>
        <n v="659526"/>
        <n v="807853"/>
        <n v="437601"/>
        <n v="622265"/>
        <n v="760093"/>
        <n v="659507"/>
        <n v="456999"/>
        <n v="624725"/>
        <n v="425190"/>
        <n v="607358"/>
        <n v="680087"/>
        <n v="794444"/>
        <n v="499440"/>
        <n v="648303"/>
        <n v="598593"/>
        <n v="788197"/>
        <n v="574225"/>
        <n v="800141"/>
        <n v="721970"/>
        <n v="1004176"/>
        <n v="875887"/>
        <n v="893891"/>
        <n v="529473"/>
        <n v="712930"/>
        <n v="854591"/>
        <n v="687722"/>
        <n v="683641"/>
        <n v="561478"/>
        <n v="471173"/>
        <n v="1214099"/>
        <n v="619204"/>
        <n v="445836"/>
        <n v="775801"/>
        <n v="781397"/>
        <n v="397375"/>
        <n v="825812"/>
        <n v="654637"/>
        <n v="474138"/>
        <n v="780877"/>
        <n v="313642"/>
        <n v="848914"/>
        <n v="1116037"/>
        <n v="762004"/>
        <n v="381274"/>
        <n v="868613"/>
        <n v="913755"/>
        <n v="635633"/>
        <n v="679046"/>
        <n v="588834"/>
        <n v="637085"/>
        <n v="785055"/>
        <n v="428435"/>
        <n v="542057"/>
        <n v="644872"/>
        <n v="772322"/>
        <n v="701835"/>
        <n v="586374"/>
        <n v="615212"/>
        <n v="581268"/>
        <n v="665204"/>
        <n v="750849"/>
        <n v="577150"/>
        <n v="1025894"/>
        <n v="815097"/>
        <n v="499816"/>
        <n v="860163"/>
        <n v="561559"/>
        <n v="930406"/>
        <n v="372686"/>
        <n v="778272"/>
        <n v="575546"/>
        <n v="588818"/>
        <n v="458838"/>
        <n v="805015"/>
        <n v="869443"/>
        <n v="835659"/>
        <n v="681071"/>
        <n v="847352"/>
        <n v="834217"/>
        <n v="711633"/>
        <n v="650341"/>
        <n v="782719"/>
        <n v="716444"/>
        <n v="787783"/>
        <n v="896729"/>
        <n v="567972"/>
        <n v="971092"/>
        <n v="595107"/>
        <n v="543953"/>
        <n v="703216"/>
        <n v="732905"/>
        <n v="789000"/>
        <n v="518485"/>
        <n v="414450"/>
        <n v="528218"/>
        <n v="592375"/>
        <n v="543827"/>
        <n v="473689"/>
        <n v="966079"/>
        <n v="458541"/>
        <n v="952586"/>
        <n v="785622"/>
        <n v="633465"/>
        <n v="695501"/>
        <n v="567584"/>
        <n v="488220"/>
        <n v="683114"/>
        <n v="692993"/>
        <n v="719544"/>
        <n v="605237"/>
        <n v="615075"/>
        <n v="806664"/>
        <n v="600509"/>
        <n v="625865"/>
        <n v="1005303"/>
        <n v="543496"/>
        <n v="822894"/>
        <n v="585405"/>
        <n v="758216"/>
        <n v="946209"/>
        <n v="563706"/>
        <n v="676256"/>
        <n v="935138"/>
        <n v="762296"/>
        <n v="687708"/>
        <n v="549569"/>
        <n v="551413"/>
        <n v="743886"/>
        <n v="621231"/>
        <n v="853386"/>
        <n v="800249"/>
        <n v="616018"/>
        <n v="776116"/>
        <n v="976706"/>
        <n v="648927"/>
        <n v="721672"/>
        <n v="771024"/>
        <n v="590606"/>
        <n v="281806"/>
        <n v="585356"/>
        <n v="624543"/>
        <n v="640400"/>
        <n v="551370"/>
        <n v="727563"/>
        <n v="707519"/>
        <n v="947743"/>
        <n v="819130"/>
        <n v="733725"/>
        <n v="784517"/>
        <n v="474985"/>
        <n v="1143315"/>
        <n v="677823"/>
        <n v="652389"/>
        <n v="716416"/>
        <n v="846426"/>
        <n v="610003"/>
        <n v="948935"/>
        <n v="696346"/>
        <n v="868569"/>
        <n v="614970"/>
        <n v="661330"/>
        <n v="564088"/>
        <n v="638419"/>
        <n v="848660"/>
        <n v="857724"/>
        <n v="744781"/>
        <n v="936364"/>
        <n v="694951"/>
        <n v="691612"/>
        <n v="778322"/>
        <n v="696630"/>
        <n v="777660"/>
        <n v="413843"/>
        <n v="721837"/>
        <n v="858349"/>
        <n v="941481"/>
        <n v="807637"/>
        <n v="573111"/>
        <n v="828299"/>
        <n v="805047"/>
        <n v="336646"/>
        <n v="644768"/>
        <n v="730595"/>
        <n v="745121"/>
        <n v="916079"/>
        <n v="704891"/>
        <n v="879851"/>
        <n v="810883"/>
        <n v="303175"/>
        <n v="899816"/>
        <n v="745980"/>
        <n v="733491"/>
        <n v="892426"/>
        <n v="580079"/>
        <n v="924403"/>
        <n v="700830"/>
        <n v="675470"/>
        <n v="847244"/>
        <n v="684528"/>
        <n v="961796"/>
        <n v="455822"/>
        <n v="329258"/>
        <n v="486361"/>
        <n v="634931"/>
        <n v="676097"/>
        <n v="982350"/>
        <n v="751419"/>
        <n v="837529"/>
        <n v="718836"/>
        <n v="921445"/>
        <n v="895664"/>
        <n v="689635"/>
        <n v="720615"/>
        <n v="642536"/>
        <n v="604575"/>
        <n v="907833"/>
        <n v="625859"/>
        <n v="650996"/>
        <n v="774576"/>
        <n v="516313"/>
        <n v="702700"/>
        <n v="732828"/>
        <n v="709663"/>
        <n v="789839"/>
        <n v="445257"/>
        <n v="728077"/>
        <n v="855507"/>
        <n v="329383"/>
        <n v="680191"/>
        <n v="852910"/>
        <n v="661132"/>
        <n v="605849"/>
        <n v="695864"/>
        <n v="550598"/>
        <n v="662484"/>
        <n v="505908"/>
        <n v="468615"/>
        <n v="608913"/>
        <n v="798230"/>
        <n v="480183"/>
        <n v="646149"/>
        <n v="550688"/>
        <n v="787996"/>
        <n v="632661"/>
        <n v="833825"/>
        <n v="718775"/>
        <n v="878309"/>
        <n v="704901"/>
        <n v="703757"/>
        <n v="820444"/>
        <n v="823922"/>
        <n v="610909"/>
        <n v="1065238"/>
        <n v="893148"/>
        <n v="459113"/>
        <n v="760550"/>
        <n v="1280079"/>
        <n v="796327"/>
        <n v="734340"/>
        <n v="731557"/>
        <n v="548004"/>
        <n v="449442"/>
        <n v="625171"/>
        <n v="862004"/>
        <n v="529764"/>
        <n v="1019541"/>
        <n v="846165"/>
        <n v="705078"/>
        <n v="948183"/>
        <n v="724036"/>
        <n v="693049"/>
        <n v="898865"/>
        <n v="229737"/>
        <n v="937273"/>
        <n v="898061"/>
        <n v="487994"/>
        <n v="685708"/>
        <n v="741013"/>
        <n v="672476"/>
        <n v="380502"/>
        <n v="870237"/>
        <n v="654001"/>
        <n v="673714"/>
        <n v="862767"/>
        <n v="751994"/>
        <n v="409689"/>
        <n v="756055"/>
        <n v="841603"/>
        <n v="961540"/>
        <n v="831018"/>
        <n v="478069"/>
        <n v="722680"/>
        <n v="799312"/>
        <n v="1143449"/>
        <n v="637072"/>
        <n v="863714"/>
        <n v="762760"/>
        <n v="605464"/>
        <n v="707829"/>
        <n v="506627"/>
        <n v="699976"/>
        <n v="915219"/>
        <n v="715285"/>
        <n v="743904"/>
        <n v="762516"/>
        <n v="778958"/>
        <n v="440900"/>
        <n v="372405"/>
        <n v="923269"/>
        <n v="1005142"/>
        <n v="462339"/>
        <n v="929293"/>
        <n v="806749"/>
        <n v="522770"/>
        <n v="779353"/>
        <n v="745518"/>
        <n v="580253"/>
        <n v="722087"/>
        <n v="580833"/>
        <n v="878793"/>
        <n v="696628"/>
        <n v="793311"/>
        <n v="557797"/>
        <n v="838801"/>
        <n v="454991"/>
        <n v="431484"/>
        <n v="774746"/>
        <n v="941410"/>
        <n v="717332"/>
        <n v="1096136"/>
        <n v="895634"/>
        <n v="618954"/>
        <n v="851536"/>
        <n v="417788"/>
        <n v="653236"/>
        <n v="438197"/>
        <n v="702109"/>
        <n v="631490"/>
        <n v="492390"/>
        <n v="612398"/>
        <n v="358744"/>
        <n v="560614"/>
        <n v="713761"/>
        <n v="787252"/>
        <n v="1029294"/>
        <n v="855810"/>
        <n v="743306"/>
        <n v="531790"/>
        <n v="457093"/>
        <n v="584366"/>
        <n v="655776"/>
        <n v="542971"/>
        <n v="544027"/>
        <n v="826741"/>
        <n v="475164"/>
        <n v="831460"/>
        <n v="951577"/>
        <n v="766349"/>
        <n v="483274"/>
        <n v="689888"/>
        <n v="1055102"/>
        <n v="674452"/>
        <n v="864121"/>
        <n v="659813"/>
        <n v="743782"/>
        <n v="599501"/>
        <n v="886977"/>
        <n v="690813"/>
        <n v="713140"/>
        <n v="951272"/>
        <n v="1369014"/>
        <n v="838502"/>
        <n v="794819"/>
        <n v="595273"/>
        <n v="439307"/>
        <n v="697052"/>
        <n v="817460"/>
        <n v="551148"/>
        <n v="470117"/>
        <n v="696032"/>
        <n v="838575"/>
        <n v="713679"/>
      </sharedItems>
    </cacheField>
    <cacheField name="quota" numFmtId="164">
      <sharedItems containsSemiMixedTypes="0" containsString="0" containsNumber="1" containsInteger="1" minValue="500000" maxValue="750000"/>
    </cacheField>
    <cacheField name="125%_of_quota" numFmtId="168">
      <sharedItems containsSemiMixedTypes="0" containsString="0" containsNumber="1" containsInteger="1" minValue="625000" maxValue="937500"/>
    </cacheField>
    <cacheField name="150%_of_quota" numFmtId="169">
      <sharedItems containsSemiMixedTypes="0" containsString="0" containsNumber="1" containsInteger="1" minValue="750000" maxValue="1125000"/>
    </cacheField>
    <cacheField name="200%_of_quota" numFmtId="164">
      <sharedItems containsSemiMixedTypes="0" containsString="0" containsNumber="1" containsInteger="1" minValue="1000000" maxValue="1500000"/>
    </cacheField>
    <cacheField name="%_to_quota" numFmtId="165">
      <sharedItems containsSemiMixedTypes="0" containsString="0" containsNumber="1" minValue="0.38203500000000001" maxValue="2.460404"/>
    </cacheField>
    <cacheField name="quota_tier" numFmtId="0">
      <sharedItems/>
    </cacheField>
    <cacheField name="0-100%" numFmtId="164">
      <sharedItems containsSemiMixedTypes="0" containsString="0" containsNumber="1" minValue="21986.9" maxValue="112500"/>
    </cacheField>
    <cacheField name="100-125%" numFmtId="44">
      <sharedItems containsSemiMixedTypes="0" containsString="0" containsNumber="1" minValue="0" maxValue="35625"/>
    </cacheField>
    <cacheField name="125-150%" numFmtId="44">
      <sharedItems containsSemiMixedTypes="0" containsString="0" containsNumber="1" minValue="0" maxValue="43125"/>
    </cacheField>
    <cacheField name="150-200%" numFmtId="44">
      <sharedItems containsSemiMixedTypes="0" containsString="0" containsNumber="1" minValue="0" maxValue="90000"/>
    </cacheField>
    <cacheField name="&gt;200%" numFmtId="44">
      <sharedItems containsSemiMixedTypes="0" containsString="0" containsNumber="1" minValue="0" maxValue="29926.260000000002"/>
    </cacheField>
    <cacheField name="total_commission" numFmtId="164">
      <sharedItems containsSemiMixedTypes="0" containsString="0" containsNumber="1" minValue="21986.9" maxValue="239974.35"/>
    </cacheField>
    <cacheField name="total_pay" numFmtId="164">
      <sharedItems containsSemiMixedTypes="0" containsString="0" containsNumber="1" minValue="62387.4" maxValue="326112.82"/>
    </cacheField>
    <cacheField name="0-100%2" numFmtId="164">
      <sharedItems containsSemiMixedTypes="0" containsString="0" containsNumber="1" minValue="26384.28" maxValue="112500"/>
    </cacheField>
    <cacheField name="100-125%2" numFmtId="44">
      <sharedItems containsSemiMixedTypes="0" containsString="0" containsNumber="1" minValue="0" maxValue="41250"/>
    </cacheField>
    <cacheField name="125-150%2" numFmtId="44">
      <sharedItems containsSemiMixedTypes="0" containsString="0" containsNumber="1" minValue="0" maxValue="46875"/>
    </cacheField>
    <cacheField name="150-200%2" numFmtId="44">
      <sharedItems containsSemiMixedTypes="0" containsString="0" containsNumber="1" minValue="0" maxValue="90000"/>
    </cacheField>
    <cacheField name="&gt;200%2" numFmtId="44">
      <sharedItems containsSemiMixedTypes="0" containsString="0" containsNumber="1" minValue="0" maxValue="23020.2"/>
    </cacheField>
    <cacheField name="total_commission2" numFmtId="164">
      <sharedItems containsSemiMixedTypes="0" containsString="0" containsNumber="1" minValue="26384.28" maxValue="266471.82"/>
    </cacheField>
    <cacheField name="total_pay2" numFmtId="164">
      <sharedItems containsSemiMixedTypes="0" containsString="0" containsNumber="1" minValue="68354.080000000002" maxValue="349932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8373529241"/>
    <s v="Ave"/>
    <s v="Abbatini"/>
    <x v="0"/>
    <x v="0"/>
    <n v="55438"/>
    <n v="24"/>
    <x v="0"/>
    <n v="500000"/>
    <n v="625000"/>
    <n v="750000"/>
    <n v="1000000"/>
    <n v="1.5847720000000001"/>
    <s v="150-200%"/>
    <n v="50000"/>
    <n v="18750"/>
    <n v="22500"/>
    <n v="9324.92"/>
    <n v="0"/>
    <n v="100574.92"/>
    <n v="156012.91999999998"/>
    <n v="60000"/>
    <n v="21250"/>
    <n v="25000"/>
    <n v="9324.92"/>
    <n v="0"/>
    <n v="115574.92"/>
    <n v="171012.91999999998"/>
  </r>
  <r>
    <n v="8002426673"/>
    <s v="Alyse"/>
    <s v="Abrahmer"/>
    <x v="1"/>
    <x v="1"/>
    <n v="67081"/>
    <n v="25"/>
    <x v="1"/>
    <n v="600000"/>
    <n v="750000"/>
    <n v="900000"/>
    <n v="1200000"/>
    <n v="1.4856866666666666"/>
    <s v="125-150%"/>
    <n v="78000"/>
    <n v="22500"/>
    <n v="25454.16"/>
    <n v="0"/>
    <n v="0"/>
    <n v="125954.16"/>
    <n v="193035.16"/>
    <n v="90000"/>
    <n v="27000"/>
    <n v="35353"/>
    <n v="0"/>
    <n v="0"/>
    <n v="152353"/>
    <n v="219434"/>
  </r>
  <r>
    <n v="209942509"/>
    <s v="Mada"/>
    <s v="Addie"/>
    <x v="2"/>
    <x v="2"/>
    <n v="89640"/>
    <n v="27"/>
    <x v="2"/>
    <n v="750000"/>
    <n v="937500"/>
    <n v="1125000"/>
    <n v="1500000"/>
    <n v="1.1081813333333332"/>
    <s v="100-125%"/>
    <n v="112500"/>
    <n v="13793.12"/>
    <n v="0"/>
    <n v="0"/>
    <n v="0"/>
    <n v="126293.12"/>
    <n v="215933.12"/>
    <n v="112500"/>
    <n v="17849.920000000002"/>
    <n v="0"/>
    <n v="0"/>
    <n v="0"/>
    <n v="130349.92"/>
    <n v="219989.91999999998"/>
  </r>
  <r>
    <n v="5779075530"/>
    <s v="Bobette"/>
    <s v="Advani"/>
    <x v="3"/>
    <x v="0"/>
    <n v="41802"/>
    <n v="25"/>
    <x v="3"/>
    <n v="500000"/>
    <n v="625000"/>
    <n v="750000"/>
    <n v="1000000"/>
    <n v="1.838522"/>
    <s v="150-200%"/>
    <n v="50000"/>
    <n v="23750"/>
    <n v="28750"/>
    <n v="50778.299999999996"/>
    <n v="0"/>
    <n v="153278.29999999999"/>
    <n v="195080.3"/>
    <n v="60000"/>
    <n v="21250"/>
    <n v="25000"/>
    <n v="37237.42"/>
    <n v="0"/>
    <n v="143487.41999999998"/>
    <n v="185289.41999999998"/>
  </r>
  <r>
    <n v="4849214614"/>
    <s v="Westley"/>
    <s v="Affleck"/>
    <x v="4"/>
    <x v="0"/>
    <n v="46473"/>
    <n v="18"/>
    <x v="4"/>
    <n v="500000"/>
    <n v="625000"/>
    <n v="750000"/>
    <n v="1000000"/>
    <n v="1.4280679999999999"/>
    <s v="125-150%"/>
    <n v="50000"/>
    <n v="23750"/>
    <n v="20477.82"/>
    <n v="0"/>
    <n v="0"/>
    <n v="94227.82"/>
    <n v="140700.82"/>
    <n v="60000"/>
    <n v="21250"/>
    <n v="17806.8"/>
    <n v="0"/>
    <n v="0"/>
    <n v="99056.8"/>
    <n v="145529.79999999999"/>
  </r>
  <r>
    <n v="9800744517"/>
    <s v="Jacklin"/>
    <s v="Agiolfinger"/>
    <x v="5"/>
    <x v="2"/>
    <n v="102178"/>
    <n v="22"/>
    <x v="5"/>
    <n v="750000"/>
    <n v="937500"/>
    <n v="1125000"/>
    <n v="1500000"/>
    <n v="1.0018226666666668"/>
    <s v="100-125%"/>
    <n v="112500"/>
    <n v="232.39000000000001"/>
    <n v="0"/>
    <n v="0"/>
    <n v="0"/>
    <n v="112732.39"/>
    <n v="214910.39"/>
    <n v="112500"/>
    <n v="300.74"/>
    <n v="0"/>
    <n v="0"/>
    <n v="0"/>
    <n v="112800.74"/>
    <n v="214978.74"/>
  </r>
  <r>
    <n v="4398950745"/>
    <s v="Brew"/>
    <s v="Aguirre"/>
    <x v="6"/>
    <x v="0"/>
    <n v="56956"/>
    <n v="23"/>
    <x v="6"/>
    <n v="500000"/>
    <n v="625000"/>
    <n v="750000"/>
    <n v="1000000"/>
    <n v="1.6413580000000001"/>
    <s v="150-200%"/>
    <n v="50000"/>
    <n v="18750"/>
    <n v="22500"/>
    <n v="15549.38"/>
    <n v="0"/>
    <n v="106799.38"/>
    <n v="163755.38"/>
    <n v="60000"/>
    <n v="21250"/>
    <n v="25000"/>
    <n v="15549.38"/>
    <n v="0"/>
    <n v="121799.38"/>
    <n v="178755.38"/>
  </r>
  <r>
    <n v="161397387"/>
    <s v="Alfie"/>
    <s v="Ainsworth"/>
    <x v="7"/>
    <x v="2"/>
    <n v="88523"/>
    <n v="13"/>
    <x v="7"/>
    <n v="750000"/>
    <n v="937500"/>
    <n v="1125000"/>
    <n v="1500000"/>
    <n v="0.68908400000000003"/>
    <s v="0-100%"/>
    <n v="77521.95"/>
    <n v="0"/>
    <n v="0"/>
    <n v="0"/>
    <n v="0"/>
    <n v="77521.95"/>
    <n v="166044.95000000001"/>
    <n v="77521.95"/>
    <n v="0"/>
    <n v="0"/>
    <n v="0"/>
    <n v="0"/>
    <n v="77521.95"/>
    <n v="166044.95000000001"/>
  </r>
  <r>
    <n v="8361813608"/>
    <s v="Meryl"/>
    <s v="Aitchinson"/>
    <x v="8"/>
    <x v="2"/>
    <n v="83466"/>
    <n v="12"/>
    <x v="8"/>
    <n v="750000"/>
    <n v="937500"/>
    <n v="1125000"/>
    <n v="1500000"/>
    <n v="0.62931466666666669"/>
    <s v="0-100%"/>
    <n v="70797.899999999994"/>
    <n v="0"/>
    <n v="0"/>
    <n v="0"/>
    <n v="0"/>
    <n v="70797.899999999994"/>
    <n v="154263.9"/>
    <n v="70797.899999999994"/>
    <n v="0"/>
    <n v="0"/>
    <n v="0"/>
    <n v="0"/>
    <n v="70797.899999999994"/>
    <n v="154263.9"/>
  </r>
  <r>
    <n v="7001733199"/>
    <s v="Wash"/>
    <s v="Aizlewood"/>
    <x v="9"/>
    <x v="0"/>
    <n v="41890"/>
    <n v="21"/>
    <x v="9"/>
    <n v="500000"/>
    <n v="625000"/>
    <n v="750000"/>
    <n v="1000000"/>
    <n v="1.2903659999999999"/>
    <s v="125-150%"/>
    <n v="50000"/>
    <n v="23750"/>
    <n v="4642.09"/>
    <n v="0"/>
    <n v="0"/>
    <n v="78392.09"/>
    <n v="120282.09"/>
    <n v="60000"/>
    <n v="21250"/>
    <n v="4036.6000000000004"/>
    <n v="0"/>
    <n v="0"/>
    <n v="85286.6"/>
    <n v="127176.6"/>
  </r>
  <r>
    <n v="3554200719"/>
    <s v="Lin"/>
    <s v="Ajean"/>
    <x v="10"/>
    <x v="0"/>
    <n v="40780"/>
    <n v="16"/>
    <x v="10"/>
    <n v="500000"/>
    <n v="625000"/>
    <n v="750000"/>
    <n v="1000000"/>
    <n v="1.38656"/>
    <s v="125-150%"/>
    <n v="50000"/>
    <n v="21250"/>
    <n v="14338.8"/>
    <n v="0"/>
    <n v="0"/>
    <n v="85588.800000000003"/>
    <n v="126368.8"/>
    <n v="60000"/>
    <n v="21250"/>
    <n v="13656"/>
    <n v="0"/>
    <n v="0"/>
    <n v="94906"/>
    <n v="135686"/>
  </r>
  <r>
    <n v="8911781207"/>
    <s v="Webster"/>
    <s v="Akerman"/>
    <x v="11"/>
    <x v="1"/>
    <n v="54392"/>
    <n v="20"/>
    <x v="11"/>
    <n v="600000"/>
    <n v="750000"/>
    <n v="900000"/>
    <n v="1200000"/>
    <n v="1.0030116666666666"/>
    <s v="100-125%"/>
    <n v="78000"/>
    <n v="307.19"/>
    <n v="0"/>
    <n v="0"/>
    <n v="0"/>
    <n v="78307.19"/>
    <n v="132699.19"/>
    <n v="90000"/>
    <n v="325.26"/>
    <n v="0"/>
    <n v="0"/>
    <n v="0"/>
    <n v="90325.26"/>
    <n v="144717.26"/>
  </r>
  <r>
    <n v="813371287"/>
    <s v="Damon"/>
    <s v="Albisser"/>
    <x v="12"/>
    <x v="0"/>
    <n v="55320"/>
    <n v="19"/>
    <x v="12"/>
    <n v="500000"/>
    <n v="625000"/>
    <n v="750000"/>
    <n v="1000000"/>
    <n v="1.12792"/>
    <s v="100-125%"/>
    <n v="50000"/>
    <n v="10873.2"/>
    <n v="0"/>
    <n v="0"/>
    <n v="0"/>
    <n v="60873.2"/>
    <n v="116193.2"/>
    <n v="60000"/>
    <n v="10873.2"/>
    <n v="0"/>
    <n v="0"/>
    <n v="0"/>
    <n v="70873.2"/>
    <n v="126193.2"/>
  </r>
  <r>
    <n v="4862005330"/>
    <s v="Fulvia"/>
    <s v="Aldie"/>
    <x v="13"/>
    <x v="2"/>
    <n v="85270"/>
    <n v="27"/>
    <x v="13"/>
    <n v="750000"/>
    <n v="937500"/>
    <n v="1125000"/>
    <n v="1500000"/>
    <n v="1.2129426666666667"/>
    <s v="100-125%"/>
    <n v="112500"/>
    <n v="23956.05"/>
    <n v="0"/>
    <n v="0"/>
    <n v="0"/>
    <n v="136456.04999999999"/>
    <n v="221726.05"/>
    <n v="112500"/>
    <n v="35135.54"/>
    <n v="0"/>
    <n v="0"/>
    <n v="0"/>
    <n v="147635.54"/>
    <n v="232905.54"/>
  </r>
  <r>
    <n v="4548725172"/>
    <s v="Nikolaus"/>
    <s v="Aldwich"/>
    <x v="14"/>
    <x v="2"/>
    <n v="97537"/>
    <n v="20"/>
    <x v="14"/>
    <n v="750000"/>
    <n v="937500"/>
    <n v="1125000"/>
    <n v="1500000"/>
    <n v="0.94676266666666664"/>
    <s v="0-100%"/>
    <n v="106510.8"/>
    <n v="0"/>
    <n v="0"/>
    <n v="0"/>
    <n v="0"/>
    <n v="106510.8"/>
    <n v="204047.8"/>
    <n v="106510.8"/>
    <n v="0"/>
    <n v="0"/>
    <n v="0"/>
    <n v="0"/>
    <n v="106510.8"/>
    <n v="204047.8"/>
  </r>
  <r>
    <n v="5117202538"/>
    <s v="Wini"/>
    <s v="Allenson"/>
    <x v="15"/>
    <x v="0"/>
    <n v="35279"/>
    <n v="21"/>
    <x v="15"/>
    <n v="500000"/>
    <n v="625000"/>
    <n v="750000"/>
    <n v="1000000"/>
    <n v="1.2789820000000001"/>
    <s v="125-150%"/>
    <n v="50000"/>
    <n v="18750"/>
    <n v="2608.38"/>
    <n v="0"/>
    <n v="0"/>
    <n v="71358.38"/>
    <n v="106637.38"/>
    <n v="60000"/>
    <n v="21250"/>
    <n v="2898.2000000000003"/>
    <n v="0"/>
    <n v="0"/>
    <n v="84148.2"/>
    <n v="119427.2"/>
  </r>
  <r>
    <n v="4256220232"/>
    <s v="Ollie"/>
    <s v="Allsupp"/>
    <x v="16"/>
    <x v="1"/>
    <n v="63611"/>
    <n v="22"/>
    <x v="16"/>
    <n v="600000"/>
    <n v="750000"/>
    <n v="900000"/>
    <n v="1200000"/>
    <n v="1.3012216666666667"/>
    <s v="125-150%"/>
    <n v="78000"/>
    <n v="28500"/>
    <n v="7068.59"/>
    <n v="0"/>
    <n v="0"/>
    <n v="113568.59"/>
    <n v="177179.59"/>
    <n v="90000"/>
    <n v="27000"/>
    <n v="7683.25"/>
    <n v="0"/>
    <n v="0"/>
    <n v="124683.25"/>
    <n v="188294.25"/>
  </r>
  <r>
    <n v="5460394635"/>
    <s v="Edith"/>
    <s v="Altree"/>
    <x v="17"/>
    <x v="2"/>
    <n v="82153"/>
    <n v="17"/>
    <x v="17"/>
    <n v="750000"/>
    <n v="937500"/>
    <n v="1125000"/>
    <n v="1500000"/>
    <n v="0.88323733333333332"/>
    <s v="0-100%"/>
    <n v="99364.2"/>
    <n v="0"/>
    <n v="0"/>
    <n v="0"/>
    <n v="0"/>
    <n v="99364.2"/>
    <n v="181517.2"/>
    <n v="99364.2"/>
    <n v="0"/>
    <n v="0"/>
    <n v="0"/>
    <n v="0"/>
    <n v="99364.2"/>
    <n v="181517.2"/>
  </r>
  <r>
    <n v="5153694038"/>
    <s v="Gothart"/>
    <s v="Alven"/>
    <x v="18"/>
    <x v="2"/>
    <n v="105621"/>
    <n v="20"/>
    <x v="18"/>
    <n v="750000"/>
    <n v="937500"/>
    <n v="1125000"/>
    <n v="1500000"/>
    <n v="1.0104880000000001"/>
    <s v="100-125%"/>
    <n v="112500"/>
    <n v="1179.8999999999999"/>
    <n v="0"/>
    <n v="0"/>
    <n v="0"/>
    <n v="113679.9"/>
    <n v="219300.9"/>
    <n v="112500"/>
    <n v="1730.52"/>
    <n v="0"/>
    <n v="0"/>
    <n v="0"/>
    <n v="114230.52"/>
    <n v="219851.52000000002"/>
  </r>
  <r>
    <n v="17898579"/>
    <s v="Marieann"/>
    <s v="Andren"/>
    <x v="19"/>
    <x v="2"/>
    <n v="104902"/>
    <n v="18"/>
    <x v="19"/>
    <n v="750000"/>
    <n v="937500"/>
    <n v="1125000"/>
    <n v="1500000"/>
    <n v="0.91842666666666661"/>
    <s v="0-100%"/>
    <n v="103323"/>
    <n v="0"/>
    <n v="0"/>
    <n v="0"/>
    <n v="0"/>
    <n v="103323"/>
    <n v="208225"/>
    <n v="103323"/>
    <n v="0"/>
    <n v="0"/>
    <n v="0"/>
    <n v="0"/>
    <n v="103323"/>
    <n v="208225"/>
  </r>
  <r>
    <n v="9529277938"/>
    <s v="Javier"/>
    <s v="Andriolli"/>
    <x v="20"/>
    <x v="2"/>
    <n v="110731"/>
    <n v="23"/>
    <x v="20"/>
    <n v="750000"/>
    <n v="937500"/>
    <n v="1125000"/>
    <n v="1500000"/>
    <n v="0.84498799999999996"/>
    <s v="0-100%"/>
    <n v="95061.15"/>
    <n v="0"/>
    <n v="0"/>
    <n v="0"/>
    <n v="0"/>
    <n v="95061.15"/>
    <n v="205792.15"/>
    <n v="95061.15"/>
    <n v="0"/>
    <n v="0"/>
    <n v="0"/>
    <n v="0"/>
    <n v="95061.15"/>
    <n v="205792.15"/>
  </r>
  <r>
    <n v="8387947148"/>
    <s v="Ayn"/>
    <s v="Angless"/>
    <x v="21"/>
    <x v="2"/>
    <n v="122479"/>
    <n v="15"/>
    <x v="21"/>
    <n v="750000"/>
    <n v="937500"/>
    <n v="1125000"/>
    <n v="1500000"/>
    <n v="0.69464400000000004"/>
    <s v="0-100%"/>
    <n v="78147.45"/>
    <n v="0"/>
    <n v="0"/>
    <n v="0"/>
    <n v="0"/>
    <n v="78147.45"/>
    <n v="200626.45"/>
    <n v="78147.45"/>
    <n v="0"/>
    <n v="0"/>
    <n v="0"/>
    <n v="0"/>
    <n v="78147.45"/>
    <n v="200626.45"/>
  </r>
  <r>
    <n v="5191866150"/>
    <s v="Luisa"/>
    <s v="Antic"/>
    <x v="22"/>
    <x v="2"/>
    <n v="112098"/>
    <n v="15"/>
    <x v="22"/>
    <n v="750000"/>
    <n v="937500"/>
    <n v="1125000"/>
    <n v="1500000"/>
    <n v="0.57401733333333338"/>
    <s v="0-100%"/>
    <n v="64576.95"/>
    <n v="0"/>
    <n v="0"/>
    <n v="0"/>
    <n v="0"/>
    <n v="64576.95"/>
    <n v="176674.95"/>
    <n v="64576.95"/>
    <n v="0"/>
    <n v="0"/>
    <n v="0"/>
    <n v="0"/>
    <n v="64576.95"/>
    <n v="176674.95"/>
  </r>
  <r>
    <n v="4009257075"/>
    <s v="Nial"/>
    <s v="Antonazzi"/>
    <x v="23"/>
    <x v="2"/>
    <n v="114572"/>
    <n v="25"/>
    <x v="23"/>
    <n v="750000"/>
    <n v="937500"/>
    <n v="1125000"/>
    <n v="1500000"/>
    <n v="1.2281626666666667"/>
    <s v="100-125%"/>
    <n v="112500"/>
    <n v="29090.74"/>
    <n v="0"/>
    <n v="0"/>
    <n v="0"/>
    <n v="141590.74"/>
    <n v="256162.74"/>
    <n v="112500"/>
    <n v="37646.840000000004"/>
    <n v="0"/>
    <n v="0"/>
    <n v="0"/>
    <n v="150146.84"/>
    <n v="264718.83999999997"/>
  </r>
  <r>
    <n v="502909099"/>
    <s v="Mildred"/>
    <s v="Antonio"/>
    <x v="24"/>
    <x v="0"/>
    <n v="43527"/>
    <n v="18"/>
    <x v="24"/>
    <n v="500000"/>
    <n v="625000"/>
    <n v="750000"/>
    <n v="1000000"/>
    <n v="1.271174"/>
    <s v="125-150%"/>
    <n v="50000"/>
    <n v="23750"/>
    <n v="2435.0100000000002"/>
    <n v="0"/>
    <n v="0"/>
    <n v="76185.009999999995"/>
    <n v="119712.01"/>
    <n v="60000"/>
    <n v="21250"/>
    <n v="2117.4"/>
    <n v="0"/>
    <n v="0"/>
    <n v="83367.399999999994"/>
    <n v="126894.39999999999"/>
  </r>
  <r>
    <n v="7621218967"/>
    <s v="Peter"/>
    <s v="Aps"/>
    <x v="25"/>
    <x v="0"/>
    <n v="49456"/>
    <n v="20"/>
    <x v="25"/>
    <n v="500000"/>
    <n v="625000"/>
    <n v="750000"/>
    <n v="1000000"/>
    <n v="1.4223680000000001"/>
    <s v="125-150%"/>
    <n v="50000"/>
    <n v="18750"/>
    <n v="15513.119999999999"/>
    <n v="0"/>
    <n v="0"/>
    <n v="84263.12"/>
    <n v="133719.12"/>
    <n v="60000"/>
    <n v="21250"/>
    <n v="17236.8"/>
    <n v="0"/>
    <n v="0"/>
    <n v="98486.8"/>
    <n v="147942.79999999999"/>
  </r>
  <r>
    <n v="6836716731"/>
    <s v="Codie"/>
    <s v="Ardy"/>
    <x v="26"/>
    <x v="2"/>
    <n v="91423"/>
    <n v="17"/>
    <x v="26"/>
    <n v="750000"/>
    <n v="937500"/>
    <n v="1125000"/>
    <n v="1500000"/>
    <n v="0.72851600000000005"/>
    <s v="0-100%"/>
    <n v="81958.05"/>
    <n v="0"/>
    <n v="0"/>
    <n v="0"/>
    <n v="0"/>
    <n v="81958.05"/>
    <n v="173381.05"/>
    <n v="81958.05"/>
    <n v="0"/>
    <n v="0"/>
    <n v="0"/>
    <n v="0"/>
    <n v="81958.05"/>
    <n v="173381.05"/>
  </r>
  <r>
    <n v="2280674246"/>
    <s v="Claudie"/>
    <s v="Armin"/>
    <x v="27"/>
    <x v="0"/>
    <n v="62574"/>
    <n v="13"/>
    <x v="27"/>
    <n v="500000"/>
    <n v="625000"/>
    <n v="750000"/>
    <n v="1000000"/>
    <n v="0.83385399999999998"/>
    <s v="0-100%"/>
    <n v="41692.700000000004"/>
    <n v="0"/>
    <n v="0"/>
    <n v="0"/>
    <n v="0"/>
    <n v="41692.700000000004"/>
    <n v="104266.70000000001"/>
    <n v="50031.24"/>
    <n v="0"/>
    <n v="0"/>
    <n v="0"/>
    <n v="0"/>
    <n v="50031.24"/>
    <n v="112605.23999999999"/>
  </r>
  <r>
    <n v="9023313240"/>
    <s v="Caddric"/>
    <s v="Armytage"/>
    <x v="28"/>
    <x v="2"/>
    <n v="119728"/>
    <n v="17"/>
    <x v="28"/>
    <n v="750000"/>
    <n v="937500"/>
    <n v="1125000"/>
    <n v="1500000"/>
    <n v="0.95321866666666666"/>
    <s v="0-100%"/>
    <n v="107237.09999999999"/>
    <n v="0"/>
    <n v="0"/>
    <n v="0"/>
    <n v="0"/>
    <n v="107237.09999999999"/>
    <n v="226965.09999999998"/>
    <n v="107237.09999999999"/>
    <n v="0"/>
    <n v="0"/>
    <n v="0"/>
    <n v="0"/>
    <n v="107237.09999999999"/>
    <n v="226965.09999999998"/>
  </r>
  <r>
    <n v="4236713853"/>
    <s v="Steward"/>
    <s v="Arnke"/>
    <x v="29"/>
    <x v="2"/>
    <n v="114723"/>
    <n v="15"/>
    <x v="29"/>
    <n v="750000"/>
    <n v="937500"/>
    <n v="1125000"/>
    <n v="1500000"/>
    <n v="0.84986133333333336"/>
    <s v="0-100%"/>
    <n v="95609.4"/>
    <n v="0"/>
    <n v="0"/>
    <n v="0"/>
    <n v="0"/>
    <n v="95609.4"/>
    <n v="210332.4"/>
    <n v="95609.4"/>
    <n v="0"/>
    <n v="0"/>
    <n v="0"/>
    <n v="0"/>
    <n v="95609.4"/>
    <n v="210332.4"/>
  </r>
  <r>
    <n v="710473923"/>
    <s v="Ellwood"/>
    <s v="Aronoff"/>
    <x v="30"/>
    <x v="0"/>
    <n v="64402"/>
    <n v="18"/>
    <x v="30"/>
    <n v="500000"/>
    <n v="625000"/>
    <n v="750000"/>
    <n v="1000000"/>
    <n v="1.2496419999999999"/>
    <s v="100-125%"/>
    <n v="50000"/>
    <n v="23715.99"/>
    <n v="0"/>
    <n v="0"/>
    <n v="0"/>
    <n v="73715.990000000005"/>
    <n v="138117.99"/>
    <n v="60000"/>
    <n v="21219.57"/>
    <n v="0"/>
    <n v="0"/>
    <n v="0"/>
    <n v="81219.570000000007"/>
    <n v="145621.57"/>
  </r>
  <r>
    <n v="6313424239"/>
    <s v="Rubina"/>
    <s v="Arp"/>
    <x v="31"/>
    <x v="1"/>
    <n v="55136"/>
    <n v="23"/>
    <x v="31"/>
    <n v="600000"/>
    <n v="750000"/>
    <n v="900000"/>
    <n v="1200000"/>
    <n v="1.2852683333333332"/>
    <s v="125-150%"/>
    <n v="78000"/>
    <n v="25500.000000000004"/>
    <n v="4443.8099999999995"/>
    <n v="0"/>
    <n v="0"/>
    <n v="107943.81"/>
    <n v="163079.81"/>
    <n v="90000"/>
    <n v="27000"/>
    <n v="5290.25"/>
    <n v="0"/>
    <n v="0"/>
    <n v="122290.25"/>
    <n v="177426.25"/>
  </r>
  <r>
    <n v="7304628987"/>
    <s v="Mariquilla"/>
    <s v="Arsmith"/>
    <x v="32"/>
    <x v="2"/>
    <n v="98920"/>
    <n v="28"/>
    <x v="32"/>
    <n v="750000"/>
    <n v="937500"/>
    <n v="1125000"/>
    <n v="1500000"/>
    <n v="1.4373800000000001"/>
    <s v="125-150%"/>
    <n v="112500"/>
    <n v="35625"/>
    <n v="32323.050000000003"/>
    <n v="0"/>
    <n v="0"/>
    <n v="180448.05"/>
    <n v="279368.05"/>
    <n v="112500"/>
    <n v="41250"/>
    <n v="35133.75"/>
    <n v="0"/>
    <n v="0"/>
    <n v="188883.75"/>
    <n v="287803.75"/>
  </r>
  <r>
    <n v="977779009"/>
    <s v="Tabina"/>
    <s v="Askell"/>
    <x v="33"/>
    <x v="2"/>
    <n v="117844"/>
    <n v="15"/>
    <x v="33"/>
    <n v="750000"/>
    <n v="937500"/>
    <n v="1125000"/>
    <n v="1500000"/>
    <n v="0.68290133333333336"/>
    <s v="0-100%"/>
    <n v="76826.399999999994"/>
    <n v="0"/>
    <n v="0"/>
    <n v="0"/>
    <n v="0"/>
    <n v="76826.399999999994"/>
    <n v="194670.4"/>
    <n v="76826.399999999994"/>
    <n v="0"/>
    <n v="0"/>
    <n v="0"/>
    <n v="0"/>
    <n v="76826.399999999994"/>
    <n v="194670.4"/>
  </r>
  <r>
    <n v="1518783783"/>
    <s v="Alex"/>
    <s v="Ateridge"/>
    <x v="34"/>
    <x v="0"/>
    <n v="30311"/>
    <n v="19"/>
    <x v="34"/>
    <n v="500000"/>
    <n v="625000"/>
    <n v="750000"/>
    <n v="1000000"/>
    <n v="1.3121080000000001"/>
    <s v="125-150%"/>
    <n v="50000"/>
    <n v="23750"/>
    <n v="7142.42"/>
    <n v="0"/>
    <n v="0"/>
    <n v="80892.42"/>
    <n v="111203.42"/>
    <n v="60000"/>
    <n v="21250"/>
    <n v="6210.8"/>
    <n v="0"/>
    <n v="0"/>
    <n v="87460.800000000003"/>
    <n v="117771.8"/>
  </r>
  <r>
    <n v="4150450668"/>
    <s v="Martica"/>
    <s v="Attenbrow"/>
    <x v="35"/>
    <x v="0"/>
    <n v="37047"/>
    <n v="17"/>
    <x v="35"/>
    <n v="500000"/>
    <n v="625000"/>
    <n v="750000"/>
    <n v="1000000"/>
    <n v="1.1186739999999999"/>
    <s v="100-125%"/>
    <n v="50000"/>
    <n v="10087.290000000001"/>
    <n v="0"/>
    <n v="0"/>
    <n v="0"/>
    <n v="60087.29"/>
    <n v="97134.290000000008"/>
    <n v="60000"/>
    <n v="10087.290000000001"/>
    <n v="0"/>
    <n v="0"/>
    <n v="0"/>
    <n v="70087.290000000008"/>
    <n v="107134.29000000001"/>
  </r>
  <r>
    <n v="2185059785"/>
    <s v="Celka"/>
    <s v="Attoc"/>
    <x v="36"/>
    <x v="2"/>
    <n v="108166"/>
    <n v="20"/>
    <x v="36"/>
    <n v="750000"/>
    <n v="937500"/>
    <n v="1125000"/>
    <n v="1500000"/>
    <n v="0.93393199999999998"/>
    <s v="0-100%"/>
    <n v="105067.34999999999"/>
    <n v="0"/>
    <n v="0"/>
    <n v="0"/>
    <n v="0"/>
    <n v="105067.34999999999"/>
    <n v="213233.34999999998"/>
    <n v="105067.34999999999"/>
    <n v="0"/>
    <n v="0"/>
    <n v="0"/>
    <n v="0"/>
    <n v="105067.34999999999"/>
    <n v="213233.34999999998"/>
  </r>
  <r>
    <n v="1659448174"/>
    <s v="Christina"/>
    <s v="Augar"/>
    <x v="37"/>
    <x v="2"/>
    <n v="79013"/>
    <n v="18"/>
    <x v="37"/>
    <n v="750000"/>
    <n v="937500"/>
    <n v="1125000"/>
    <n v="1500000"/>
    <n v="0.79712266666666665"/>
    <s v="0-100%"/>
    <n v="89676.3"/>
    <n v="0"/>
    <n v="0"/>
    <n v="0"/>
    <n v="0"/>
    <n v="89676.3"/>
    <n v="168689.3"/>
    <n v="89676.3"/>
    <n v="0"/>
    <n v="0"/>
    <n v="0"/>
    <n v="0"/>
    <n v="89676.3"/>
    <n v="168689.3"/>
  </r>
  <r>
    <n v="5503746279"/>
    <s v="Elva"/>
    <s v="Aumerle"/>
    <x v="38"/>
    <x v="1"/>
    <n v="65852"/>
    <n v="19"/>
    <x v="38"/>
    <n v="600000"/>
    <n v="750000"/>
    <n v="900000"/>
    <n v="1200000"/>
    <n v="0.93145333333333336"/>
    <s v="0-100%"/>
    <n v="72653.36"/>
    <n v="0"/>
    <n v="0"/>
    <n v="0"/>
    <n v="0"/>
    <n v="72653.36"/>
    <n v="138505.35999999999"/>
    <n v="83830.8"/>
    <n v="0"/>
    <n v="0"/>
    <n v="0"/>
    <n v="0"/>
    <n v="83830.8"/>
    <n v="149682.79999999999"/>
  </r>
  <r>
    <n v="2500807061"/>
    <s v="Marijn"/>
    <s v="Avison"/>
    <x v="39"/>
    <x v="2"/>
    <n v="102862"/>
    <n v="22"/>
    <x v="39"/>
    <n v="750000"/>
    <n v="937500"/>
    <n v="1125000"/>
    <n v="1500000"/>
    <n v="1.3017013333333334"/>
    <s v="125-150%"/>
    <n v="112500"/>
    <n v="35625"/>
    <n v="8918.48"/>
    <n v="0"/>
    <n v="0"/>
    <n v="157043.48000000001"/>
    <n v="259905.48"/>
    <n v="112500"/>
    <n v="41250"/>
    <n v="9694"/>
    <n v="0"/>
    <n v="0"/>
    <n v="163444"/>
    <n v="266306"/>
  </r>
  <r>
    <n v="6858776575"/>
    <s v="Cobb"/>
    <s v="Avramow"/>
    <x v="40"/>
    <x v="1"/>
    <n v="66387"/>
    <n v="18"/>
    <x v="40"/>
    <n v="600000"/>
    <n v="750000"/>
    <n v="900000"/>
    <n v="1200000"/>
    <n v="1.0366566666666666"/>
    <s v="100-125%"/>
    <n v="78000"/>
    <n v="3738.9800000000005"/>
    <n v="0"/>
    <n v="0"/>
    <n v="0"/>
    <n v="81738.98"/>
    <n v="148125.97999999998"/>
    <n v="90000"/>
    <n v="3958.92"/>
    <n v="0"/>
    <n v="0"/>
    <n v="0"/>
    <n v="93958.92"/>
    <n v="160345.91999999998"/>
  </r>
  <r>
    <n v="1659418720"/>
    <s v="Benedetto"/>
    <s v="Aymes"/>
    <x v="41"/>
    <x v="0"/>
    <n v="48774"/>
    <n v="20"/>
    <x v="41"/>
    <n v="500000"/>
    <n v="625000"/>
    <n v="750000"/>
    <n v="1000000"/>
    <n v="1.4480580000000001"/>
    <s v="125-150%"/>
    <n v="50000"/>
    <n v="18750"/>
    <n v="17825.219999999998"/>
    <n v="0"/>
    <n v="0"/>
    <n v="86575.22"/>
    <n v="135349.22"/>
    <n v="60000"/>
    <n v="21250"/>
    <n v="19805.800000000003"/>
    <n v="0"/>
    <n v="0"/>
    <n v="101055.8"/>
    <n v="149829.79999999999"/>
  </r>
  <r>
    <n v="5574535556"/>
    <s v="Barbi"/>
    <s v="Ayshford"/>
    <x v="42"/>
    <x v="2"/>
    <n v="116388"/>
    <n v="28"/>
    <x v="42"/>
    <n v="750000"/>
    <n v="937500"/>
    <n v="1125000"/>
    <n v="1500000"/>
    <n v="1.1594053333333334"/>
    <s v="100-125%"/>
    <n v="112500"/>
    <n v="22715.260000000002"/>
    <n v="0"/>
    <n v="0"/>
    <n v="0"/>
    <n v="135215.26"/>
    <n v="251603.26"/>
    <n v="112500"/>
    <n v="26301.88"/>
    <n v="0"/>
    <n v="0"/>
    <n v="0"/>
    <n v="138801.88"/>
    <n v="255189.88"/>
  </r>
  <r>
    <n v="263573389"/>
    <s v="Derrik"/>
    <s v="Bacchus"/>
    <x v="43"/>
    <x v="1"/>
    <n v="69051"/>
    <n v="19"/>
    <x v="43"/>
    <n v="600000"/>
    <n v="750000"/>
    <n v="900000"/>
    <n v="1200000"/>
    <n v="1.2490566666666667"/>
    <s v="100-125%"/>
    <n v="78000"/>
    <n v="22415.1"/>
    <n v="0"/>
    <n v="0"/>
    <n v="0"/>
    <n v="100415.1"/>
    <n v="169466.1"/>
    <n v="90000"/>
    <n v="26898.12"/>
    <n v="0"/>
    <n v="0"/>
    <n v="0"/>
    <n v="116898.12"/>
    <n v="185949.12"/>
  </r>
  <r>
    <n v="9617190826"/>
    <s v="Hunt"/>
    <s v="Bachura"/>
    <x v="44"/>
    <x v="1"/>
    <n v="57033"/>
    <n v="16"/>
    <x v="44"/>
    <n v="600000"/>
    <n v="750000"/>
    <n v="900000"/>
    <n v="1200000"/>
    <n v="1.03643"/>
    <s v="100-125%"/>
    <n v="78000"/>
    <n v="3715.86"/>
    <n v="0"/>
    <n v="0"/>
    <n v="0"/>
    <n v="81715.86"/>
    <n v="138748.85999999999"/>
    <n v="90000"/>
    <n v="3934.44"/>
    <n v="0"/>
    <n v="0"/>
    <n v="0"/>
    <n v="93934.44"/>
    <n v="150967.44"/>
  </r>
  <r>
    <n v="9018504580"/>
    <s v="Chanda"/>
    <s v="Bahls"/>
    <x v="45"/>
    <x v="0"/>
    <n v="53598"/>
    <n v="13"/>
    <x v="45"/>
    <n v="500000"/>
    <n v="625000"/>
    <n v="750000"/>
    <n v="1000000"/>
    <n v="0.79429000000000005"/>
    <s v="0-100%"/>
    <n v="39714.5"/>
    <n v="0"/>
    <n v="0"/>
    <n v="0"/>
    <n v="0"/>
    <n v="39714.5"/>
    <n v="93312.5"/>
    <n v="47657.4"/>
    <n v="0"/>
    <n v="0"/>
    <n v="0"/>
    <n v="0"/>
    <n v="47657.4"/>
    <n v="101255.4"/>
  </r>
  <r>
    <n v="8069192305"/>
    <s v="Alexa"/>
    <s v="Balch"/>
    <x v="46"/>
    <x v="2"/>
    <n v="78612"/>
    <n v="23"/>
    <x v="46"/>
    <n v="750000"/>
    <n v="937500"/>
    <n v="1125000"/>
    <n v="1500000"/>
    <n v="1.100792"/>
    <s v="100-125%"/>
    <n v="112500"/>
    <n v="12850.980000000001"/>
    <n v="0"/>
    <n v="0"/>
    <n v="0"/>
    <n v="125350.98"/>
    <n v="203962.97999999998"/>
    <n v="112500"/>
    <n v="16630.68"/>
    <n v="0"/>
    <n v="0"/>
    <n v="0"/>
    <n v="129130.68"/>
    <n v="207742.68"/>
  </r>
  <r>
    <n v="5077974136"/>
    <s v="Pacorro"/>
    <s v="Balden"/>
    <x v="47"/>
    <x v="2"/>
    <n v="94733"/>
    <n v="19"/>
    <x v="47"/>
    <n v="750000"/>
    <n v="937500"/>
    <n v="1125000"/>
    <n v="1500000"/>
    <n v="0.79571999999999998"/>
    <s v="0-100%"/>
    <n v="89518.5"/>
    <n v="0"/>
    <n v="0"/>
    <n v="0"/>
    <n v="0"/>
    <n v="89518.5"/>
    <n v="184251.5"/>
    <n v="89518.5"/>
    <n v="0"/>
    <n v="0"/>
    <n v="0"/>
    <n v="0"/>
    <n v="89518.5"/>
    <n v="184251.5"/>
  </r>
  <r>
    <n v="1439916314"/>
    <s v="Lesli"/>
    <s v="Baldini"/>
    <x v="48"/>
    <x v="0"/>
    <n v="48869"/>
    <n v="15"/>
    <x v="48"/>
    <n v="500000"/>
    <n v="625000"/>
    <n v="750000"/>
    <n v="1000000"/>
    <n v="0.98727399999999998"/>
    <s v="0-100%"/>
    <n v="49363.700000000004"/>
    <n v="0"/>
    <n v="0"/>
    <n v="0"/>
    <n v="0"/>
    <n v="49363.700000000004"/>
    <n v="98232.700000000012"/>
    <n v="59236.439999999995"/>
    <n v="0"/>
    <n v="0"/>
    <n v="0"/>
    <n v="0"/>
    <n v="59236.439999999995"/>
    <n v="108105.44"/>
  </r>
  <r>
    <n v="5197585250"/>
    <s v="Natassia"/>
    <s v="Baldoni"/>
    <x v="49"/>
    <x v="2"/>
    <n v="114163"/>
    <n v="23"/>
    <x v="49"/>
    <n v="750000"/>
    <n v="937500"/>
    <n v="1125000"/>
    <n v="1500000"/>
    <n v="1.08908"/>
    <s v="100-125%"/>
    <n v="112500"/>
    <n v="12693.9"/>
    <n v="0"/>
    <n v="0"/>
    <n v="0"/>
    <n v="125193.9"/>
    <n v="239356.9"/>
    <n v="112500"/>
    <n v="14698.2"/>
    <n v="0"/>
    <n v="0"/>
    <n v="0"/>
    <n v="127198.2"/>
    <n v="241361.2"/>
  </r>
  <r>
    <n v="2779378506"/>
    <s v="Andreana"/>
    <s v="Baly"/>
    <x v="50"/>
    <x v="2"/>
    <n v="83208"/>
    <n v="21"/>
    <x v="50"/>
    <n v="750000"/>
    <n v="937500"/>
    <n v="1125000"/>
    <n v="1500000"/>
    <n v="1.0041306666666667"/>
    <s v="100-125%"/>
    <n v="112500"/>
    <n v="588.62"/>
    <n v="0"/>
    <n v="0"/>
    <n v="0"/>
    <n v="113088.62"/>
    <n v="196296.62"/>
    <n v="112500"/>
    <n v="681.56000000000006"/>
    <n v="0"/>
    <n v="0"/>
    <n v="0"/>
    <n v="113181.56"/>
    <n v="196389.56"/>
  </r>
  <r>
    <n v="492630925"/>
    <s v="Lorie"/>
    <s v="Bamblett"/>
    <x v="51"/>
    <x v="2"/>
    <n v="112873"/>
    <n v="17"/>
    <x v="51"/>
    <n v="750000"/>
    <n v="937500"/>
    <n v="1125000"/>
    <n v="1500000"/>
    <n v="0.82392799999999999"/>
    <s v="0-100%"/>
    <n v="92691.9"/>
    <n v="0"/>
    <n v="0"/>
    <n v="0"/>
    <n v="0"/>
    <n v="92691.9"/>
    <n v="205564.9"/>
    <n v="92691.9"/>
    <n v="0"/>
    <n v="0"/>
    <n v="0"/>
    <n v="0"/>
    <n v="92691.9"/>
    <n v="205564.9"/>
  </r>
  <r>
    <n v="5383734902"/>
    <s v="Pamela"/>
    <s v="Banke"/>
    <x v="52"/>
    <x v="2"/>
    <n v="98117"/>
    <n v="18"/>
    <x v="52"/>
    <n v="750000"/>
    <n v="937500"/>
    <n v="1125000"/>
    <n v="1500000"/>
    <n v="0.93300666666666665"/>
    <s v="0-100%"/>
    <n v="104963.25"/>
    <n v="0"/>
    <n v="0"/>
    <n v="0"/>
    <n v="0"/>
    <n v="104963.25"/>
    <n v="203080.25"/>
    <n v="104963.25"/>
    <n v="0"/>
    <n v="0"/>
    <n v="0"/>
    <n v="0"/>
    <n v="104963.25"/>
    <n v="203080.25"/>
  </r>
  <r>
    <n v="5403399259"/>
    <s v="Sherilyn"/>
    <s v="Barendtsen"/>
    <x v="53"/>
    <x v="1"/>
    <n v="55461"/>
    <n v="14"/>
    <x v="53"/>
    <n v="600000"/>
    <n v="750000"/>
    <n v="900000"/>
    <n v="1200000"/>
    <n v="0.62421499999999996"/>
    <s v="0-100%"/>
    <n v="48688.770000000004"/>
    <n v="0"/>
    <n v="0"/>
    <n v="0"/>
    <n v="0"/>
    <n v="48688.770000000004"/>
    <n v="104149.77"/>
    <n v="56179.35"/>
    <n v="0"/>
    <n v="0"/>
    <n v="0"/>
    <n v="0"/>
    <n v="56179.35"/>
    <n v="111640.35"/>
  </r>
  <r>
    <n v="250257920"/>
    <s v="Berkly"/>
    <s v="Barg"/>
    <x v="54"/>
    <x v="1"/>
    <n v="68286"/>
    <n v="17"/>
    <x v="54"/>
    <n v="600000"/>
    <n v="750000"/>
    <n v="900000"/>
    <n v="1200000"/>
    <n v="0.99086333333333332"/>
    <s v="0-100%"/>
    <n v="77287.34"/>
    <n v="0"/>
    <n v="0"/>
    <n v="0"/>
    <n v="0"/>
    <n v="77287.34"/>
    <n v="145573.34"/>
    <n v="89177.7"/>
    <n v="0"/>
    <n v="0"/>
    <n v="0"/>
    <n v="0"/>
    <n v="89177.7"/>
    <n v="157463.70000000001"/>
  </r>
  <r>
    <n v="7180110256"/>
    <s v="Ward"/>
    <s v="Barnett"/>
    <x v="55"/>
    <x v="1"/>
    <n v="77067"/>
    <n v="18"/>
    <x v="55"/>
    <n v="600000"/>
    <n v="750000"/>
    <n v="900000"/>
    <n v="1200000"/>
    <n v="0.95847499999999997"/>
    <s v="0-100%"/>
    <n v="74761.05"/>
    <n v="0"/>
    <n v="0"/>
    <n v="0"/>
    <n v="0"/>
    <n v="74761.05"/>
    <n v="151828.04999999999"/>
    <n v="86262.75"/>
    <n v="0"/>
    <n v="0"/>
    <n v="0"/>
    <n v="0"/>
    <n v="86262.75"/>
    <n v="163329.75"/>
  </r>
  <r>
    <n v="8808097757"/>
    <s v="Alene"/>
    <s v="Barneveld"/>
    <x v="56"/>
    <x v="0"/>
    <n v="49051"/>
    <n v="25"/>
    <x v="56"/>
    <n v="500000"/>
    <n v="625000"/>
    <n v="750000"/>
    <n v="1000000"/>
    <n v="1.9193800000000001"/>
    <s v="150-200%"/>
    <n v="50000"/>
    <n v="21250"/>
    <n v="26250"/>
    <n v="54519.4"/>
    <n v="0"/>
    <n v="152019.4"/>
    <n v="201070.4"/>
    <n v="60000"/>
    <n v="21250"/>
    <n v="25000"/>
    <n v="46131.8"/>
    <n v="0"/>
    <n v="152381.79999999999"/>
    <n v="201432.8"/>
  </r>
  <r>
    <n v="1953937357"/>
    <s v="Nate"/>
    <s v="Bartaletti"/>
    <x v="57"/>
    <x v="1"/>
    <n v="71164"/>
    <n v="29"/>
    <x v="57"/>
    <n v="600000"/>
    <n v="750000"/>
    <n v="900000"/>
    <n v="1200000"/>
    <n v="1.6422583333333334"/>
    <s v="150-200%"/>
    <n v="78000"/>
    <n v="28500"/>
    <n v="34500"/>
    <n v="25606.5"/>
    <n v="0"/>
    <n v="166606.5"/>
    <n v="237770.5"/>
    <n v="90000"/>
    <n v="27000"/>
    <n v="37500"/>
    <n v="25606.5"/>
    <n v="0"/>
    <n v="180106.5"/>
    <n v="251270.5"/>
  </r>
  <r>
    <n v="8335120919"/>
    <s v="Walker"/>
    <s v="Bartels"/>
    <x v="58"/>
    <x v="1"/>
    <n v="55018"/>
    <n v="16"/>
    <x v="58"/>
    <n v="600000"/>
    <n v="750000"/>
    <n v="900000"/>
    <n v="1200000"/>
    <n v="0.85990833333333339"/>
    <s v="0-100%"/>
    <n v="67072.850000000006"/>
    <n v="0"/>
    <n v="0"/>
    <n v="0"/>
    <n v="0"/>
    <n v="67072.850000000006"/>
    <n v="122090.85"/>
    <n v="77391.75"/>
    <n v="0"/>
    <n v="0"/>
    <n v="0"/>
    <n v="0"/>
    <n v="77391.75"/>
    <n v="132409.75"/>
  </r>
  <r>
    <n v="6850203894"/>
    <s v="Sena"/>
    <s v="Bartholomieu"/>
    <x v="59"/>
    <x v="2"/>
    <n v="114758"/>
    <n v="15"/>
    <x v="59"/>
    <n v="750000"/>
    <n v="937500"/>
    <n v="1125000"/>
    <n v="1500000"/>
    <n v="0.66775466666666672"/>
    <s v="0-100%"/>
    <n v="75122.399999999994"/>
    <n v="0"/>
    <n v="0"/>
    <n v="0"/>
    <n v="0"/>
    <n v="75122.399999999994"/>
    <n v="189880.4"/>
    <n v="75122.399999999994"/>
    <n v="0"/>
    <n v="0"/>
    <n v="0"/>
    <n v="0"/>
    <n v="75122.399999999994"/>
    <n v="189880.4"/>
  </r>
  <r>
    <n v="898924138"/>
    <s v="Thebault"/>
    <s v="Base"/>
    <x v="60"/>
    <x v="1"/>
    <n v="61385"/>
    <n v="19"/>
    <x v="60"/>
    <n v="600000"/>
    <n v="750000"/>
    <n v="900000"/>
    <n v="1200000"/>
    <n v="1.1525716666666668"/>
    <s v="100-125%"/>
    <n v="78000"/>
    <n v="17393.170000000002"/>
    <n v="0"/>
    <n v="0"/>
    <n v="0"/>
    <n v="95393.17"/>
    <n v="156778.16999999998"/>
    <n v="90000"/>
    <n v="16477.739999999998"/>
    <n v="0"/>
    <n v="0"/>
    <n v="0"/>
    <n v="106477.73999999999"/>
    <n v="167862.74"/>
  </r>
  <r>
    <n v="6436551115"/>
    <s v="Gale"/>
    <s v="Batchelder"/>
    <x v="61"/>
    <x v="0"/>
    <n v="38918"/>
    <n v="14"/>
    <x v="61"/>
    <n v="500000"/>
    <n v="625000"/>
    <n v="750000"/>
    <n v="1000000"/>
    <n v="0.86616599999999999"/>
    <s v="0-100%"/>
    <n v="43308.3"/>
    <n v="0"/>
    <n v="0"/>
    <n v="0"/>
    <n v="0"/>
    <n v="43308.3"/>
    <n v="82226.3"/>
    <n v="51969.96"/>
    <n v="0"/>
    <n v="0"/>
    <n v="0"/>
    <n v="0"/>
    <n v="51969.96"/>
    <n v="90887.959999999992"/>
  </r>
  <r>
    <n v="2149326663"/>
    <s v="Sarita"/>
    <s v="Batcheldor"/>
    <x v="62"/>
    <x v="2"/>
    <n v="100348"/>
    <n v="23"/>
    <x v="62"/>
    <n v="750000"/>
    <n v="937500"/>
    <n v="1125000"/>
    <n v="1500000"/>
    <n v="1.0522813333333334"/>
    <s v="100-125%"/>
    <n v="112500"/>
    <n v="7450.09"/>
    <n v="0"/>
    <n v="0"/>
    <n v="0"/>
    <n v="119950.09"/>
    <n v="220298.09"/>
    <n v="112500"/>
    <n v="8626.42"/>
    <n v="0"/>
    <n v="0"/>
    <n v="0"/>
    <n v="121126.42"/>
    <n v="221474.41999999998"/>
  </r>
  <r>
    <n v="2510440322"/>
    <s v="Tabbatha"/>
    <s v="Battaille"/>
    <x v="63"/>
    <x v="1"/>
    <n v="69480"/>
    <n v="20"/>
    <x v="63"/>
    <n v="600000"/>
    <n v="750000"/>
    <n v="900000"/>
    <n v="1200000"/>
    <n v="1.2049033333333334"/>
    <s v="100-125%"/>
    <n v="78000"/>
    <n v="20900.140000000003"/>
    <n v="0"/>
    <n v="0"/>
    <n v="0"/>
    <n v="98900.14"/>
    <n v="168380.14"/>
    <n v="90000"/>
    <n v="22129.559999999998"/>
    <n v="0"/>
    <n v="0"/>
    <n v="0"/>
    <n v="112129.56"/>
    <n v="181609.56"/>
  </r>
  <r>
    <n v="8128449354"/>
    <s v="Adelice"/>
    <s v="Baudinet"/>
    <x v="64"/>
    <x v="2"/>
    <n v="119330"/>
    <n v="20"/>
    <x v="64"/>
    <n v="750000"/>
    <n v="937500"/>
    <n v="1125000"/>
    <n v="1500000"/>
    <n v="1.0266933333333332"/>
    <s v="100-125%"/>
    <n v="112500"/>
    <n v="3803.8"/>
    <n v="0"/>
    <n v="0"/>
    <n v="0"/>
    <n v="116303.8"/>
    <n v="235633.8"/>
    <n v="112500"/>
    <n v="4404.3999999999996"/>
    <n v="0"/>
    <n v="0"/>
    <n v="0"/>
    <n v="116904.4"/>
    <n v="236234.4"/>
  </r>
  <r>
    <n v="3507341514"/>
    <s v="Rouvin"/>
    <s v="Bavister"/>
    <x v="65"/>
    <x v="2"/>
    <n v="89245"/>
    <n v="17"/>
    <x v="65"/>
    <n v="750000"/>
    <n v="937500"/>
    <n v="1125000"/>
    <n v="1500000"/>
    <n v="0.79574400000000001"/>
    <s v="0-100%"/>
    <n v="89521.2"/>
    <n v="0"/>
    <n v="0"/>
    <n v="0"/>
    <n v="0"/>
    <n v="89521.2"/>
    <n v="178766.2"/>
    <n v="89521.2"/>
    <n v="0"/>
    <n v="0"/>
    <n v="0"/>
    <n v="0"/>
    <n v="89521.2"/>
    <n v="178766.2"/>
  </r>
  <r>
    <n v="274599287"/>
    <s v="Osmond"/>
    <s v="Bayfield"/>
    <x v="66"/>
    <x v="1"/>
    <n v="79938"/>
    <n v="22"/>
    <x v="66"/>
    <n v="600000"/>
    <n v="750000"/>
    <n v="900000"/>
    <n v="1200000"/>
    <n v="1.4608416666666666"/>
    <s v="125-150%"/>
    <n v="78000"/>
    <n v="22500"/>
    <n v="22770.899999999998"/>
    <n v="0"/>
    <n v="0"/>
    <n v="123270.9"/>
    <n v="203208.9"/>
    <n v="90000"/>
    <n v="27000"/>
    <n v="31626.25"/>
    <n v="0"/>
    <n v="0"/>
    <n v="148626.25"/>
    <n v="228564.25"/>
  </r>
  <r>
    <n v="1364767856"/>
    <s v="Sterling"/>
    <s v="Bebbington"/>
    <x v="67"/>
    <x v="0"/>
    <n v="59415"/>
    <n v="23"/>
    <x v="67"/>
    <n v="500000"/>
    <n v="625000"/>
    <n v="750000"/>
    <n v="1000000"/>
    <n v="1.4167799999999999"/>
    <s v="125-150%"/>
    <n v="50000"/>
    <n v="21250"/>
    <n v="17511.899999999998"/>
    <n v="0"/>
    <n v="0"/>
    <n v="88761.9"/>
    <n v="148176.9"/>
    <n v="60000"/>
    <n v="21250"/>
    <n v="16678"/>
    <n v="0"/>
    <n v="0"/>
    <n v="97928"/>
    <n v="157343"/>
  </r>
  <r>
    <n v="1895483948"/>
    <s v="Raquel"/>
    <s v="Beelby"/>
    <x v="68"/>
    <x v="2"/>
    <n v="110414"/>
    <n v="21"/>
    <x v="68"/>
    <n v="750000"/>
    <n v="937500"/>
    <n v="1125000"/>
    <n v="1500000"/>
    <n v="1.0367506666666666"/>
    <s v="100-125%"/>
    <n v="112500"/>
    <n v="4685.71"/>
    <n v="0"/>
    <n v="0"/>
    <n v="0"/>
    <n v="117185.71"/>
    <n v="227599.71000000002"/>
    <n v="112500"/>
    <n v="6063.86"/>
    <n v="0"/>
    <n v="0"/>
    <n v="0"/>
    <n v="118563.86"/>
    <n v="228977.86"/>
  </r>
  <r>
    <n v="5203144281"/>
    <s v="Kalli"/>
    <s v="Beeze"/>
    <x v="69"/>
    <x v="2"/>
    <n v="99005"/>
    <n v="14"/>
    <x v="69"/>
    <n v="750000"/>
    <n v="937500"/>
    <n v="1125000"/>
    <n v="1500000"/>
    <n v="0.6172266666666667"/>
    <s v="0-100%"/>
    <n v="69438"/>
    <n v="0"/>
    <n v="0"/>
    <n v="0"/>
    <n v="0"/>
    <n v="69438"/>
    <n v="168443"/>
    <n v="69438"/>
    <n v="0"/>
    <n v="0"/>
    <n v="0"/>
    <n v="0"/>
    <n v="69438"/>
    <n v="168443"/>
  </r>
  <r>
    <n v="8757371024"/>
    <s v="Denney"/>
    <s v="Behr"/>
    <x v="70"/>
    <x v="1"/>
    <n v="61475"/>
    <n v="15"/>
    <x v="70"/>
    <n v="600000"/>
    <n v="750000"/>
    <n v="900000"/>
    <n v="1200000"/>
    <n v="0.75148666666666664"/>
    <s v="0-100%"/>
    <n v="58615.96"/>
    <n v="0"/>
    <n v="0"/>
    <n v="0"/>
    <n v="0"/>
    <n v="58615.96"/>
    <n v="120090.95999999999"/>
    <n v="67633.8"/>
    <n v="0"/>
    <n v="0"/>
    <n v="0"/>
    <n v="0"/>
    <n v="67633.8"/>
    <n v="129108.8"/>
  </r>
  <r>
    <n v="2353272215"/>
    <s v="Maury"/>
    <s v="Belshaw"/>
    <x v="71"/>
    <x v="1"/>
    <n v="70609"/>
    <n v="26"/>
    <x v="71"/>
    <n v="600000"/>
    <n v="750000"/>
    <n v="900000"/>
    <n v="1200000"/>
    <n v="1.706315"/>
    <s v="150-200%"/>
    <n v="78000"/>
    <n v="22500"/>
    <n v="27000"/>
    <n v="27233.58"/>
    <n v="0"/>
    <n v="154733.58000000002"/>
    <n v="225342.58000000002"/>
    <n v="90000"/>
    <n v="27000"/>
    <n v="37500"/>
    <n v="37136.699999999997"/>
    <n v="0"/>
    <n v="191636.7"/>
    <n v="262245.7"/>
  </r>
  <r>
    <n v="3409869514"/>
    <s v="Lil"/>
    <s v="Benion"/>
    <x v="72"/>
    <x v="0"/>
    <n v="47831"/>
    <n v="23"/>
    <x v="72"/>
    <n v="500000"/>
    <n v="625000"/>
    <n v="750000"/>
    <n v="1000000"/>
    <n v="1.636218"/>
    <s v="150-200%"/>
    <n v="50000"/>
    <n v="23750"/>
    <n v="28750"/>
    <n v="20432.7"/>
    <n v="0"/>
    <n v="122932.7"/>
    <n v="170763.7"/>
    <n v="60000"/>
    <n v="21250"/>
    <n v="25000"/>
    <n v="14983.98"/>
    <n v="0"/>
    <n v="121233.98"/>
    <n v="169064.97999999998"/>
  </r>
  <r>
    <n v="6789690301"/>
    <s v="Carey"/>
    <s v="Bennellick"/>
    <x v="73"/>
    <x v="2"/>
    <n v="110711"/>
    <n v="21"/>
    <x v="73"/>
    <n v="750000"/>
    <n v="937500"/>
    <n v="1125000"/>
    <n v="1500000"/>
    <n v="1.0145573333333333"/>
    <s v="100-125%"/>
    <n v="112500"/>
    <n v="2074.42"/>
    <n v="0"/>
    <n v="0"/>
    <n v="0"/>
    <n v="114574.42"/>
    <n v="225285.41999999998"/>
    <n v="112500"/>
    <n v="2401.96"/>
    <n v="0"/>
    <n v="0"/>
    <n v="0"/>
    <n v="114901.96"/>
    <n v="225612.96000000002"/>
  </r>
  <r>
    <n v="4487905370"/>
    <s v="Chastity"/>
    <s v="Benninger"/>
    <x v="74"/>
    <x v="0"/>
    <n v="63935"/>
    <n v="21"/>
    <x v="74"/>
    <n v="500000"/>
    <n v="625000"/>
    <n v="750000"/>
    <n v="1000000"/>
    <n v="1.2493479999999999"/>
    <s v="100-125%"/>
    <n v="50000"/>
    <n v="18701.099999999999"/>
    <n v="0"/>
    <n v="0"/>
    <n v="0"/>
    <n v="68701.100000000006"/>
    <n v="132636.1"/>
    <n v="60000"/>
    <n v="21194.58"/>
    <n v="0"/>
    <n v="0"/>
    <n v="0"/>
    <n v="81194.58"/>
    <n v="145129.58000000002"/>
  </r>
  <r>
    <n v="4175195971"/>
    <s v="Nickolaus"/>
    <s v="Bernardeau"/>
    <x v="75"/>
    <x v="0"/>
    <n v="57811"/>
    <n v="14"/>
    <x v="75"/>
    <n v="500000"/>
    <n v="625000"/>
    <n v="750000"/>
    <n v="1000000"/>
    <n v="0.82853200000000005"/>
    <s v="0-100%"/>
    <n v="41426.600000000006"/>
    <n v="0"/>
    <n v="0"/>
    <n v="0"/>
    <n v="0"/>
    <n v="41426.600000000006"/>
    <n v="99237.6"/>
    <n v="49711.92"/>
    <n v="0"/>
    <n v="0"/>
    <n v="0"/>
    <n v="0"/>
    <n v="49711.92"/>
    <n v="107522.92"/>
  </r>
  <r>
    <n v="3219601650"/>
    <s v="Culley"/>
    <s v="Bernardotti"/>
    <x v="76"/>
    <x v="1"/>
    <n v="55807"/>
    <n v="28"/>
    <x v="76"/>
    <n v="600000"/>
    <n v="750000"/>
    <n v="900000"/>
    <n v="1200000"/>
    <n v="1.6779500000000001"/>
    <s v="150-200%"/>
    <n v="78000"/>
    <n v="28500"/>
    <n v="34500"/>
    <n v="32031"/>
    <n v="0"/>
    <n v="173031"/>
    <n v="228838"/>
    <n v="90000"/>
    <n v="27000"/>
    <n v="37500"/>
    <n v="32031"/>
    <n v="0"/>
    <n v="186531"/>
    <n v="242338"/>
  </r>
  <r>
    <n v="3933021111"/>
    <s v="Susi"/>
    <s v="Berndsen"/>
    <x v="77"/>
    <x v="2"/>
    <n v="119316"/>
    <n v="23"/>
    <x v="77"/>
    <n v="750000"/>
    <n v="937500"/>
    <n v="1125000"/>
    <n v="1500000"/>
    <n v="1.0692813333333333"/>
    <s v="100-125%"/>
    <n v="112500"/>
    <n v="9872.59"/>
    <n v="0"/>
    <n v="0"/>
    <n v="0"/>
    <n v="122372.59"/>
    <n v="241688.59"/>
    <n v="112500"/>
    <n v="11431.42"/>
    <n v="0"/>
    <n v="0"/>
    <n v="0"/>
    <n v="123931.42"/>
    <n v="243247.41999999998"/>
  </r>
  <r>
    <n v="2748937082"/>
    <s v="Albertine"/>
    <s v="Berntssen"/>
    <x v="78"/>
    <x v="2"/>
    <n v="106511"/>
    <n v="20"/>
    <x v="78"/>
    <n v="750000"/>
    <n v="937500"/>
    <n v="1125000"/>
    <n v="1500000"/>
    <n v="0.89199733333333331"/>
    <s v="0-100%"/>
    <n v="100349.7"/>
    <n v="0"/>
    <n v="0"/>
    <n v="0"/>
    <n v="0"/>
    <n v="100349.7"/>
    <n v="206860.7"/>
    <n v="100349.7"/>
    <n v="0"/>
    <n v="0"/>
    <n v="0"/>
    <n v="0"/>
    <n v="100349.7"/>
    <n v="206860.7"/>
  </r>
  <r>
    <n v="4185019157"/>
    <s v="Loree"/>
    <s v="Bertelet"/>
    <x v="79"/>
    <x v="0"/>
    <n v="52111"/>
    <n v="26"/>
    <x v="79"/>
    <n v="500000"/>
    <n v="625000"/>
    <n v="750000"/>
    <n v="1000000"/>
    <n v="2.0039400000000001"/>
    <s v="&gt;200%"/>
    <n v="50000"/>
    <n v="18750"/>
    <n v="22500"/>
    <n v="55000"/>
    <n v="197"/>
    <n v="146447"/>
    <n v="198558"/>
    <n v="60000"/>
    <n v="21250"/>
    <n v="25000"/>
    <n v="55000"/>
    <n v="197"/>
    <n v="161447"/>
    <n v="213558"/>
  </r>
  <r>
    <n v="5623896162"/>
    <s v="Eulalie"/>
    <s v="Bianco"/>
    <x v="80"/>
    <x v="1"/>
    <n v="74626"/>
    <n v="17"/>
    <x v="80"/>
    <n v="600000"/>
    <n v="750000"/>
    <n v="900000"/>
    <n v="1200000"/>
    <n v="0.76075499999999996"/>
    <s v="0-100%"/>
    <n v="59338.89"/>
    <n v="0"/>
    <n v="0"/>
    <n v="0"/>
    <n v="0"/>
    <n v="59338.89"/>
    <n v="133964.89000000001"/>
    <n v="68467.95"/>
    <n v="0"/>
    <n v="0"/>
    <n v="0"/>
    <n v="0"/>
    <n v="68467.95"/>
    <n v="143093.95000000001"/>
  </r>
  <r>
    <n v="6820956614"/>
    <s v="Gina"/>
    <s v="Biggadyke"/>
    <x v="81"/>
    <x v="1"/>
    <n v="65490"/>
    <n v="15"/>
    <x v="81"/>
    <n v="600000"/>
    <n v="750000"/>
    <n v="900000"/>
    <n v="1200000"/>
    <n v="0.89050166666666664"/>
    <s v="0-100%"/>
    <n v="69459.13"/>
    <n v="0"/>
    <n v="0"/>
    <n v="0"/>
    <n v="0"/>
    <n v="69459.13"/>
    <n v="134949.13"/>
    <n v="80145.149999999994"/>
    <n v="0"/>
    <n v="0"/>
    <n v="0"/>
    <n v="0"/>
    <n v="80145.149999999994"/>
    <n v="145635.15"/>
  </r>
  <r>
    <n v="6227038881"/>
    <s v="Rudd"/>
    <s v="Bigland"/>
    <x v="82"/>
    <x v="2"/>
    <n v="124085"/>
    <n v="24"/>
    <x v="82"/>
    <n v="750000"/>
    <n v="937500"/>
    <n v="1125000"/>
    <n v="1500000"/>
    <n v="1.0015400000000001"/>
    <s v="100-125%"/>
    <n v="112500"/>
    <n v="196.35000000000002"/>
    <n v="0"/>
    <n v="0"/>
    <n v="0"/>
    <n v="112696.35"/>
    <n v="236781.35"/>
    <n v="112500"/>
    <n v="254.1"/>
    <n v="0"/>
    <n v="0"/>
    <n v="0"/>
    <n v="112754.1"/>
    <n v="236839.1"/>
  </r>
  <r>
    <n v="965285472"/>
    <s v="Stephannie"/>
    <s v="Birt"/>
    <x v="83"/>
    <x v="2"/>
    <n v="90828"/>
    <n v="23"/>
    <x v="83"/>
    <n v="750000"/>
    <n v="937500"/>
    <n v="1125000"/>
    <n v="1500000"/>
    <n v="1.0747640000000001"/>
    <s v="100-125%"/>
    <n v="112500"/>
    <n v="10653.87"/>
    <n v="0"/>
    <n v="0"/>
    <n v="0"/>
    <n v="123153.87"/>
    <n v="213981.87"/>
    <n v="112500"/>
    <n v="12336.06"/>
    <n v="0"/>
    <n v="0"/>
    <n v="0"/>
    <n v="124836.06"/>
    <n v="215664.06"/>
  </r>
  <r>
    <n v="4815280800"/>
    <s v="Emanuele"/>
    <s v="Blackden"/>
    <x v="84"/>
    <x v="0"/>
    <n v="38701"/>
    <n v="18"/>
    <x v="84"/>
    <n v="500000"/>
    <n v="625000"/>
    <n v="750000"/>
    <n v="1000000"/>
    <n v="1.1798120000000001"/>
    <s v="100-125%"/>
    <n v="50000"/>
    <n v="15284.02"/>
    <n v="0"/>
    <n v="0"/>
    <n v="0"/>
    <n v="65284.020000000004"/>
    <n v="103985.02"/>
    <n v="60000"/>
    <n v="15284.02"/>
    <n v="0"/>
    <n v="0"/>
    <n v="0"/>
    <n v="75284.02"/>
    <n v="113985.02"/>
  </r>
  <r>
    <n v="7140803102"/>
    <s v="Kippy"/>
    <s v="Blaver"/>
    <x v="85"/>
    <x v="0"/>
    <n v="33901"/>
    <n v="16"/>
    <x v="85"/>
    <n v="500000"/>
    <n v="625000"/>
    <n v="750000"/>
    <n v="1000000"/>
    <n v="1.002658"/>
    <s v="100-125%"/>
    <n v="50000"/>
    <n v="252.51"/>
    <n v="0"/>
    <n v="0"/>
    <n v="0"/>
    <n v="50252.51"/>
    <n v="84153.510000000009"/>
    <n v="60000"/>
    <n v="225.93"/>
    <n v="0"/>
    <n v="0"/>
    <n v="0"/>
    <n v="60225.93"/>
    <n v="94126.93"/>
  </r>
  <r>
    <n v="87033755"/>
    <s v="Vite"/>
    <s v="Blethyn"/>
    <x v="86"/>
    <x v="0"/>
    <n v="51861"/>
    <n v="14"/>
    <x v="86"/>
    <n v="500000"/>
    <n v="625000"/>
    <n v="750000"/>
    <n v="1000000"/>
    <n v="0.95138800000000001"/>
    <s v="0-100%"/>
    <n v="47569.4"/>
    <n v="0"/>
    <n v="0"/>
    <n v="0"/>
    <n v="0"/>
    <n v="47569.4"/>
    <n v="99430.399999999994"/>
    <n v="57083.28"/>
    <n v="0"/>
    <n v="0"/>
    <n v="0"/>
    <n v="0"/>
    <n v="57083.28"/>
    <n v="108944.28"/>
  </r>
  <r>
    <n v="7074056774"/>
    <s v="Arlette"/>
    <s v="Blinder"/>
    <x v="87"/>
    <x v="2"/>
    <n v="98182"/>
    <n v="15"/>
    <x v="87"/>
    <n v="750000"/>
    <n v="937500"/>
    <n v="1125000"/>
    <n v="1500000"/>
    <n v="0.72011066666666668"/>
    <s v="0-100%"/>
    <n v="81012.45"/>
    <n v="0"/>
    <n v="0"/>
    <n v="0"/>
    <n v="0"/>
    <n v="81012.45"/>
    <n v="179194.45"/>
    <n v="81012.45"/>
    <n v="0"/>
    <n v="0"/>
    <n v="0"/>
    <n v="0"/>
    <n v="81012.45"/>
    <n v="179194.45"/>
  </r>
  <r>
    <n v="6106380341"/>
    <s v="Bernelle"/>
    <s v="Blint"/>
    <x v="88"/>
    <x v="1"/>
    <n v="57050"/>
    <n v="14"/>
    <x v="88"/>
    <n v="600000"/>
    <n v="750000"/>
    <n v="900000"/>
    <n v="1200000"/>
    <n v="0.68815999999999999"/>
    <s v="0-100%"/>
    <n v="53676.480000000003"/>
    <n v="0"/>
    <n v="0"/>
    <n v="0"/>
    <n v="0"/>
    <n v="53676.480000000003"/>
    <n v="110726.48000000001"/>
    <n v="61934.399999999994"/>
    <n v="0"/>
    <n v="0"/>
    <n v="0"/>
    <n v="0"/>
    <n v="61934.399999999994"/>
    <n v="118984.4"/>
  </r>
  <r>
    <n v="116428384"/>
    <s v="Leicester"/>
    <s v="Blonden"/>
    <x v="89"/>
    <x v="0"/>
    <n v="49600"/>
    <n v="15"/>
    <x v="89"/>
    <n v="500000"/>
    <n v="625000"/>
    <n v="750000"/>
    <n v="1000000"/>
    <n v="1.1045640000000001"/>
    <s v="100-125%"/>
    <n v="50000"/>
    <n v="7842.2999999999993"/>
    <n v="0"/>
    <n v="0"/>
    <n v="0"/>
    <n v="57842.3"/>
    <n v="107442.3"/>
    <n v="60000"/>
    <n v="8887.94"/>
    <n v="0"/>
    <n v="0"/>
    <n v="0"/>
    <n v="68887.94"/>
    <n v="118487.94"/>
  </r>
  <r>
    <n v="7489370671"/>
    <s v="Esdras"/>
    <s v="Blucher"/>
    <x v="90"/>
    <x v="1"/>
    <n v="70125"/>
    <n v="22"/>
    <x v="90"/>
    <n v="600000"/>
    <n v="750000"/>
    <n v="900000"/>
    <n v="1200000"/>
    <n v="1.2466116666666667"/>
    <s v="100-125%"/>
    <n v="78000"/>
    <n v="22195.05"/>
    <n v="0"/>
    <n v="0"/>
    <n v="0"/>
    <n v="100195.05"/>
    <n v="170320.05"/>
    <n v="90000"/>
    <n v="26634.059999999998"/>
    <n v="0"/>
    <n v="0"/>
    <n v="0"/>
    <n v="116634.06"/>
    <n v="186759.06"/>
  </r>
  <r>
    <n v="481875921"/>
    <s v="Coleman"/>
    <s v="Blunderfield"/>
    <x v="91"/>
    <x v="2"/>
    <n v="84575"/>
    <n v="16"/>
    <x v="91"/>
    <n v="750000"/>
    <n v="937500"/>
    <n v="1125000"/>
    <n v="1500000"/>
    <n v="0.72127066666666662"/>
    <s v="0-100%"/>
    <n v="81142.95"/>
    <n v="0"/>
    <n v="0"/>
    <n v="0"/>
    <n v="0"/>
    <n v="81142.95"/>
    <n v="165717.95000000001"/>
    <n v="81142.95"/>
    <n v="0"/>
    <n v="0"/>
    <n v="0"/>
    <n v="0"/>
    <n v="81142.95"/>
    <n v="165717.95000000001"/>
  </r>
  <r>
    <n v="9611070055"/>
    <s v="Luise"/>
    <s v="Bodley"/>
    <x v="92"/>
    <x v="0"/>
    <n v="63324"/>
    <n v="9"/>
    <x v="92"/>
    <n v="500000"/>
    <n v="625000"/>
    <n v="750000"/>
    <n v="1000000"/>
    <n v="0.43973800000000002"/>
    <s v="0-100%"/>
    <n v="21986.9"/>
    <n v="0"/>
    <n v="0"/>
    <n v="0"/>
    <n v="0"/>
    <n v="21986.9"/>
    <n v="85310.9"/>
    <n v="26384.28"/>
    <n v="0"/>
    <n v="0"/>
    <n v="0"/>
    <n v="0"/>
    <n v="26384.28"/>
    <n v="89708.28"/>
  </r>
  <r>
    <n v="885693418"/>
    <s v="Cirilo"/>
    <s v="Bolf"/>
    <x v="93"/>
    <x v="0"/>
    <n v="55828"/>
    <n v="17"/>
    <x v="93"/>
    <n v="500000"/>
    <n v="625000"/>
    <n v="750000"/>
    <n v="1000000"/>
    <n v="0.99151400000000001"/>
    <s v="0-100%"/>
    <n v="49575.700000000004"/>
    <n v="0"/>
    <n v="0"/>
    <n v="0"/>
    <n v="0"/>
    <n v="49575.700000000004"/>
    <n v="105403.70000000001"/>
    <n v="59490.84"/>
    <n v="0"/>
    <n v="0"/>
    <n v="0"/>
    <n v="0"/>
    <n v="59490.84"/>
    <n v="115318.84"/>
  </r>
  <r>
    <n v="9686840923"/>
    <s v="Hermina"/>
    <s v="Bowditch"/>
    <x v="94"/>
    <x v="2"/>
    <n v="79755"/>
    <n v="15"/>
    <x v="94"/>
    <n v="750000"/>
    <n v="937500"/>
    <n v="1125000"/>
    <n v="1500000"/>
    <n v="0.76480933333333334"/>
    <s v="0-100%"/>
    <n v="86041.05"/>
    <n v="0"/>
    <n v="0"/>
    <n v="0"/>
    <n v="0"/>
    <n v="86041.05"/>
    <n v="165796.04999999999"/>
    <n v="86041.05"/>
    <n v="0"/>
    <n v="0"/>
    <n v="0"/>
    <n v="0"/>
    <n v="86041.05"/>
    <n v="165796.04999999999"/>
  </r>
  <r>
    <n v="8703756602"/>
    <s v="Gennifer"/>
    <s v="Bowdrey"/>
    <x v="95"/>
    <x v="0"/>
    <n v="54119"/>
    <n v="14"/>
    <x v="95"/>
    <n v="500000"/>
    <n v="625000"/>
    <n v="750000"/>
    <n v="1000000"/>
    <n v="1.1013820000000001"/>
    <s v="100-125%"/>
    <n v="50000"/>
    <n v="7603.65"/>
    <n v="0"/>
    <n v="0"/>
    <n v="0"/>
    <n v="57603.65"/>
    <n v="111722.65"/>
    <n v="60000"/>
    <n v="8617.4700000000012"/>
    <n v="0"/>
    <n v="0"/>
    <n v="0"/>
    <n v="68617.47"/>
    <n v="122736.47"/>
  </r>
  <r>
    <n v="3935718624"/>
    <s v="Nathalie"/>
    <s v="Bowerbank"/>
    <x v="96"/>
    <x v="0"/>
    <n v="44845"/>
    <n v="35"/>
    <x v="96"/>
    <n v="500000"/>
    <n v="625000"/>
    <n v="750000"/>
    <n v="1000000"/>
    <n v="2.460404"/>
    <s v="&gt;200%"/>
    <n v="50000"/>
    <n v="21250"/>
    <n v="26250"/>
    <n v="65000"/>
    <n v="29926.260000000002"/>
    <n v="192426.26"/>
    <n v="237271.26"/>
    <n v="60000"/>
    <n v="21250"/>
    <n v="25000"/>
    <n v="55000"/>
    <n v="23020.2"/>
    <n v="184270.2"/>
    <n v="229115.2"/>
  </r>
  <r>
    <n v="2821741499"/>
    <s v="Sadella"/>
    <s v="Bowgen"/>
    <x v="97"/>
    <x v="2"/>
    <n v="112888"/>
    <n v="28"/>
    <x v="97"/>
    <n v="750000"/>
    <n v="937500"/>
    <n v="1125000"/>
    <n v="1500000"/>
    <n v="1.2401413333333333"/>
    <s v="100-125%"/>
    <n v="112500"/>
    <n v="34220.14"/>
    <n v="0"/>
    <n v="0"/>
    <n v="0"/>
    <n v="146720.14000000001"/>
    <n v="259608.14"/>
    <n v="112500"/>
    <n v="39623.32"/>
    <n v="0"/>
    <n v="0"/>
    <n v="0"/>
    <n v="152123.32"/>
    <n v="265011.32"/>
  </r>
  <r>
    <n v="4937054791"/>
    <s v="Rosalie"/>
    <s v="Brankley"/>
    <x v="98"/>
    <x v="1"/>
    <n v="58630"/>
    <n v="17"/>
    <x v="98"/>
    <n v="600000"/>
    <n v="750000"/>
    <n v="900000"/>
    <n v="1200000"/>
    <n v="1.048565"/>
    <s v="100-125%"/>
    <n v="78000"/>
    <n v="4370.8499999999995"/>
    <n v="0"/>
    <n v="0"/>
    <n v="0"/>
    <n v="82370.850000000006"/>
    <n v="141000.85"/>
    <n v="90000"/>
    <n v="5245.0199999999995"/>
    <n v="0"/>
    <n v="0"/>
    <n v="0"/>
    <n v="95245.02"/>
    <n v="153875.02000000002"/>
  </r>
  <r>
    <n v="2209340063"/>
    <s v="Frasquito"/>
    <s v="Breach"/>
    <x v="99"/>
    <x v="2"/>
    <n v="111017"/>
    <n v="21"/>
    <x v="99"/>
    <n v="750000"/>
    <n v="937500"/>
    <n v="1125000"/>
    <n v="1500000"/>
    <n v="0.81287066666666663"/>
    <s v="0-100%"/>
    <n v="91447.95"/>
    <n v="0"/>
    <n v="0"/>
    <n v="0"/>
    <n v="0"/>
    <n v="91447.95"/>
    <n v="202464.95"/>
    <n v="91447.95"/>
    <n v="0"/>
    <n v="0"/>
    <n v="0"/>
    <n v="0"/>
    <n v="91447.95"/>
    <n v="202464.95"/>
  </r>
  <r>
    <n v="6408517315"/>
    <s v="Tait"/>
    <s v="Brewitt"/>
    <x v="100"/>
    <x v="2"/>
    <n v="122626"/>
    <n v="21"/>
    <x v="100"/>
    <n v="750000"/>
    <n v="937500"/>
    <n v="1125000"/>
    <n v="1500000"/>
    <n v="1.0513760000000001"/>
    <s v="100-125%"/>
    <n v="112500"/>
    <n v="5779.8"/>
    <n v="0"/>
    <n v="0"/>
    <n v="0"/>
    <n v="118279.8"/>
    <n v="240905.8"/>
    <n v="112500"/>
    <n v="8477.0400000000009"/>
    <n v="0"/>
    <n v="0"/>
    <n v="0"/>
    <n v="120977.04000000001"/>
    <n v="243603.04"/>
  </r>
  <r>
    <n v="1263903657"/>
    <s v="Court"/>
    <s v="Brightwell"/>
    <x v="101"/>
    <x v="2"/>
    <n v="99988"/>
    <n v="17"/>
    <x v="101"/>
    <n v="750000"/>
    <n v="937500"/>
    <n v="1125000"/>
    <n v="1500000"/>
    <n v="0.88183066666666665"/>
    <s v="0-100%"/>
    <n v="99205.95"/>
    <n v="0"/>
    <n v="0"/>
    <n v="0"/>
    <n v="0"/>
    <n v="99205.95"/>
    <n v="199193.95"/>
    <n v="99205.95"/>
    <n v="0"/>
    <n v="0"/>
    <n v="0"/>
    <n v="0"/>
    <n v="99205.95"/>
    <n v="199193.95"/>
  </r>
  <r>
    <n v="5005774041"/>
    <s v="Tracy"/>
    <s v="Briztman"/>
    <x v="102"/>
    <x v="0"/>
    <n v="47985"/>
    <n v="21"/>
    <x v="102"/>
    <n v="500000"/>
    <n v="625000"/>
    <n v="750000"/>
    <n v="1000000"/>
    <n v="1.2625740000000001"/>
    <s v="125-150%"/>
    <n v="50000"/>
    <n v="23750"/>
    <n v="1446.01"/>
    <n v="0"/>
    <n v="0"/>
    <n v="75196.009999999995"/>
    <n v="123181.01"/>
    <n v="60000"/>
    <n v="21250"/>
    <n v="1257.4000000000001"/>
    <n v="0"/>
    <n v="0"/>
    <n v="82507.399999999994"/>
    <n v="130492.4"/>
  </r>
  <r>
    <n v="320120716"/>
    <s v="Arty"/>
    <s v="Brobak"/>
    <x v="103"/>
    <x v="1"/>
    <n v="50348"/>
    <n v="11"/>
    <x v="103"/>
    <n v="600000"/>
    <n v="750000"/>
    <n v="900000"/>
    <n v="1200000"/>
    <n v="0.57130333333333339"/>
    <s v="0-100%"/>
    <n v="44561.66"/>
    <n v="0"/>
    <n v="0"/>
    <n v="0"/>
    <n v="0"/>
    <n v="44561.66"/>
    <n v="94909.66"/>
    <n v="51417.299999999996"/>
    <n v="0"/>
    <n v="0"/>
    <n v="0"/>
    <n v="0"/>
    <n v="51417.299999999996"/>
    <n v="101765.29999999999"/>
  </r>
  <r>
    <n v="819852252"/>
    <s v="Melva"/>
    <s v="Brosoli"/>
    <x v="104"/>
    <x v="0"/>
    <n v="46160"/>
    <n v="16"/>
    <x v="104"/>
    <n v="500000"/>
    <n v="625000"/>
    <n v="750000"/>
    <n v="1000000"/>
    <n v="1.268702"/>
    <s v="125-150%"/>
    <n v="50000"/>
    <n v="18750"/>
    <n v="1683.1799999999998"/>
    <n v="0"/>
    <n v="0"/>
    <n v="70433.179999999993"/>
    <n v="116593.18"/>
    <n v="60000"/>
    <n v="21250"/>
    <n v="1870.2"/>
    <n v="0"/>
    <n v="0"/>
    <n v="83120.2"/>
    <n v="129280.2"/>
  </r>
  <r>
    <n v="6789106936"/>
    <s v="Brooks"/>
    <s v="Brouncker"/>
    <x v="105"/>
    <x v="2"/>
    <n v="93300"/>
    <n v="22"/>
    <x v="105"/>
    <n v="750000"/>
    <n v="937500"/>
    <n v="1125000"/>
    <n v="1500000"/>
    <n v="0.88575866666666669"/>
    <s v="0-100%"/>
    <n v="99647.849999999991"/>
    <n v="0"/>
    <n v="0"/>
    <n v="0"/>
    <n v="0"/>
    <n v="99647.849999999991"/>
    <n v="192947.84999999998"/>
    <n v="99647.849999999991"/>
    <n v="0"/>
    <n v="0"/>
    <n v="0"/>
    <n v="0"/>
    <n v="99647.849999999991"/>
    <n v="192947.84999999998"/>
  </r>
  <r>
    <n v="3473885983"/>
    <s v="Melloney"/>
    <s v="Brown"/>
    <x v="106"/>
    <x v="2"/>
    <n v="112137"/>
    <n v="24"/>
    <x v="106"/>
    <n v="750000"/>
    <n v="937500"/>
    <n v="1125000"/>
    <n v="1500000"/>
    <n v="1.1483373333333333"/>
    <s v="100-125%"/>
    <n v="112500"/>
    <n v="16687.95"/>
    <n v="0"/>
    <n v="0"/>
    <n v="0"/>
    <n v="129187.95"/>
    <n v="241324.95"/>
    <n v="112500"/>
    <n v="24475.66"/>
    <n v="0"/>
    <n v="0"/>
    <n v="0"/>
    <n v="136975.66"/>
    <n v="249112.66"/>
  </r>
  <r>
    <n v="1280521902"/>
    <s v="Lory"/>
    <s v="Brundell"/>
    <x v="107"/>
    <x v="2"/>
    <n v="84921"/>
    <n v="14"/>
    <x v="107"/>
    <n v="750000"/>
    <n v="937500"/>
    <n v="1125000"/>
    <n v="1500000"/>
    <n v="0.65755200000000003"/>
    <s v="0-100%"/>
    <n v="73974.599999999991"/>
    <n v="0"/>
    <n v="0"/>
    <n v="0"/>
    <n v="0"/>
    <n v="73974.599999999991"/>
    <n v="158895.59999999998"/>
    <n v="73974.599999999991"/>
    <n v="0"/>
    <n v="0"/>
    <n v="0"/>
    <n v="0"/>
    <n v="73974.599999999991"/>
    <n v="158895.59999999998"/>
  </r>
  <r>
    <n v="1565607864"/>
    <s v="Sheilakathryn"/>
    <s v="Buckberry"/>
    <x v="108"/>
    <x v="2"/>
    <n v="75155"/>
    <n v="13"/>
    <x v="108"/>
    <n v="750000"/>
    <n v="937500"/>
    <n v="1125000"/>
    <n v="1500000"/>
    <n v="0.63240133333333337"/>
    <s v="0-100%"/>
    <n v="71145.149999999994"/>
    <n v="0"/>
    <n v="0"/>
    <n v="0"/>
    <n v="0"/>
    <n v="71145.149999999994"/>
    <n v="146300.15"/>
    <n v="71145.149999999994"/>
    <n v="0"/>
    <n v="0"/>
    <n v="0"/>
    <n v="0"/>
    <n v="71145.149999999994"/>
    <n v="146300.15"/>
  </r>
  <r>
    <n v="7427985850"/>
    <s v="Tallie"/>
    <s v="Buckner"/>
    <x v="109"/>
    <x v="2"/>
    <n v="77743"/>
    <n v="21"/>
    <x v="109"/>
    <n v="750000"/>
    <n v="937500"/>
    <n v="1125000"/>
    <n v="1500000"/>
    <n v="1.0190053333333333"/>
    <s v="100-125%"/>
    <n v="112500"/>
    <n v="2138.1"/>
    <n v="0"/>
    <n v="0"/>
    <n v="0"/>
    <n v="114638.1"/>
    <n v="192381.1"/>
    <n v="112500"/>
    <n v="3135.88"/>
    <n v="0"/>
    <n v="0"/>
    <n v="0"/>
    <n v="115635.88"/>
    <n v="193378.88"/>
  </r>
  <r>
    <n v="449160092"/>
    <s v="Martyn"/>
    <s v="Bunhill"/>
    <x v="110"/>
    <x v="0"/>
    <n v="35607"/>
    <n v="17"/>
    <x v="110"/>
    <n v="500000"/>
    <n v="625000"/>
    <n v="750000"/>
    <n v="1000000"/>
    <n v="1.032008"/>
    <s v="100-125%"/>
    <n v="50000"/>
    <n v="2400.6"/>
    <n v="0"/>
    <n v="0"/>
    <n v="0"/>
    <n v="52400.6"/>
    <n v="88007.6"/>
    <n v="60000"/>
    <n v="2720.6800000000003"/>
    <n v="0"/>
    <n v="0"/>
    <n v="0"/>
    <n v="62720.68"/>
    <n v="98327.679999999993"/>
  </r>
  <r>
    <n v="2859566597"/>
    <s v="Hillel"/>
    <s v="Burdett"/>
    <x v="111"/>
    <x v="1"/>
    <n v="76647"/>
    <n v="7"/>
    <x v="111"/>
    <n v="600000"/>
    <n v="750000"/>
    <n v="900000"/>
    <n v="1200000"/>
    <n v="0.55684833333333328"/>
    <s v="0-100%"/>
    <n v="43434.17"/>
    <n v="0"/>
    <n v="0"/>
    <n v="0"/>
    <n v="0"/>
    <n v="43434.17"/>
    <n v="120081.17"/>
    <n v="50116.35"/>
    <n v="0"/>
    <n v="0"/>
    <n v="0"/>
    <n v="0"/>
    <n v="50116.35"/>
    <n v="126763.35"/>
  </r>
  <r>
    <n v="6276010022"/>
    <s v="Darcey"/>
    <s v="Caldaro"/>
    <x v="112"/>
    <x v="0"/>
    <n v="58074"/>
    <n v="14"/>
    <x v="112"/>
    <n v="500000"/>
    <n v="625000"/>
    <n v="750000"/>
    <n v="1000000"/>
    <n v="1.184736"/>
    <s v="100-125%"/>
    <n v="50000"/>
    <n v="15702.560000000001"/>
    <n v="0"/>
    <n v="0"/>
    <n v="0"/>
    <n v="65702.559999999998"/>
    <n v="123776.56"/>
    <n v="60000"/>
    <n v="15702.560000000001"/>
    <n v="0"/>
    <n v="0"/>
    <n v="0"/>
    <n v="75702.559999999998"/>
    <n v="133776.56"/>
  </r>
  <r>
    <n v="8145387981"/>
    <s v="Gerick"/>
    <s v="Callar"/>
    <x v="113"/>
    <x v="1"/>
    <n v="55330"/>
    <n v="15"/>
    <x v="113"/>
    <n v="600000"/>
    <n v="750000"/>
    <n v="900000"/>
    <n v="1200000"/>
    <n v="0.76392166666666672"/>
    <s v="0-100%"/>
    <n v="59585.89"/>
    <n v="0"/>
    <n v="0"/>
    <n v="0"/>
    <n v="0"/>
    <n v="59585.89"/>
    <n v="114915.89"/>
    <n v="68752.95"/>
    <n v="0"/>
    <n v="0"/>
    <n v="0"/>
    <n v="0"/>
    <n v="68752.95"/>
    <n v="124082.95"/>
  </r>
  <r>
    <n v="7249524151"/>
    <s v="Rodina"/>
    <s v="Calloway"/>
    <x v="114"/>
    <x v="2"/>
    <n v="77547"/>
    <n v="13"/>
    <x v="114"/>
    <n v="750000"/>
    <n v="937500"/>
    <n v="1125000"/>
    <n v="1500000"/>
    <n v="0.821496"/>
    <s v="0-100%"/>
    <n v="92418.3"/>
    <n v="0"/>
    <n v="0"/>
    <n v="0"/>
    <n v="0"/>
    <n v="92418.3"/>
    <n v="169965.3"/>
    <n v="92418.3"/>
    <n v="0"/>
    <n v="0"/>
    <n v="0"/>
    <n v="0"/>
    <n v="92418.3"/>
    <n v="169965.3"/>
  </r>
  <r>
    <n v="5623930522"/>
    <s v="Elie"/>
    <s v="Cantillion"/>
    <x v="115"/>
    <x v="2"/>
    <n v="80442"/>
    <n v="24"/>
    <x v="115"/>
    <n v="750000"/>
    <n v="937500"/>
    <n v="1125000"/>
    <n v="1500000"/>
    <n v="1.1342453333333333"/>
    <s v="100-125%"/>
    <n v="112500"/>
    <n v="15102.599999999999"/>
    <n v="0"/>
    <n v="0"/>
    <n v="0"/>
    <n v="127602.6"/>
    <n v="208044.6"/>
    <n v="112500"/>
    <n v="22150.48"/>
    <n v="0"/>
    <n v="0"/>
    <n v="0"/>
    <n v="134650.48000000001"/>
    <n v="215092.48000000001"/>
  </r>
  <r>
    <n v="7088886472"/>
    <s v="Krishnah"/>
    <s v="Capelle"/>
    <x v="116"/>
    <x v="0"/>
    <n v="37423"/>
    <n v="20"/>
    <x v="116"/>
    <n v="500000"/>
    <n v="625000"/>
    <n v="750000"/>
    <n v="1000000"/>
    <n v="1.3371900000000001"/>
    <s v="125-150%"/>
    <n v="50000"/>
    <n v="21250"/>
    <n v="9154.9499999999989"/>
    <n v="0"/>
    <n v="0"/>
    <n v="80404.95"/>
    <n v="117827.95"/>
    <n v="60000"/>
    <n v="21250"/>
    <n v="8719"/>
    <n v="0"/>
    <n v="0"/>
    <n v="89969"/>
    <n v="127392"/>
  </r>
  <r>
    <n v="5519420165"/>
    <s v="Silvester"/>
    <s v="Capinetti"/>
    <x v="117"/>
    <x v="2"/>
    <n v="96464"/>
    <n v="26"/>
    <x v="117"/>
    <n v="750000"/>
    <n v="937500"/>
    <n v="1125000"/>
    <n v="1500000"/>
    <n v="1.3856426666666666"/>
    <s v="125-150%"/>
    <n v="112500"/>
    <n v="35625"/>
    <n v="23398.36"/>
    <n v="0"/>
    <n v="0"/>
    <n v="171523.36"/>
    <n v="267987.36"/>
    <n v="112500"/>
    <n v="41250"/>
    <n v="25433"/>
    <n v="0"/>
    <n v="0"/>
    <n v="179183"/>
    <n v="275647"/>
  </r>
  <r>
    <n v="7112955017"/>
    <s v="Leone"/>
    <s v="Capstack"/>
    <x v="118"/>
    <x v="0"/>
    <n v="36196"/>
    <n v="10"/>
    <x v="118"/>
    <n v="500000"/>
    <n v="625000"/>
    <n v="750000"/>
    <n v="1000000"/>
    <n v="0.60267000000000004"/>
    <s v="0-100%"/>
    <n v="30133.5"/>
    <n v="0"/>
    <n v="0"/>
    <n v="0"/>
    <n v="0"/>
    <n v="30133.5"/>
    <n v="66329.5"/>
    <n v="36160.199999999997"/>
    <n v="0"/>
    <n v="0"/>
    <n v="0"/>
    <n v="0"/>
    <n v="36160.199999999997"/>
    <n v="72356.2"/>
  </r>
  <r>
    <n v="9223618401"/>
    <s v="Norman"/>
    <s v="Carcas"/>
    <x v="119"/>
    <x v="0"/>
    <n v="35362"/>
    <n v="21"/>
    <x v="119"/>
    <n v="500000"/>
    <n v="625000"/>
    <n v="750000"/>
    <n v="1000000"/>
    <n v="1.362422"/>
    <s v="125-150%"/>
    <n v="50000"/>
    <n v="21250"/>
    <n v="11804.31"/>
    <n v="0"/>
    <n v="0"/>
    <n v="83054.31"/>
    <n v="118416.31"/>
    <n v="60000"/>
    <n v="21250"/>
    <n v="11242.2"/>
    <n v="0"/>
    <n v="0"/>
    <n v="92492.2"/>
    <n v="127854.2"/>
  </r>
  <r>
    <n v="2053848936"/>
    <s v="Ardine"/>
    <s v="Carloni"/>
    <x v="120"/>
    <x v="1"/>
    <n v="60956"/>
    <n v="23"/>
    <x v="120"/>
    <n v="600000"/>
    <n v="750000"/>
    <n v="900000"/>
    <n v="1200000"/>
    <n v="1.3777916666666667"/>
    <s v="125-150%"/>
    <n v="78000"/>
    <n v="28500"/>
    <n v="17635.25"/>
    <n v="0"/>
    <n v="0"/>
    <n v="124135.25"/>
    <n v="185091.25"/>
    <n v="90000"/>
    <n v="27000"/>
    <n v="19168.75"/>
    <n v="0"/>
    <n v="0"/>
    <n v="136168.75"/>
    <n v="197124.75"/>
  </r>
  <r>
    <n v="2533903736"/>
    <s v="Kalindi"/>
    <s v="Carmel"/>
    <x v="121"/>
    <x v="0"/>
    <n v="58051"/>
    <n v="23"/>
    <x v="121"/>
    <n v="500000"/>
    <n v="625000"/>
    <n v="750000"/>
    <n v="1000000"/>
    <n v="1.4956799999999999"/>
    <s v="125-150%"/>
    <n v="50000"/>
    <n v="21250"/>
    <n v="25796.399999999998"/>
    <n v="0"/>
    <n v="0"/>
    <n v="97046.399999999994"/>
    <n v="155097.4"/>
    <n v="60000"/>
    <n v="21250"/>
    <n v="24568"/>
    <n v="0"/>
    <n v="0"/>
    <n v="105818"/>
    <n v="163869"/>
  </r>
  <r>
    <n v="2408183758"/>
    <s v="Tedie"/>
    <s v="Cartmer"/>
    <x v="122"/>
    <x v="2"/>
    <n v="121981"/>
    <n v="20"/>
    <x v="122"/>
    <n v="750000"/>
    <n v="937500"/>
    <n v="1125000"/>
    <n v="1500000"/>
    <n v="0.93959866666666669"/>
    <s v="0-100%"/>
    <n v="105704.84999999999"/>
    <n v="0"/>
    <n v="0"/>
    <n v="0"/>
    <n v="0"/>
    <n v="105704.84999999999"/>
    <n v="227685.84999999998"/>
    <n v="105704.84999999999"/>
    <n v="0"/>
    <n v="0"/>
    <n v="0"/>
    <n v="0"/>
    <n v="105704.84999999999"/>
    <n v="227685.84999999998"/>
  </r>
  <r>
    <n v="3670950885"/>
    <s v="Valene"/>
    <s v="Carverhill"/>
    <x v="123"/>
    <x v="2"/>
    <n v="120896"/>
    <n v="19"/>
    <x v="123"/>
    <n v="750000"/>
    <n v="937500"/>
    <n v="1125000"/>
    <n v="1500000"/>
    <n v="0.91505599999999998"/>
    <s v="0-100%"/>
    <n v="102943.8"/>
    <n v="0"/>
    <n v="0"/>
    <n v="0"/>
    <n v="0"/>
    <n v="102943.8"/>
    <n v="223839.8"/>
    <n v="102943.8"/>
    <n v="0"/>
    <n v="0"/>
    <n v="0"/>
    <n v="0"/>
    <n v="102943.8"/>
    <n v="223839.8"/>
  </r>
  <r>
    <n v="895027720"/>
    <s v="Ddene"/>
    <s v="Castree"/>
    <x v="124"/>
    <x v="2"/>
    <n v="110424"/>
    <n v="16"/>
    <x v="124"/>
    <n v="750000"/>
    <n v="937500"/>
    <n v="1125000"/>
    <n v="1500000"/>
    <n v="0.63774399999999998"/>
    <s v="0-100%"/>
    <n v="71746.2"/>
    <n v="0"/>
    <n v="0"/>
    <n v="0"/>
    <n v="0"/>
    <n v="71746.2"/>
    <n v="182170.2"/>
    <n v="71746.2"/>
    <n v="0"/>
    <n v="0"/>
    <n v="0"/>
    <n v="0"/>
    <n v="71746.2"/>
    <n v="182170.2"/>
  </r>
  <r>
    <n v="9155356869"/>
    <s v="Jasmine"/>
    <s v="Cathcart"/>
    <x v="125"/>
    <x v="2"/>
    <n v="114884"/>
    <n v="20"/>
    <x v="125"/>
    <n v="750000"/>
    <n v="937500"/>
    <n v="1125000"/>
    <n v="1500000"/>
    <n v="0.84482666666666661"/>
    <s v="0-100%"/>
    <n v="95043"/>
    <n v="0"/>
    <n v="0"/>
    <n v="0"/>
    <n v="0"/>
    <n v="95043"/>
    <n v="209927"/>
    <n v="95043"/>
    <n v="0"/>
    <n v="0"/>
    <n v="0"/>
    <n v="0"/>
    <n v="95043"/>
    <n v="209927"/>
  </r>
  <r>
    <n v="513904581"/>
    <s v="Abram"/>
    <s v="Causton"/>
    <x v="126"/>
    <x v="2"/>
    <n v="98894"/>
    <n v="17"/>
    <x v="126"/>
    <n v="750000"/>
    <n v="937500"/>
    <n v="1125000"/>
    <n v="1500000"/>
    <n v="0.92167333333333334"/>
    <s v="0-100%"/>
    <n v="103688.25"/>
    <n v="0"/>
    <n v="0"/>
    <n v="0"/>
    <n v="0"/>
    <n v="103688.25"/>
    <n v="202582.25"/>
    <n v="103688.25"/>
    <n v="0"/>
    <n v="0"/>
    <n v="0"/>
    <n v="0"/>
    <n v="103688.25"/>
    <n v="202582.25"/>
  </r>
  <r>
    <n v="4535395691"/>
    <s v="Ozzy"/>
    <s v="Cavnor"/>
    <x v="127"/>
    <x v="2"/>
    <n v="92475"/>
    <n v="17"/>
    <x v="127"/>
    <n v="750000"/>
    <n v="937500"/>
    <n v="1125000"/>
    <n v="1500000"/>
    <n v="0.81445199999999995"/>
    <s v="0-100%"/>
    <n v="91625.849999999991"/>
    <n v="0"/>
    <n v="0"/>
    <n v="0"/>
    <n v="0"/>
    <n v="91625.849999999991"/>
    <n v="184100.84999999998"/>
    <n v="91625.849999999991"/>
    <n v="0"/>
    <n v="0"/>
    <n v="0"/>
    <n v="0"/>
    <n v="91625.849999999991"/>
    <n v="184100.84999999998"/>
  </r>
  <r>
    <n v="4997183822"/>
    <s v="Barbabas"/>
    <s v="Cawt"/>
    <x v="128"/>
    <x v="1"/>
    <n v="58138"/>
    <n v="20"/>
    <x v="128"/>
    <n v="600000"/>
    <n v="750000"/>
    <n v="900000"/>
    <n v="1200000"/>
    <n v="1.0131349999999999"/>
    <s v="100-125%"/>
    <n v="78000"/>
    <n v="1182.1499999999999"/>
    <n v="0"/>
    <n v="0"/>
    <n v="0"/>
    <n v="79182.149999999994"/>
    <n v="137320.15"/>
    <n v="90000"/>
    <n v="1418.58"/>
    <n v="0"/>
    <n v="0"/>
    <n v="0"/>
    <n v="91418.58"/>
    <n v="149556.58000000002"/>
  </r>
  <r>
    <n v="8526090127"/>
    <s v="Sidnee"/>
    <s v="Chalkly"/>
    <x v="129"/>
    <x v="0"/>
    <n v="32505"/>
    <n v="19"/>
    <x v="129"/>
    <n v="500000"/>
    <n v="625000"/>
    <n v="750000"/>
    <n v="1000000"/>
    <n v="1.36656"/>
    <s v="125-150%"/>
    <n v="50000"/>
    <n v="23750"/>
    <n v="13404.400000000001"/>
    <n v="0"/>
    <n v="0"/>
    <n v="87154.4"/>
    <n v="119659.4"/>
    <n v="60000"/>
    <n v="21250"/>
    <n v="11656"/>
    <n v="0"/>
    <n v="0"/>
    <n v="92906"/>
    <n v="125411"/>
  </r>
  <r>
    <n v="4076701275"/>
    <s v="Arlene"/>
    <s v="Charlin"/>
    <x v="130"/>
    <x v="0"/>
    <n v="51875"/>
    <n v="19"/>
    <x v="130"/>
    <n v="500000"/>
    <n v="625000"/>
    <n v="750000"/>
    <n v="1000000"/>
    <n v="1.2652859999999999"/>
    <s v="125-150%"/>
    <n v="50000"/>
    <n v="23750"/>
    <n v="1757.89"/>
    <n v="0"/>
    <n v="0"/>
    <n v="75507.89"/>
    <n v="127382.89"/>
    <n v="60000"/>
    <n v="21250"/>
    <n v="1528.6000000000001"/>
    <n v="0"/>
    <n v="0"/>
    <n v="82778.600000000006"/>
    <n v="134653.6"/>
  </r>
  <r>
    <n v="5405945366"/>
    <s v="Miguel"/>
    <s v="Chasemore"/>
    <x v="131"/>
    <x v="1"/>
    <n v="68841"/>
    <n v="16"/>
    <x v="131"/>
    <n v="600000"/>
    <n v="750000"/>
    <n v="900000"/>
    <n v="1200000"/>
    <n v="0.97649666666666668"/>
    <s v="0-100%"/>
    <n v="76166.740000000005"/>
    <n v="0"/>
    <n v="0"/>
    <n v="0"/>
    <n v="0"/>
    <n v="76166.740000000005"/>
    <n v="145007.74"/>
    <n v="87884.7"/>
    <n v="0"/>
    <n v="0"/>
    <n v="0"/>
    <n v="0"/>
    <n v="87884.7"/>
    <n v="156725.70000000001"/>
  </r>
  <r>
    <n v="8733080267"/>
    <s v="Lavinia"/>
    <s v="Chasier"/>
    <x v="132"/>
    <x v="0"/>
    <n v="49825"/>
    <n v="18"/>
    <x v="132"/>
    <n v="500000"/>
    <n v="625000"/>
    <n v="750000"/>
    <n v="1000000"/>
    <n v="1.442712"/>
    <s v="125-150%"/>
    <n v="50000"/>
    <n v="23750"/>
    <n v="22161.88"/>
    <n v="0"/>
    <n v="0"/>
    <n v="95911.88"/>
    <n v="145736.88"/>
    <n v="60000"/>
    <n v="21250"/>
    <n v="19271.2"/>
    <n v="0"/>
    <n v="0"/>
    <n v="100521.2"/>
    <n v="150346.20000000001"/>
  </r>
  <r>
    <n v="299663825"/>
    <s v="Prentiss"/>
    <s v="Chastaing"/>
    <x v="133"/>
    <x v="1"/>
    <n v="51063"/>
    <n v="16"/>
    <x v="133"/>
    <n v="600000"/>
    <n v="750000"/>
    <n v="900000"/>
    <n v="1200000"/>
    <n v="1.0704733333333334"/>
    <s v="100-125%"/>
    <n v="78000"/>
    <n v="6342.5999999999995"/>
    <n v="0"/>
    <n v="0"/>
    <n v="0"/>
    <n v="84342.6"/>
    <n v="135405.6"/>
    <n v="90000"/>
    <n v="7611.12"/>
    <n v="0"/>
    <n v="0"/>
    <n v="0"/>
    <n v="97611.12"/>
    <n v="148674.12"/>
  </r>
  <r>
    <n v="3642452728"/>
    <s v="Burch"/>
    <s v="Chat"/>
    <x v="134"/>
    <x v="2"/>
    <n v="84611"/>
    <n v="18"/>
    <x v="134"/>
    <n v="750000"/>
    <n v="937500"/>
    <n v="1125000"/>
    <n v="1500000"/>
    <n v="0.90285599999999999"/>
    <s v="0-100%"/>
    <n v="101571.3"/>
    <n v="0"/>
    <n v="0"/>
    <n v="0"/>
    <n v="0"/>
    <n v="101571.3"/>
    <n v="186182.3"/>
    <n v="101571.3"/>
    <n v="0"/>
    <n v="0"/>
    <n v="0"/>
    <n v="0"/>
    <n v="101571.3"/>
    <n v="186182.3"/>
  </r>
  <r>
    <n v="2702941109"/>
    <s v="Inger"/>
    <s v="Chatenet"/>
    <x v="135"/>
    <x v="2"/>
    <n v="89034"/>
    <n v="25"/>
    <x v="135"/>
    <n v="750000"/>
    <n v="937500"/>
    <n v="1125000"/>
    <n v="1500000"/>
    <n v="1.1347093333333333"/>
    <s v="100-125%"/>
    <n v="112500"/>
    <n v="15154.8"/>
    <n v="0"/>
    <n v="0"/>
    <n v="0"/>
    <n v="127654.8"/>
    <n v="216688.8"/>
    <n v="112500"/>
    <n v="22227.040000000001"/>
    <n v="0"/>
    <n v="0"/>
    <n v="0"/>
    <n v="134727.04000000001"/>
    <n v="223761.04"/>
  </r>
  <r>
    <n v="4039266773"/>
    <s v="Keven"/>
    <s v="Chatters"/>
    <x v="136"/>
    <x v="1"/>
    <n v="70198"/>
    <n v="18"/>
    <x v="136"/>
    <n v="600000"/>
    <n v="750000"/>
    <n v="900000"/>
    <n v="1200000"/>
    <n v="0.92377166666666666"/>
    <s v="0-100%"/>
    <n v="72054.19"/>
    <n v="0"/>
    <n v="0"/>
    <n v="0"/>
    <n v="0"/>
    <n v="72054.19"/>
    <n v="142252.19"/>
    <n v="83139.45"/>
    <n v="0"/>
    <n v="0"/>
    <n v="0"/>
    <n v="0"/>
    <n v="83139.45"/>
    <n v="153337.45000000001"/>
  </r>
  <r>
    <n v="6007705854"/>
    <s v="Donavon"/>
    <s v="Cheer"/>
    <x v="137"/>
    <x v="2"/>
    <n v="107921"/>
    <n v="23"/>
    <x v="137"/>
    <n v="750000"/>
    <n v="937500"/>
    <n v="1125000"/>
    <n v="1500000"/>
    <n v="1.1000773333333334"/>
    <s v="100-125%"/>
    <n v="112500"/>
    <n v="14261.02"/>
    <n v="0"/>
    <n v="0"/>
    <n v="0"/>
    <n v="126761.02"/>
    <n v="234682.02000000002"/>
    <n v="112500"/>
    <n v="16512.759999999998"/>
    <n v="0"/>
    <n v="0"/>
    <n v="0"/>
    <n v="129012.76"/>
    <n v="236933.76000000001"/>
  </r>
  <r>
    <n v="9412192312"/>
    <s v="Mattias"/>
    <s v="Cheers"/>
    <x v="138"/>
    <x v="0"/>
    <n v="44442"/>
    <n v="26"/>
    <x v="138"/>
    <n v="500000"/>
    <n v="625000"/>
    <n v="750000"/>
    <n v="1000000"/>
    <n v="2.201282"/>
    <s v="&gt;200%"/>
    <n v="50000"/>
    <n v="23750"/>
    <n v="28750"/>
    <n v="75000"/>
    <n v="15096.15"/>
    <n v="192596.15"/>
    <n v="237038.15"/>
    <n v="60000"/>
    <n v="21250"/>
    <n v="25000"/>
    <n v="55000"/>
    <n v="10064.1"/>
    <n v="171314.1"/>
    <n v="215756.1"/>
  </r>
  <r>
    <n v="9267164694"/>
    <s v="Vanni"/>
    <s v="Cheston"/>
    <x v="139"/>
    <x v="0"/>
    <n v="58087"/>
    <n v="23"/>
    <x v="139"/>
    <n v="500000"/>
    <n v="625000"/>
    <n v="750000"/>
    <n v="1000000"/>
    <n v="1.5912500000000001"/>
    <s v="150-200%"/>
    <n v="50000"/>
    <n v="21250"/>
    <n v="26250"/>
    <n v="11862.5"/>
    <n v="0"/>
    <n v="109362.5"/>
    <n v="167449.5"/>
    <n v="60000"/>
    <n v="21250"/>
    <n v="25000"/>
    <n v="10037.5"/>
    <n v="0"/>
    <n v="116287.5"/>
    <n v="174374.5"/>
  </r>
  <r>
    <n v="6520635286"/>
    <s v="Zane"/>
    <s v="Cheverton"/>
    <x v="140"/>
    <x v="2"/>
    <n v="113407"/>
    <n v="14"/>
    <x v="140"/>
    <n v="750000"/>
    <n v="937500"/>
    <n v="1125000"/>
    <n v="1500000"/>
    <n v="0.62892933333333334"/>
    <s v="0-100%"/>
    <n v="70754.55"/>
    <n v="0"/>
    <n v="0"/>
    <n v="0"/>
    <n v="0"/>
    <n v="70754.55"/>
    <n v="184161.55"/>
    <n v="70754.55"/>
    <n v="0"/>
    <n v="0"/>
    <n v="0"/>
    <n v="0"/>
    <n v="70754.55"/>
    <n v="184161.55"/>
  </r>
  <r>
    <n v="5075915108"/>
    <s v="Veronike"/>
    <s v="Chidwick"/>
    <x v="141"/>
    <x v="1"/>
    <n v="76714"/>
    <n v="17"/>
    <x v="141"/>
    <n v="600000"/>
    <n v="750000"/>
    <n v="900000"/>
    <n v="1200000"/>
    <n v="1.023555"/>
    <s v="100-125%"/>
    <n v="78000"/>
    <n v="2685.27"/>
    <n v="0"/>
    <n v="0"/>
    <n v="0"/>
    <n v="80685.27"/>
    <n v="157399.27000000002"/>
    <n v="90000"/>
    <n v="2543.94"/>
    <n v="0"/>
    <n v="0"/>
    <n v="0"/>
    <n v="92543.94"/>
    <n v="169257.94"/>
  </r>
  <r>
    <n v="6283719635"/>
    <s v="Rafe"/>
    <s v="Chorlton"/>
    <x v="142"/>
    <x v="1"/>
    <n v="59500"/>
    <n v="16"/>
    <x v="142"/>
    <n v="600000"/>
    <n v="750000"/>
    <n v="900000"/>
    <n v="1200000"/>
    <n v="0.79465166666666665"/>
    <s v="0-100%"/>
    <n v="61982.83"/>
    <n v="0"/>
    <n v="0"/>
    <n v="0"/>
    <n v="0"/>
    <n v="61982.83"/>
    <n v="121482.83"/>
    <n v="71518.649999999994"/>
    <n v="0"/>
    <n v="0"/>
    <n v="0"/>
    <n v="0"/>
    <n v="71518.649999999994"/>
    <n v="131018.65"/>
  </r>
  <r>
    <n v="4876404933"/>
    <s v="Megan"/>
    <s v="Churchard"/>
    <x v="143"/>
    <x v="1"/>
    <n v="79018"/>
    <n v="22"/>
    <x v="143"/>
    <n v="600000"/>
    <n v="750000"/>
    <n v="900000"/>
    <n v="1200000"/>
    <n v="1.2288033333333332"/>
    <s v="100-125%"/>
    <n v="78000"/>
    <n v="20592.3"/>
    <n v="0"/>
    <n v="0"/>
    <n v="0"/>
    <n v="98592.3"/>
    <n v="177610.3"/>
    <n v="90000"/>
    <n v="24710.76"/>
    <n v="0"/>
    <n v="0"/>
    <n v="0"/>
    <n v="114710.76"/>
    <n v="193728.76"/>
  </r>
  <r>
    <n v="7906441400"/>
    <s v="Loretta"/>
    <s v="Churchward"/>
    <x v="144"/>
    <x v="0"/>
    <n v="46268"/>
    <n v="22"/>
    <x v="144"/>
    <n v="500000"/>
    <n v="625000"/>
    <n v="750000"/>
    <n v="1000000"/>
    <n v="1.2810239999999999"/>
    <s v="125-150%"/>
    <n v="50000"/>
    <n v="18750"/>
    <n v="2792.16"/>
    <n v="0"/>
    <n v="0"/>
    <n v="71542.16"/>
    <n v="117810.16"/>
    <n v="60000"/>
    <n v="21250"/>
    <n v="3102.4"/>
    <n v="0"/>
    <n v="0"/>
    <n v="84352.4"/>
    <n v="130620.4"/>
  </r>
  <r>
    <n v="5637692440"/>
    <s v="Minetta"/>
    <s v="Claeskens"/>
    <x v="145"/>
    <x v="1"/>
    <n v="63493"/>
    <n v="16"/>
    <x v="145"/>
    <n v="600000"/>
    <n v="750000"/>
    <n v="900000"/>
    <n v="1200000"/>
    <n v="0.88572499999999998"/>
    <s v="0-100%"/>
    <n v="69086.55"/>
    <n v="0"/>
    <n v="0"/>
    <n v="0"/>
    <n v="0"/>
    <n v="69086.55"/>
    <n v="132579.54999999999"/>
    <n v="79715.25"/>
    <n v="0"/>
    <n v="0"/>
    <n v="0"/>
    <n v="0"/>
    <n v="79715.25"/>
    <n v="143208.25"/>
  </r>
  <r>
    <n v="3016446324"/>
    <s v="Kristoforo"/>
    <s v="Claremont"/>
    <x v="146"/>
    <x v="0"/>
    <n v="45261"/>
    <n v="26"/>
    <x v="146"/>
    <n v="500000"/>
    <n v="625000"/>
    <n v="750000"/>
    <n v="1000000"/>
    <n v="1.941322"/>
    <s v="150-200%"/>
    <n v="50000"/>
    <n v="21250"/>
    <n v="26250"/>
    <n v="57371.86"/>
    <n v="0"/>
    <n v="154871.85999999999"/>
    <n v="200132.86"/>
    <n v="60000"/>
    <n v="21250"/>
    <n v="25000"/>
    <n v="48545.42"/>
    <n v="0"/>
    <n v="154795.41999999998"/>
    <n v="200056.41999999998"/>
  </r>
  <r>
    <n v="5928086253"/>
    <s v="Carlos"/>
    <s v="Claxson"/>
    <x v="147"/>
    <x v="2"/>
    <n v="123100"/>
    <n v="15"/>
    <x v="147"/>
    <n v="750000"/>
    <n v="937500"/>
    <n v="1125000"/>
    <n v="1500000"/>
    <n v="0.73258933333333331"/>
    <s v="0-100%"/>
    <n v="82416.3"/>
    <n v="0"/>
    <n v="0"/>
    <n v="0"/>
    <n v="0"/>
    <n v="82416.3"/>
    <n v="205516.3"/>
    <n v="82416.3"/>
    <n v="0"/>
    <n v="0"/>
    <n v="0"/>
    <n v="0"/>
    <n v="82416.3"/>
    <n v="205516.3"/>
  </r>
  <r>
    <n v="8401146046"/>
    <s v="Franni"/>
    <s v="Clemencet"/>
    <x v="148"/>
    <x v="1"/>
    <n v="54722"/>
    <n v="22"/>
    <x v="148"/>
    <n v="600000"/>
    <n v="750000"/>
    <n v="900000"/>
    <n v="1200000"/>
    <n v="0.98084833333333332"/>
    <s v="0-100%"/>
    <n v="76506.17"/>
    <n v="0"/>
    <n v="0"/>
    <n v="0"/>
    <n v="0"/>
    <n v="76506.17"/>
    <n v="131228.16999999998"/>
    <n v="88276.349999999991"/>
    <n v="0"/>
    <n v="0"/>
    <n v="0"/>
    <n v="0"/>
    <n v="88276.349999999991"/>
    <n v="142998.34999999998"/>
  </r>
  <r>
    <n v="8731494560"/>
    <s v="Dionis"/>
    <s v="Climie"/>
    <x v="149"/>
    <x v="1"/>
    <n v="77055"/>
    <n v="20"/>
    <x v="149"/>
    <n v="600000"/>
    <n v="750000"/>
    <n v="900000"/>
    <n v="1200000"/>
    <n v="1.1193716666666667"/>
    <s v="100-125%"/>
    <n v="78000"/>
    <n v="12175.910000000002"/>
    <n v="0"/>
    <n v="0"/>
    <n v="0"/>
    <n v="90175.91"/>
    <n v="167230.91"/>
    <n v="90000"/>
    <n v="12892.14"/>
    <n v="0"/>
    <n v="0"/>
    <n v="0"/>
    <n v="102892.14"/>
    <n v="179947.14"/>
  </r>
  <r>
    <n v="9260254965"/>
    <s v="Fancy"/>
    <s v="Clitsome"/>
    <x v="150"/>
    <x v="0"/>
    <n v="59588"/>
    <n v="24"/>
    <x v="150"/>
    <n v="500000"/>
    <n v="625000"/>
    <n v="750000"/>
    <n v="1000000"/>
    <n v="1.7887900000000001"/>
    <s v="150-200%"/>
    <n v="50000"/>
    <n v="23750"/>
    <n v="28750"/>
    <n v="43318.5"/>
    <n v="0"/>
    <n v="145818.5"/>
    <n v="205406.5"/>
    <n v="60000"/>
    <n v="21250"/>
    <n v="25000"/>
    <n v="31766.9"/>
    <n v="0"/>
    <n v="138016.9"/>
    <n v="197604.9"/>
  </r>
  <r>
    <n v="3991175401"/>
    <s v="Sebastiano"/>
    <s v="Cloute"/>
    <x v="151"/>
    <x v="2"/>
    <n v="85616"/>
    <n v="14"/>
    <x v="151"/>
    <n v="750000"/>
    <n v="937500"/>
    <n v="1125000"/>
    <n v="1500000"/>
    <n v="0.67181466666666667"/>
    <s v="0-100%"/>
    <n v="75579.149999999994"/>
    <n v="0"/>
    <n v="0"/>
    <n v="0"/>
    <n v="0"/>
    <n v="75579.149999999994"/>
    <n v="161195.15"/>
    <n v="75579.149999999994"/>
    <n v="0"/>
    <n v="0"/>
    <n v="0"/>
    <n v="0"/>
    <n v="75579.149999999994"/>
    <n v="161195.15"/>
  </r>
  <r>
    <n v="8858733592"/>
    <s v="Ashli"/>
    <s v="Clynter"/>
    <x v="152"/>
    <x v="1"/>
    <n v="66730"/>
    <n v="21"/>
    <x v="152"/>
    <n v="600000"/>
    <n v="750000"/>
    <n v="900000"/>
    <n v="1200000"/>
    <n v="1.2052883333333333"/>
    <s v="100-125%"/>
    <n v="78000"/>
    <n v="23402.87"/>
    <n v="0"/>
    <n v="0"/>
    <n v="0"/>
    <n v="101402.87"/>
    <n v="168132.87"/>
    <n v="90000"/>
    <n v="22171.14"/>
    <n v="0"/>
    <n v="0"/>
    <n v="0"/>
    <n v="112171.14"/>
    <n v="178901.14"/>
  </r>
  <r>
    <n v="8223052873"/>
    <s v="Zack"/>
    <s v="Codlin"/>
    <x v="153"/>
    <x v="1"/>
    <n v="55779"/>
    <n v="21"/>
    <x v="153"/>
    <n v="600000"/>
    <n v="750000"/>
    <n v="900000"/>
    <n v="1200000"/>
    <n v="1.37262"/>
    <s v="125-150%"/>
    <n v="78000"/>
    <n v="25500.000000000004"/>
    <n v="15450.119999999999"/>
    <n v="0"/>
    <n v="0"/>
    <n v="118950.12"/>
    <n v="174729.12"/>
    <n v="90000"/>
    <n v="27000"/>
    <n v="18393"/>
    <n v="0"/>
    <n v="0"/>
    <n v="135393"/>
    <n v="191172"/>
  </r>
  <r>
    <n v="4578004252"/>
    <s v="Pietro"/>
    <s v="Coenraets"/>
    <x v="154"/>
    <x v="2"/>
    <n v="114463"/>
    <n v="24"/>
    <x v="154"/>
    <n v="750000"/>
    <n v="937500"/>
    <n v="1125000"/>
    <n v="1500000"/>
    <n v="1.0924906666666667"/>
    <s v="100-125%"/>
    <n v="112500"/>
    <n v="13179.92"/>
    <n v="0"/>
    <n v="0"/>
    <n v="0"/>
    <n v="125679.92"/>
    <n v="240142.91999999998"/>
    <n v="112500"/>
    <n v="15260.960000000001"/>
    <n v="0"/>
    <n v="0"/>
    <n v="0"/>
    <n v="127760.96000000001"/>
    <n v="242223.96000000002"/>
  </r>
  <r>
    <n v="264454596"/>
    <s v="Gayelord"/>
    <s v="Coffin"/>
    <x v="155"/>
    <x v="2"/>
    <n v="83815"/>
    <n v="19"/>
    <x v="155"/>
    <n v="750000"/>
    <n v="937500"/>
    <n v="1125000"/>
    <n v="1500000"/>
    <n v="0.98624933333333331"/>
    <s v="0-100%"/>
    <n v="110953.05"/>
    <n v="0"/>
    <n v="0"/>
    <n v="0"/>
    <n v="0"/>
    <n v="110953.05"/>
    <n v="194768.05"/>
    <n v="110953.05"/>
    <n v="0"/>
    <n v="0"/>
    <n v="0"/>
    <n v="0"/>
    <n v="110953.05"/>
    <n v="194768.05"/>
  </r>
  <r>
    <n v="2138131904"/>
    <s v="Curry"/>
    <s v="Coiley"/>
    <x v="156"/>
    <x v="1"/>
    <n v="56095"/>
    <n v="25"/>
    <x v="156"/>
    <n v="600000"/>
    <n v="750000"/>
    <n v="900000"/>
    <n v="1200000"/>
    <n v="1.2318583333333333"/>
    <s v="100-125%"/>
    <n v="78000"/>
    <n v="23649.550000000003"/>
    <n v="0"/>
    <n v="0"/>
    <n v="0"/>
    <n v="101649.55"/>
    <n v="157744.54999999999"/>
    <n v="90000"/>
    <n v="25040.7"/>
    <n v="0"/>
    <n v="0"/>
    <n v="0"/>
    <n v="115040.7"/>
    <n v="171135.7"/>
  </r>
  <r>
    <n v="1990334539"/>
    <s v="Florri"/>
    <s v="Coldbath"/>
    <x v="157"/>
    <x v="2"/>
    <n v="122180"/>
    <n v="25"/>
    <x v="157"/>
    <n v="750000"/>
    <n v="937500"/>
    <n v="1125000"/>
    <n v="1500000"/>
    <n v="1.1114866666666667"/>
    <s v="100-125%"/>
    <n v="112500"/>
    <n v="12542.25"/>
    <n v="0"/>
    <n v="0"/>
    <n v="0"/>
    <n v="125042.25"/>
    <n v="247222.25"/>
    <n v="112500"/>
    <n v="18395.3"/>
    <n v="0"/>
    <n v="0"/>
    <n v="0"/>
    <n v="130895.3"/>
    <n v="253075.3"/>
  </r>
  <r>
    <n v="9381484503"/>
    <s v="Titos"/>
    <s v="Collaton"/>
    <x v="158"/>
    <x v="2"/>
    <n v="121954"/>
    <n v="18"/>
    <x v="158"/>
    <n v="750000"/>
    <n v="937500"/>
    <n v="1125000"/>
    <n v="1500000"/>
    <n v="0.68934666666666666"/>
    <s v="0-100%"/>
    <n v="77551.5"/>
    <n v="0"/>
    <n v="0"/>
    <n v="0"/>
    <n v="0"/>
    <n v="77551.5"/>
    <n v="199505.5"/>
    <n v="77551.5"/>
    <n v="0"/>
    <n v="0"/>
    <n v="0"/>
    <n v="0"/>
    <n v="77551.5"/>
    <n v="199505.5"/>
  </r>
  <r>
    <n v="1085075834"/>
    <s v="Stanislas"/>
    <s v="Colleer"/>
    <x v="159"/>
    <x v="1"/>
    <n v="56213"/>
    <n v="16"/>
    <x v="159"/>
    <n v="600000"/>
    <n v="750000"/>
    <n v="900000"/>
    <n v="1200000"/>
    <n v="0.91836166666666663"/>
    <s v="0-100%"/>
    <n v="71632.210000000006"/>
    <n v="0"/>
    <n v="0"/>
    <n v="0"/>
    <n v="0"/>
    <n v="71632.210000000006"/>
    <n v="127845.21"/>
    <n v="82652.55"/>
    <n v="0"/>
    <n v="0"/>
    <n v="0"/>
    <n v="0"/>
    <n v="82652.55"/>
    <n v="138865.54999999999"/>
  </r>
  <r>
    <n v="3991963221"/>
    <s v="Heinrick"/>
    <s v="Conelly"/>
    <x v="160"/>
    <x v="2"/>
    <n v="117349"/>
    <n v="18"/>
    <x v="160"/>
    <n v="750000"/>
    <n v="937500"/>
    <n v="1125000"/>
    <n v="1500000"/>
    <n v="0.91450799999999999"/>
    <s v="0-100%"/>
    <n v="102882.15"/>
    <n v="0"/>
    <n v="0"/>
    <n v="0"/>
    <n v="0"/>
    <n v="102882.15"/>
    <n v="220231.15"/>
    <n v="102882.15"/>
    <n v="0"/>
    <n v="0"/>
    <n v="0"/>
    <n v="0"/>
    <n v="102882.15"/>
    <n v="220231.15"/>
  </r>
  <r>
    <n v="8044612831"/>
    <s v="Bobine"/>
    <s v="Congrave"/>
    <x v="161"/>
    <x v="2"/>
    <n v="120683"/>
    <n v="21"/>
    <x v="161"/>
    <n v="750000"/>
    <n v="937500"/>
    <n v="1125000"/>
    <n v="1500000"/>
    <n v="0.98935600000000001"/>
    <s v="0-100%"/>
    <n v="111302.55"/>
    <n v="0"/>
    <n v="0"/>
    <n v="0"/>
    <n v="0"/>
    <n v="111302.55"/>
    <n v="231985.55"/>
    <n v="111302.55"/>
    <n v="0"/>
    <n v="0"/>
    <n v="0"/>
    <n v="0"/>
    <n v="111302.55"/>
    <n v="231985.55"/>
  </r>
  <r>
    <n v="1502791994"/>
    <s v="Loella"/>
    <s v="Connell"/>
    <x v="162"/>
    <x v="2"/>
    <n v="116313"/>
    <n v="21"/>
    <x v="162"/>
    <n v="750000"/>
    <n v="937500"/>
    <n v="1125000"/>
    <n v="1500000"/>
    <n v="1.103928"/>
    <s v="100-125%"/>
    <n v="112500"/>
    <n v="13250.820000000002"/>
    <n v="0"/>
    <n v="0"/>
    <n v="0"/>
    <n v="125750.82"/>
    <n v="242063.82"/>
    <n v="112500"/>
    <n v="17148.12"/>
    <n v="0"/>
    <n v="0"/>
    <n v="0"/>
    <n v="129648.12"/>
    <n v="245961.12"/>
  </r>
  <r>
    <n v="8644362151"/>
    <s v="Diane"/>
    <s v="Corben"/>
    <x v="163"/>
    <x v="2"/>
    <n v="95999"/>
    <n v="20"/>
    <x v="163"/>
    <n v="750000"/>
    <n v="937500"/>
    <n v="1125000"/>
    <n v="1500000"/>
    <n v="1.1029066666666667"/>
    <s v="100-125%"/>
    <n v="112500"/>
    <n v="14664.2"/>
    <n v="0"/>
    <n v="0"/>
    <n v="0"/>
    <n v="127164.2"/>
    <n v="223163.2"/>
    <n v="112500"/>
    <n v="16979.599999999999"/>
    <n v="0"/>
    <n v="0"/>
    <n v="0"/>
    <n v="129479.6"/>
    <n v="225478.6"/>
  </r>
  <r>
    <n v="8249460030"/>
    <s v="Gregoire"/>
    <s v="Corington"/>
    <x v="164"/>
    <x v="1"/>
    <n v="78688"/>
    <n v="25"/>
    <x v="164"/>
    <n v="600000"/>
    <n v="750000"/>
    <n v="900000"/>
    <n v="1200000"/>
    <n v="1.4208216666666666"/>
    <s v="125-150%"/>
    <n v="78000"/>
    <n v="28500"/>
    <n v="23573.39"/>
    <n v="0"/>
    <n v="0"/>
    <n v="130073.39"/>
    <n v="208761.39"/>
    <n v="90000"/>
    <n v="27000"/>
    <n v="25623.25"/>
    <n v="0"/>
    <n v="0"/>
    <n v="142623.25"/>
    <n v="221311.25"/>
  </r>
  <r>
    <n v="222477806"/>
    <s v="Phillipe"/>
    <s v="Corter"/>
    <x v="165"/>
    <x v="2"/>
    <n v="87484"/>
    <n v="20"/>
    <x v="165"/>
    <n v="750000"/>
    <n v="937500"/>
    <n v="1125000"/>
    <n v="1500000"/>
    <n v="0.93258666666666667"/>
    <s v="0-100%"/>
    <n v="104916"/>
    <n v="0"/>
    <n v="0"/>
    <n v="0"/>
    <n v="0"/>
    <n v="104916"/>
    <n v="192400"/>
    <n v="104916"/>
    <n v="0"/>
    <n v="0"/>
    <n v="0"/>
    <n v="0"/>
    <n v="104916"/>
    <n v="192400"/>
  </r>
  <r>
    <n v="1532722974"/>
    <s v="Bill"/>
    <s v="Covil"/>
    <x v="166"/>
    <x v="1"/>
    <n v="56016"/>
    <n v="20"/>
    <x v="166"/>
    <n v="600000"/>
    <n v="750000"/>
    <n v="900000"/>
    <n v="1200000"/>
    <n v="1.2075483333333332"/>
    <s v="100-125%"/>
    <n v="78000"/>
    <n v="18679.349999999999"/>
    <n v="0"/>
    <n v="0"/>
    <n v="0"/>
    <n v="96679.35"/>
    <n v="152695.35"/>
    <n v="90000"/>
    <n v="22415.219999999998"/>
    <n v="0"/>
    <n v="0"/>
    <n v="0"/>
    <n v="112415.22"/>
    <n v="168431.22"/>
  </r>
  <r>
    <n v="4739588234"/>
    <s v="Richard"/>
    <s v="Cowdry"/>
    <x v="167"/>
    <x v="0"/>
    <n v="56787"/>
    <n v="24"/>
    <x v="167"/>
    <n v="500000"/>
    <n v="625000"/>
    <n v="750000"/>
    <n v="1000000"/>
    <n v="1.6970179999999999"/>
    <s v="150-200%"/>
    <n v="50000"/>
    <n v="18750"/>
    <n v="22500"/>
    <n v="21671.98"/>
    <n v="0"/>
    <n v="112921.98"/>
    <n v="169708.97999999998"/>
    <n v="60000"/>
    <n v="21250"/>
    <n v="25000"/>
    <n v="21671.98"/>
    <n v="0"/>
    <n v="127921.98"/>
    <n v="184708.97999999998"/>
  </r>
  <r>
    <n v="4260324861"/>
    <s v="Judd"/>
    <s v="Cowlard"/>
    <x v="168"/>
    <x v="1"/>
    <n v="78989"/>
    <n v="27"/>
    <x v="168"/>
    <n v="600000"/>
    <n v="750000"/>
    <n v="900000"/>
    <n v="1200000"/>
    <n v="1.3855516666666667"/>
    <s v="125-150%"/>
    <n v="78000"/>
    <n v="22500"/>
    <n v="14639.58"/>
    <n v="0"/>
    <n v="0"/>
    <n v="115139.58"/>
    <n v="194128.58000000002"/>
    <n v="90000"/>
    <n v="27000"/>
    <n v="20332.75"/>
    <n v="0"/>
    <n v="0"/>
    <n v="137332.75"/>
    <n v="216321.75"/>
  </r>
  <r>
    <n v="9089601147"/>
    <s v="Barbabra"/>
    <s v="Cramond"/>
    <x v="169"/>
    <x v="1"/>
    <n v="70306"/>
    <n v="17"/>
    <x v="169"/>
    <n v="600000"/>
    <n v="750000"/>
    <n v="900000"/>
    <n v="1200000"/>
    <n v="0.86353333333333337"/>
    <s v="0-100%"/>
    <n v="67355.600000000006"/>
    <n v="0"/>
    <n v="0"/>
    <n v="0"/>
    <n v="0"/>
    <n v="67355.600000000006"/>
    <n v="137661.6"/>
    <n v="77718"/>
    <n v="0"/>
    <n v="0"/>
    <n v="0"/>
    <n v="0"/>
    <n v="77718"/>
    <n v="148024"/>
  </r>
  <r>
    <n v="8905919081"/>
    <s v="Dennis"/>
    <s v="Cranage"/>
    <x v="170"/>
    <x v="1"/>
    <n v="63201"/>
    <n v="16"/>
    <x v="170"/>
    <n v="600000"/>
    <n v="750000"/>
    <n v="900000"/>
    <n v="1200000"/>
    <n v="0.86897000000000002"/>
    <s v="0-100%"/>
    <n v="67779.66"/>
    <n v="0"/>
    <n v="0"/>
    <n v="0"/>
    <n v="0"/>
    <n v="67779.66"/>
    <n v="130980.66"/>
    <n v="78207.3"/>
    <n v="0"/>
    <n v="0"/>
    <n v="0"/>
    <n v="0"/>
    <n v="78207.3"/>
    <n v="141408.29999999999"/>
  </r>
  <r>
    <n v="7243767311"/>
    <s v="Amory"/>
    <s v="Crasswell"/>
    <x v="171"/>
    <x v="0"/>
    <n v="30256"/>
    <n v="22"/>
    <x v="171"/>
    <n v="500000"/>
    <n v="625000"/>
    <n v="750000"/>
    <n v="1000000"/>
    <n v="1.484246"/>
    <s v="125-150%"/>
    <n v="50000"/>
    <n v="18750"/>
    <n v="21082.14"/>
    <n v="0"/>
    <n v="0"/>
    <n v="89832.14"/>
    <n v="120088.14"/>
    <n v="60000"/>
    <n v="21250"/>
    <n v="23424.600000000002"/>
    <n v="0"/>
    <n v="0"/>
    <n v="104674.6"/>
    <n v="134930.6"/>
  </r>
  <r>
    <n v="8065075959"/>
    <s v="Carree"/>
    <s v="Crayker"/>
    <x v="172"/>
    <x v="1"/>
    <n v="73150"/>
    <n v="21"/>
    <x v="172"/>
    <n v="600000"/>
    <n v="750000"/>
    <n v="900000"/>
    <n v="1200000"/>
    <n v="1.2870133333333333"/>
    <s v="125-150%"/>
    <n v="78000"/>
    <n v="25500.000000000004"/>
    <n v="4663.6799999999994"/>
    <n v="0"/>
    <n v="0"/>
    <n v="108163.68"/>
    <n v="181313.68"/>
    <n v="90000"/>
    <n v="27000"/>
    <n v="5552"/>
    <n v="0"/>
    <n v="0"/>
    <n v="122552"/>
    <n v="195702"/>
  </r>
  <r>
    <n v="6293335589"/>
    <s v="Eustacia"/>
    <s v="Creamer"/>
    <x v="173"/>
    <x v="0"/>
    <n v="40857"/>
    <n v="13"/>
    <x v="173"/>
    <n v="500000"/>
    <n v="625000"/>
    <n v="750000"/>
    <n v="1000000"/>
    <n v="0.95988399999999996"/>
    <s v="0-100%"/>
    <n v="47994.200000000004"/>
    <n v="0"/>
    <n v="0"/>
    <n v="0"/>
    <n v="0"/>
    <n v="47994.200000000004"/>
    <n v="88851.200000000012"/>
    <n v="57593.04"/>
    <n v="0"/>
    <n v="0"/>
    <n v="0"/>
    <n v="0"/>
    <n v="57593.04"/>
    <n v="98450.040000000008"/>
  </r>
  <r>
    <n v="1249074622"/>
    <s v="Jonah"/>
    <s v="Crighton"/>
    <x v="174"/>
    <x v="0"/>
    <n v="32561"/>
    <n v="15"/>
    <x v="174"/>
    <n v="500000"/>
    <n v="625000"/>
    <n v="750000"/>
    <n v="1000000"/>
    <n v="1.1993119999999999"/>
    <s v="100-125%"/>
    <n v="50000"/>
    <n v="16941.52"/>
    <n v="0"/>
    <n v="0"/>
    <n v="0"/>
    <n v="66941.52"/>
    <n v="99502.52"/>
    <n v="60000"/>
    <n v="16941.52"/>
    <n v="0"/>
    <n v="0"/>
    <n v="0"/>
    <n v="76941.52"/>
    <n v="109502.52"/>
  </r>
  <r>
    <n v="3956653289"/>
    <s v="Toma"/>
    <s v="Crisell"/>
    <x v="175"/>
    <x v="1"/>
    <n v="71798"/>
    <n v="17"/>
    <x v="175"/>
    <n v="600000"/>
    <n v="750000"/>
    <n v="900000"/>
    <n v="1200000"/>
    <n v="1.1562616666666667"/>
    <s v="100-125%"/>
    <n v="78000"/>
    <n v="14063.55"/>
    <n v="0"/>
    <n v="0"/>
    <n v="0"/>
    <n v="92063.55"/>
    <n v="163861.54999999999"/>
    <n v="90000"/>
    <n v="16876.259999999998"/>
    <n v="0"/>
    <n v="0"/>
    <n v="0"/>
    <n v="106876.26"/>
    <n v="178674.26"/>
  </r>
  <r>
    <n v="5244119095"/>
    <s v="Fraze"/>
    <s v="Crisell"/>
    <x v="176"/>
    <x v="0"/>
    <n v="53456"/>
    <n v="25"/>
    <x v="176"/>
    <n v="500000"/>
    <n v="625000"/>
    <n v="750000"/>
    <n v="1000000"/>
    <n v="1.7531540000000001"/>
    <s v="150-200%"/>
    <n v="50000"/>
    <n v="21250"/>
    <n v="26250"/>
    <n v="32910.020000000004"/>
    <n v="0"/>
    <n v="130410.02"/>
    <n v="183866.02000000002"/>
    <n v="60000"/>
    <n v="21250"/>
    <n v="25000"/>
    <n v="27846.94"/>
    <n v="0"/>
    <n v="134096.94"/>
    <n v="187552.94"/>
  </r>
  <r>
    <n v="2739934548"/>
    <s v="Brantley"/>
    <s v="Cristofolini"/>
    <x v="177"/>
    <x v="0"/>
    <n v="50638"/>
    <n v="16"/>
    <x v="177"/>
    <n v="500000"/>
    <n v="625000"/>
    <n v="750000"/>
    <n v="1000000"/>
    <n v="0.944824"/>
    <s v="0-100%"/>
    <n v="47241.200000000004"/>
    <n v="0"/>
    <n v="0"/>
    <n v="0"/>
    <n v="0"/>
    <n v="47241.200000000004"/>
    <n v="97879.200000000012"/>
    <n v="56689.439999999995"/>
    <n v="0"/>
    <n v="0"/>
    <n v="0"/>
    <n v="0"/>
    <n v="56689.439999999995"/>
    <n v="107327.44"/>
  </r>
  <r>
    <n v="3547596165"/>
    <s v="Shanta"/>
    <s v="Crooke"/>
    <x v="178"/>
    <x v="2"/>
    <n v="86155"/>
    <n v="21"/>
    <x v="178"/>
    <n v="750000"/>
    <n v="937500"/>
    <n v="1125000"/>
    <n v="1500000"/>
    <n v="0.84789199999999998"/>
    <s v="0-100%"/>
    <n v="95387.849999999991"/>
    <n v="0"/>
    <n v="0"/>
    <n v="0"/>
    <n v="0"/>
    <n v="95387.849999999991"/>
    <n v="181542.84999999998"/>
    <n v="95387.849999999991"/>
    <n v="0"/>
    <n v="0"/>
    <n v="0"/>
    <n v="0"/>
    <n v="95387.849999999991"/>
    <n v="181542.84999999998"/>
  </r>
  <r>
    <n v="6815475379"/>
    <s v="Darcy"/>
    <s v="Crosier"/>
    <x v="179"/>
    <x v="2"/>
    <n v="108360"/>
    <n v="22"/>
    <x v="179"/>
    <n v="750000"/>
    <n v="937500"/>
    <n v="1125000"/>
    <n v="1500000"/>
    <n v="0.9614813333333333"/>
    <s v="0-100%"/>
    <n v="108166.65"/>
    <n v="0"/>
    <n v="0"/>
    <n v="0"/>
    <n v="0"/>
    <n v="108166.65"/>
    <n v="216526.65"/>
    <n v="108166.65"/>
    <n v="0"/>
    <n v="0"/>
    <n v="0"/>
    <n v="0"/>
    <n v="108166.65"/>
    <n v="216526.65"/>
  </r>
  <r>
    <n v="7670936274"/>
    <s v="Zita"/>
    <s v="Crossgrove"/>
    <x v="180"/>
    <x v="2"/>
    <n v="109917"/>
    <n v="17"/>
    <x v="180"/>
    <n v="750000"/>
    <n v="937500"/>
    <n v="1125000"/>
    <n v="1500000"/>
    <n v="0.769536"/>
    <s v="0-100%"/>
    <n v="86572.800000000003"/>
    <n v="0"/>
    <n v="0"/>
    <n v="0"/>
    <n v="0"/>
    <n v="86572.800000000003"/>
    <n v="196489.8"/>
    <n v="86572.800000000003"/>
    <n v="0"/>
    <n v="0"/>
    <n v="0"/>
    <n v="0"/>
    <n v="86572.800000000003"/>
    <n v="196489.8"/>
  </r>
  <r>
    <n v="5511711233"/>
    <s v="Thalia"/>
    <s v="Crowcher"/>
    <x v="181"/>
    <x v="0"/>
    <n v="50457"/>
    <n v="16"/>
    <x v="181"/>
    <n v="500000"/>
    <n v="625000"/>
    <n v="750000"/>
    <n v="1000000"/>
    <n v="1.052028"/>
    <s v="100-125%"/>
    <n v="50000"/>
    <n v="3902.1"/>
    <n v="0"/>
    <n v="0"/>
    <n v="0"/>
    <n v="53902.1"/>
    <n v="104359.1"/>
    <n v="60000"/>
    <n v="4422.38"/>
    <n v="0"/>
    <n v="0"/>
    <n v="0"/>
    <n v="64422.38"/>
    <n v="114879.38"/>
  </r>
  <r>
    <n v="3554301841"/>
    <s v="Rubin"/>
    <s v="Crummay"/>
    <x v="182"/>
    <x v="2"/>
    <n v="94163"/>
    <n v="19"/>
    <x v="182"/>
    <n v="750000"/>
    <n v="937500"/>
    <n v="1125000"/>
    <n v="1500000"/>
    <n v="0.88649599999999995"/>
    <s v="0-100%"/>
    <n v="99730.8"/>
    <n v="0"/>
    <n v="0"/>
    <n v="0"/>
    <n v="0"/>
    <n v="99730.8"/>
    <n v="193893.8"/>
    <n v="99730.8"/>
    <n v="0"/>
    <n v="0"/>
    <n v="0"/>
    <n v="0"/>
    <n v="99730.8"/>
    <n v="193893.8"/>
  </r>
  <r>
    <n v="8864419241"/>
    <s v="Kial"/>
    <s v="Cuchey"/>
    <x v="183"/>
    <x v="1"/>
    <n v="69764"/>
    <n v="22"/>
    <x v="183"/>
    <n v="600000"/>
    <n v="750000"/>
    <n v="900000"/>
    <n v="1200000"/>
    <n v="1.30535"/>
    <s v="125-150%"/>
    <n v="78000"/>
    <n v="25500.000000000004"/>
    <n v="6974.0999999999995"/>
    <n v="0"/>
    <n v="0"/>
    <n v="110474.1"/>
    <n v="180238.1"/>
    <n v="90000"/>
    <n v="27000"/>
    <n v="8302.5"/>
    <n v="0"/>
    <n v="0"/>
    <n v="125302.5"/>
    <n v="195066.5"/>
  </r>
  <r>
    <n v="1268934771"/>
    <s v="Tiphani"/>
    <s v="Cuerda"/>
    <x v="184"/>
    <x v="1"/>
    <n v="50003"/>
    <n v="18"/>
    <x v="184"/>
    <n v="600000"/>
    <n v="750000"/>
    <n v="900000"/>
    <n v="1200000"/>
    <n v="0.83946833333333337"/>
    <s v="0-100%"/>
    <n v="65478.53"/>
    <n v="0"/>
    <n v="0"/>
    <n v="0"/>
    <n v="0"/>
    <n v="65478.53"/>
    <n v="115481.53"/>
    <n v="75552.149999999994"/>
    <n v="0"/>
    <n v="0"/>
    <n v="0"/>
    <n v="0"/>
    <n v="75552.149999999994"/>
    <n v="125555.15"/>
  </r>
  <r>
    <n v="601779371"/>
    <s v="Dionis"/>
    <s v="Cumpton"/>
    <x v="185"/>
    <x v="2"/>
    <n v="114343"/>
    <n v="19"/>
    <x v="185"/>
    <n v="750000"/>
    <n v="937500"/>
    <n v="1125000"/>
    <n v="1500000"/>
    <n v="0.90782666666666667"/>
    <s v="0-100%"/>
    <n v="102130.5"/>
    <n v="0"/>
    <n v="0"/>
    <n v="0"/>
    <n v="0"/>
    <n v="102130.5"/>
    <n v="216473.5"/>
    <n v="102130.5"/>
    <n v="0"/>
    <n v="0"/>
    <n v="0"/>
    <n v="0"/>
    <n v="102130.5"/>
    <n v="216473.5"/>
  </r>
  <r>
    <n v="1456229036"/>
    <s v="Eward"/>
    <s v="Cureton"/>
    <x v="186"/>
    <x v="1"/>
    <n v="73519"/>
    <n v="21"/>
    <x v="186"/>
    <n v="600000"/>
    <n v="750000"/>
    <n v="900000"/>
    <n v="1200000"/>
    <n v="1.3849499999999999"/>
    <s v="125-150%"/>
    <n v="78000"/>
    <n v="25500.000000000004"/>
    <n v="17003.7"/>
    <n v="0"/>
    <n v="0"/>
    <n v="120503.7"/>
    <n v="194022.7"/>
    <n v="90000"/>
    <n v="27000"/>
    <n v="20242.5"/>
    <n v="0"/>
    <n v="0"/>
    <n v="137242.5"/>
    <n v="210761.5"/>
  </r>
  <r>
    <n v="2841287114"/>
    <s v="Elisabetta"/>
    <s v="Curzey"/>
    <x v="187"/>
    <x v="1"/>
    <n v="55803"/>
    <n v="23"/>
    <x v="187"/>
    <n v="600000"/>
    <n v="750000"/>
    <n v="900000"/>
    <n v="1200000"/>
    <n v="1.3858966666666668"/>
    <s v="125-150%"/>
    <n v="78000"/>
    <n v="28500"/>
    <n v="18753.740000000002"/>
    <n v="0"/>
    <n v="0"/>
    <n v="125253.74"/>
    <n v="181056.74"/>
    <n v="90000"/>
    <n v="27000"/>
    <n v="20384.5"/>
    <n v="0"/>
    <n v="0"/>
    <n v="137384.5"/>
    <n v="193187.5"/>
  </r>
  <r>
    <n v="8695742075"/>
    <s v="Daryle"/>
    <s v="Custed"/>
    <x v="188"/>
    <x v="2"/>
    <n v="75423"/>
    <n v="18"/>
    <x v="188"/>
    <n v="750000"/>
    <n v="937500"/>
    <n v="1125000"/>
    <n v="1500000"/>
    <n v="0.95904400000000001"/>
    <s v="0-100%"/>
    <n v="107892.45"/>
    <n v="0"/>
    <n v="0"/>
    <n v="0"/>
    <n v="0"/>
    <n v="107892.45"/>
    <n v="183315.45"/>
    <n v="107892.45"/>
    <n v="0"/>
    <n v="0"/>
    <n v="0"/>
    <n v="0"/>
    <n v="107892.45"/>
    <n v="183315.45"/>
  </r>
  <r>
    <n v="1009146149"/>
    <s v="Sibbie"/>
    <s v="Cutbush"/>
    <x v="189"/>
    <x v="1"/>
    <n v="78802"/>
    <n v="27"/>
    <x v="189"/>
    <n v="600000"/>
    <n v="750000"/>
    <n v="900000"/>
    <n v="1200000"/>
    <n v="1.4757633333333333"/>
    <s v="125-150%"/>
    <n v="78000"/>
    <n v="25500.000000000004"/>
    <n v="28446.18"/>
    <n v="0"/>
    <n v="0"/>
    <n v="131946.18"/>
    <n v="210748.18"/>
    <n v="90000"/>
    <n v="27000"/>
    <n v="33864.5"/>
    <n v="0"/>
    <n v="0"/>
    <n v="150864.5"/>
    <n v="229666.5"/>
  </r>
  <r>
    <n v="679204083"/>
    <s v="Viv"/>
    <s v="Czajka"/>
    <x v="190"/>
    <x v="1"/>
    <n v="53945"/>
    <n v="22"/>
    <x v="190"/>
    <n v="600000"/>
    <n v="750000"/>
    <n v="900000"/>
    <n v="1200000"/>
    <n v="1.2606949999999999"/>
    <s v="125-150%"/>
    <n v="78000"/>
    <n v="22500"/>
    <n v="1155.06"/>
    <n v="0"/>
    <n v="0"/>
    <n v="101655.06"/>
    <n v="155600.06"/>
    <n v="90000"/>
    <n v="27000"/>
    <n v="1604.25"/>
    <n v="0"/>
    <n v="0"/>
    <n v="118604.25"/>
    <n v="172549.25"/>
  </r>
  <r>
    <n v="9153408497"/>
    <s v="Shelly"/>
    <s v="Dabs"/>
    <x v="191"/>
    <x v="2"/>
    <n v="96381"/>
    <n v="30"/>
    <x v="191"/>
    <n v="750000"/>
    <n v="937500"/>
    <n v="1125000"/>
    <n v="1500000"/>
    <n v="1.2847426666666666"/>
    <s v="125-150%"/>
    <n v="112500"/>
    <n v="31875.000000000004"/>
    <n v="5471.9699999999993"/>
    <n v="0"/>
    <n v="0"/>
    <n v="149846.97"/>
    <n v="246227.97"/>
    <n v="112500"/>
    <n v="41250"/>
    <n v="6514.25"/>
    <n v="0"/>
    <n v="0"/>
    <n v="160264.25"/>
    <n v="256645.25"/>
  </r>
  <r>
    <n v="858481901"/>
    <s v="Cyndi"/>
    <s v="D'Agostino"/>
    <x v="192"/>
    <x v="2"/>
    <n v="78794"/>
    <n v="28"/>
    <x v="192"/>
    <n v="750000"/>
    <n v="937500"/>
    <n v="1125000"/>
    <n v="1500000"/>
    <n v="1.3095653333333332"/>
    <s v="125-150%"/>
    <n v="112500"/>
    <n v="35625"/>
    <n v="10275.02"/>
    <n v="0"/>
    <n v="0"/>
    <n v="158400.01999999999"/>
    <n v="237194.02"/>
    <n v="112500"/>
    <n v="41250"/>
    <n v="11168.5"/>
    <n v="0"/>
    <n v="0"/>
    <n v="164918.5"/>
    <n v="243712.5"/>
  </r>
  <r>
    <n v="9228842121"/>
    <s v="Filbert"/>
    <s v="Dahle"/>
    <x v="193"/>
    <x v="1"/>
    <n v="74925"/>
    <n v="25"/>
    <x v="193"/>
    <n v="600000"/>
    <n v="750000"/>
    <n v="900000"/>
    <n v="1200000"/>
    <n v="1.5353383333333332"/>
    <s v="150-200%"/>
    <n v="78000"/>
    <n v="28500"/>
    <n v="34500"/>
    <n v="6360.9"/>
    <n v="0"/>
    <n v="147360.9"/>
    <n v="222285.9"/>
    <n v="90000"/>
    <n v="27000"/>
    <n v="37500"/>
    <n v="6360.9"/>
    <n v="0"/>
    <n v="160860.9"/>
    <n v="235785.9"/>
  </r>
  <r>
    <n v="7783641539"/>
    <s v="Janenna"/>
    <s v="Dailey"/>
    <x v="194"/>
    <x v="2"/>
    <n v="109301"/>
    <n v="20"/>
    <x v="194"/>
    <n v="750000"/>
    <n v="937500"/>
    <n v="1125000"/>
    <n v="1500000"/>
    <n v="0.97279199999999999"/>
    <s v="0-100%"/>
    <n v="109439.09999999999"/>
    <n v="0"/>
    <n v="0"/>
    <n v="0"/>
    <n v="0"/>
    <n v="109439.09999999999"/>
    <n v="218740.09999999998"/>
    <n v="109439.09999999999"/>
    <n v="0"/>
    <n v="0"/>
    <n v="0"/>
    <n v="0"/>
    <n v="109439.09999999999"/>
    <n v="218740.09999999998"/>
  </r>
  <r>
    <n v="8173067724"/>
    <s v="Sandor"/>
    <s v="D'Ambrogi"/>
    <x v="195"/>
    <x v="0"/>
    <n v="47147"/>
    <n v="21"/>
    <x v="195"/>
    <n v="500000"/>
    <n v="625000"/>
    <n v="750000"/>
    <n v="1000000"/>
    <n v="1.52142"/>
    <s v="150-200%"/>
    <n v="50000"/>
    <n v="18750"/>
    <n v="22500"/>
    <n v="2356.1999999999998"/>
    <n v="0"/>
    <n v="93606.2"/>
    <n v="140753.20000000001"/>
    <n v="60000"/>
    <n v="21250"/>
    <n v="25000"/>
    <n v="2356.1999999999998"/>
    <n v="0"/>
    <n v="108606.2"/>
    <n v="155753.20000000001"/>
  </r>
  <r>
    <n v="3915983489"/>
    <s v="Katrina"/>
    <s v="Danne"/>
    <x v="196"/>
    <x v="0"/>
    <n v="47584"/>
    <n v="20"/>
    <x v="196"/>
    <n v="500000"/>
    <n v="625000"/>
    <n v="750000"/>
    <n v="1000000"/>
    <n v="1.4235720000000001"/>
    <s v="125-150%"/>
    <n v="50000"/>
    <n v="21250"/>
    <n v="18225.059999999998"/>
    <n v="0"/>
    <n v="0"/>
    <n v="89475.06"/>
    <n v="137059.06"/>
    <n v="60000"/>
    <n v="21250"/>
    <n v="17357.2"/>
    <n v="0"/>
    <n v="0"/>
    <n v="98607.2"/>
    <n v="146191.20000000001"/>
  </r>
  <r>
    <n v="7453397081"/>
    <s v="Weylin"/>
    <s v="Daouze"/>
    <x v="197"/>
    <x v="2"/>
    <n v="88012"/>
    <n v="13"/>
    <x v="197"/>
    <n v="750000"/>
    <n v="937500"/>
    <n v="1125000"/>
    <n v="1500000"/>
    <n v="0.57666933333333337"/>
    <s v="0-100%"/>
    <n v="64875.299999999996"/>
    <n v="0"/>
    <n v="0"/>
    <n v="0"/>
    <n v="0"/>
    <n v="64875.299999999996"/>
    <n v="152887.29999999999"/>
    <n v="64875.299999999996"/>
    <n v="0"/>
    <n v="0"/>
    <n v="0"/>
    <n v="0"/>
    <n v="64875.299999999996"/>
    <n v="152887.29999999999"/>
  </r>
  <r>
    <n v="7011563598"/>
    <s v="Isadora"/>
    <s v="Davana"/>
    <x v="198"/>
    <x v="0"/>
    <n v="30113"/>
    <n v="18"/>
    <x v="198"/>
    <n v="500000"/>
    <n v="625000"/>
    <n v="750000"/>
    <n v="1000000"/>
    <n v="1.3282700000000001"/>
    <s v="125-150%"/>
    <n v="50000"/>
    <n v="23750"/>
    <n v="9001.0500000000011"/>
    <n v="0"/>
    <n v="0"/>
    <n v="82751.05"/>
    <n v="112864.05"/>
    <n v="60000"/>
    <n v="21250"/>
    <n v="7827"/>
    <n v="0"/>
    <n v="0"/>
    <n v="89077"/>
    <n v="119190"/>
  </r>
  <r>
    <n v="6402318035"/>
    <s v="Orv"/>
    <s v="Davidou"/>
    <x v="199"/>
    <x v="0"/>
    <n v="51501"/>
    <n v="20"/>
    <x v="199"/>
    <n v="500000"/>
    <n v="625000"/>
    <n v="750000"/>
    <n v="1000000"/>
    <n v="1.3136399999999999"/>
    <s v="125-150%"/>
    <n v="50000"/>
    <n v="23750"/>
    <n v="7318.6"/>
    <n v="0"/>
    <n v="0"/>
    <n v="81068.600000000006"/>
    <n v="132569.60000000001"/>
    <n v="60000"/>
    <n v="21250"/>
    <n v="6364"/>
    <n v="0"/>
    <n v="0"/>
    <n v="87614"/>
    <n v="139115"/>
  </r>
  <r>
    <n v="27852261"/>
    <s v="Ivor"/>
    <s v="Davidy"/>
    <x v="200"/>
    <x v="2"/>
    <n v="75324"/>
    <n v="15"/>
    <x v="200"/>
    <n v="750000"/>
    <n v="937500"/>
    <n v="1125000"/>
    <n v="1500000"/>
    <n v="0.53759466666666667"/>
    <s v="0-100%"/>
    <n v="60479.399999999994"/>
    <n v="0"/>
    <n v="0"/>
    <n v="0"/>
    <n v="0"/>
    <n v="60479.399999999994"/>
    <n v="135803.4"/>
    <n v="60479.399999999994"/>
    <n v="0"/>
    <n v="0"/>
    <n v="0"/>
    <n v="0"/>
    <n v="60479.399999999994"/>
    <n v="135803.4"/>
  </r>
  <r>
    <n v="6819637888"/>
    <s v="Ted"/>
    <s v="Davoren"/>
    <x v="201"/>
    <x v="0"/>
    <n v="53401"/>
    <n v="14"/>
    <x v="201"/>
    <n v="500000"/>
    <n v="625000"/>
    <n v="750000"/>
    <n v="1000000"/>
    <n v="0.89072600000000002"/>
    <s v="0-100%"/>
    <n v="44536.3"/>
    <n v="0"/>
    <n v="0"/>
    <n v="0"/>
    <n v="0"/>
    <n v="44536.3"/>
    <n v="97937.3"/>
    <n v="53443.56"/>
    <n v="0"/>
    <n v="0"/>
    <n v="0"/>
    <n v="0"/>
    <n v="53443.56"/>
    <n v="106844.56"/>
  </r>
  <r>
    <n v="115757341"/>
    <s v="Yehudit"/>
    <s v="Dawdary"/>
    <x v="202"/>
    <x v="0"/>
    <n v="45592"/>
    <n v="17"/>
    <x v="202"/>
    <n v="500000"/>
    <n v="625000"/>
    <n v="750000"/>
    <n v="1000000"/>
    <n v="1.16828"/>
    <s v="100-125%"/>
    <n v="50000"/>
    <n v="15986.6"/>
    <n v="0"/>
    <n v="0"/>
    <n v="0"/>
    <n v="65986.600000000006"/>
    <n v="111578.6"/>
    <n v="60000"/>
    <n v="14303.800000000001"/>
    <n v="0"/>
    <n v="0"/>
    <n v="0"/>
    <n v="74303.8"/>
    <n v="119895.8"/>
  </r>
  <r>
    <n v="324399618"/>
    <s v="Shani"/>
    <s v="Dawdary"/>
    <x v="203"/>
    <x v="0"/>
    <n v="32171"/>
    <n v="21"/>
    <x v="203"/>
    <n v="500000"/>
    <n v="625000"/>
    <n v="750000"/>
    <n v="1000000"/>
    <n v="1.365712"/>
    <s v="125-150%"/>
    <n v="50000"/>
    <n v="18750"/>
    <n v="10414.08"/>
    <n v="0"/>
    <n v="0"/>
    <n v="79164.08"/>
    <n v="111335.08"/>
    <n v="60000"/>
    <n v="21250"/>
    <n v="11571.2"/>
    <n v="0"/>
    <n v="0"/>
    <n v="92821.2"/>
    <n v="124992.2"/>
  </r>
  <r>
    <n v="6286877770"/>
    <s v="Ramsay"/>
    <s v="Dawdry"/>
    <x v="204"/>
    <x v="2"/>
    <n v="103201"/>
    <n v="25"/>
    <x v="204"/>
    <n v="750000"/>
    <n v="937500"/>
    <n v="1125000"/>
    <n v="1500000"/>
    <n v="1.060484"/>
    <s v="100-125%"/>
    <n v="112500"/>
    <n v="7711.7100000000009"/>
    <n v="0"/>
    <n v="0"/>
    <n v="0"/>
    <n v="120211.71"/>
    <n v="223412.71000000002"/>
    <n v="112500"/>
    <n v="9979.86"/>
    <n v="0"/>
    <n v="0"/>
    <n v="0"/>
    <n v="122479.86"/>
    <n v="225680.86"/>
  </r>
  <r>
    <n v="6531376252"/>
    <s v="Clyve"/>
    <s v="Dayley"/>
    <x v="205"/>
    <x v="1"/>
    <n v="69272"/>
    <n v="23"/>
    <x v="205"/>
    <n v="600000"/>
    <n v="750000"/>
    <n v="900000"/>
    <n v="1200000"/>
    <n v="1.3223816666666666"/>
    <s v="125-150%"/>
    <n v="78000"/>
    <n v="22500"/>
    <n v="7817.2199999999993"/>
    <n v="0"/>
    <n v="0"/>
    <n v="108317.22"/>
    <n v="177589.22"/>
    <n v="90000"/>
    <n v="27000"/>
    <n v="10857.25"/>
    <n v="0"/>
    <n v="0"/>
    <n v="127857.25"/>
    <n v="197129.25"/>
  </r>
  <r>
    <n v="1541082834"/>
    <s v="Nikolai"/>
    <s v="De Castri"/>
    <x v="206"/>
    <x v="1"/>
    <n v="61060"/>
    <n v="19"/>
    <x v="206"/>
    <n v="600000"/>
    <n v="750000"/>
    <n v="900000"/>
    <n v="1200000"/>
    <n v="1.0024066666666667"/>
    <s v="100-125%"/>
    <n v="78000"/>
    <n v="274.36"/>
    <n v="0"/>
    <n v="0"/>
    <n v="0"/>
    <n v="78274.36"/>
    <n v="139334.35999999999"/>
    <n v="90000"/>
    <n v="259.92"/>
    <n v="0"/>
    <n v="0"/>
    <n v="0"/>
    <n v="90259.92"/>
    <n v="151319.91999999998"/>
  </r>
  <r>
    <n v="2128813026"/>
    <s v="Saree"/>
    <s v="de Clercq"/>
    <x v="207"/>
    <x v="2"/>
    <n v="119743"/>
    <n v="23"/>
    <x v="207"/>
    <n v="750000"/>
    <n v="937500"/>
    <n v="1125000"/>
    <n v="1500000"/>
    <n v="0.99398666666666669"/>
    <s v="0-100%"/>
    <n v="111823.5"/>
    <n v="0"/>
    <n v="0"/>
    <n v="0"/>
    <n v="0"/>
    <n v="111823.5"/>
    <n v="231566.5"/>
    <n v="111823.5"/>
    <n v="0"/>
    <n v="0"/>
    <n v="0"/>
    <n v="0"/>
    <n v="111823.5"/>
    <n v="231566.5"/>
  </r>
  <r>
    <n v="9619649427"/>
    <s v="Caryn"/>
    <s v="De La Coste"/>
    <x v="208"/>
    <x v="1"/>
    <n v="52037"/>
    <n v="27"/>
    <x v="208"/>
    <n v="600000"/>
    <n v="750000"/>
    <n v="900000"/>
    <n v="1200000"/>
    <n v="1.5412483333333333"/>
    <s v="150-200%"/>
    <n v="78000"/>
    <n v="28500"/>
    <n v="34500"/>
    <n v="7424.7"/>
    <n v="0"/>
    <n v="148424.70000000001"/>
    <n v="200461.7"/>
    <n v="90000"/>
    <n v="27000"/>
    <n v="37500"/>
    <n v="7424.7"/>
    <n v="0"/>
    <n v="161924.70000000001"/>
    <n v="213961.7"/>
  </r>
  <r>
    <n v="4492546545"/>
    <s v="Queenie"/>
    <s v="De la Harpe"/>
    <x v="209"/>
    <x v="0"/>
    <n v="59662"/>
    <n v="23"/>
    <x v="209"/>
    <n v="500000"/>
    <n v="625000"/>
    <n v="750000"/>
    <n v="1000000"/>
    <n v="1.669168"/>
    <s v="150-200%"/>
    <n v="50000"/>
    <n v="23750"/>
    <n v="28750"/>
    <n v="25375.200000000001"/>
    <n v="0"/>
    <n v="127875.2"/>
    <n v="187537.2"/>
    <n v="60000"/>
    <n v="21250"/>
    <n v="25000"/>
    <n v="18608.48"/>
    <n v="0"/>
    <n v="124858.48"/>
    <n v="184520.47999999998"/>
  </r>
  <r>
    <n v="5280433926"/>
    <s v="Elva"/>
    <s v="Delepine"/>
    <x v="210"/>
    <x v="1"/>
    <n v="51804"/>
    <n v="16"/>
    <x v="210"/>
    <n v="600000"/>
    <n v="750000"/>
    <n v="900000"/>
    <n v="1200000"/>
    <n v="0.95611000000000002"/>
    <s v="0-100%"/>
    <n v="74576.58"/>
    <n v="0"/>
    <n v="0"/>
    <n v="0"/>
    <n v="0"/>
    <n v="74576.58"/>
    <n v="126380.58"/>
    <n v="86049.9"/>
    <n v="0"/>
    <n v="0"/>
    <n v="0"/>
    <n v="0"/>
    <n v="86049.9"/>
    <n v="137853.9"/>
  </r>
  <r>
    <n v="4445486779"/>
    <s v="Helen"/>
    <s v="Delwater"/>
    <x v="211"/>
    <x v="2"/>
    <n v="104472"/>
    <n v="19"/>
    <x v="211"/>
    <n v="750000"/>
    <n v="937500"/>
    <n v="1125000"/>
    <n v="1500000"/>
    <n v="0.85152799999999995"/>
    <s v="0-100%"/>
    <n v="95796.9"/>
    <n v="0"/>
    <n v="0"/>
    <n v="0"/>
    <n v="0"/>
    <n v="95796.9"/>
    <n v="200268.9"/>
    <n v="95796.9"/>
    <n v="0"/>
    <n v="0"/>
    <n v="0"/>
    <n v="0"/>
    <n v="95796.9"/>
    <n v="200268.9"/>
  </r>
  <r>
    <n v="2924550912"/>
    <s v="Bobbi"/>
    <s v="Denis"/>
    <x v="212"/>
    <x v="1"/>
    <n v="77174"/>
    <n v="17"/>
    <x v="212"/>
    <n v="600000"/>
    <n v="750000"/>
    <n v="900000"/>
    <n v="1200000"/>
    <n v="0.98907166666666668"/>
    <s v="0-100%"/>
    <n v="77147.59"/>
    <n v="0"/>
    <n v="0"/>
    <n v="0"/>
    <n v="0"/>
    <n v="77147.59"/>
    <n v="154321.59"/>
    <n v="89016.45"/>
    <n v="0"/>
    <n v="0"/>
    <n v="0"/>
    <n v="0"/>
    <n v="89016.45"/>
    <n v="166190.45000000001"/>
  </r>
  <r>
    <n v="5285704227"/>
    <s v="Delphine"/>
    <s v="Denisard"/>
    <x v="213"/>
    <x v="2"/>
    <n v="101533"/>
    <n v="14"/>
    <x v="213"/>
    <n v="750000"/>
    <n v="937500"/>
    <n v="1125000"/>
    <n v="1500000"/>
    <n v="0.66267866666666664"/>
    <s v="0-100%"/>
    <n v="74551.349999999991"/>
    <n v="0"/>
    <n v="0"/>
    <n v="0"/>
    <n v="0"/>
    <n v="74551.349999999991"/>
    <n v="176084.34999999998"/>
    <n v="74551.349999999991"/>
    <n v="0"/>
    <n v="0"/>
    <n v="0"/>
    <n v="0"/>
    <n v="74551.349999999991"/>
    <n v="176084.34999999998"/>
  </r>
  <r>
    <n v="933051662"/>
    <s v="Arabel"/>
    <s v="Denison"/>
    <x v="214"/>
    <x v="2"/>
    <n v="116350"/>
    <n v="15"/>
    <x v="214"/>
    <n v="750000"/>
    <n v="937500"/>
    <n v="1125000"/>
    <n v="1500000"/>
    <n v="0.76456000000000002"/>
    <s v="0-100%"/>
    <n v="86013"/>
    <n v="0"/>
    <n v="0"/>
    <n v="0"/>
    <n v="0"/>
    <n v="86013"/>
    <n v="202363"/>
    <n v="86013"/>
    <n v="0"/>
    <n v="0"/>
    <n v="0"/>
    <n v="0"/>
    <n v="86013"/>
    <n v="202363"/>
  </r>
  <r>
    <n v="9963057691"/>
    <s v="Marty"/>
    <s v="Denson"/>
    <x v="215"/>
    <x v="1"/>
    <n v="64506"/>
    <n v="17"/>
    <x v="215"/>
    <n v="600000"/>
    <n v="750000"/>
    <n v="900000"/>
    <n v="1200000"/>
    <n v="1.0624583333333333"/>
    <s v="100-125%"/>
    <n v="78000"/>
    <n v="7120.25"/>
    <n v="0"/>
    <n v="0"/>
    <n v="0"/>
    <n v="85120.25"/>
    <n v="149626.25"/>
    <n v="90000"/>
    <n v="6745.5"/>
    <n v="0"/>
    <n v="0"/>
    <n v="0"/>
    <n v="96745.5"/>
    <n v="161251.5"/>
  </r>
  <r>
    <n v="7567063646"/>
    <s v="Eryn"/>
    <s v="Derle"/>
    <x v="216"/>
    <x v="1"/>
    <n v="58778"/>
    <n v="20"/>
    <x v="216"/>
    <n v="600000"/>
    <n v="750000"/>
    <n v="900000"/>
    <n v="1200000"/>
    <n v="1.1744966666666667"/>
    <s v="100-125%"/>
    <n v="78000"/>
    <n v="15704.699999999999"/>
    <n v="0"/>
    <n v="0"/>
    <n v="0"/>
    <n v="93704.7"/>
    <n v="152482.70000000001"/>
    <n v="90000"/>
    <n v="18845.64"/>
    <n v="0"/>
    <n v="0"/>
    <n v="0"/>
    <n v="108845.64"/>
    <n v="167623.64000000001"/>
  </r>
  <r>
    <n v="1420239228"/>
    <s v="Jessica"/>
    <s v="Derye-Barrett"/>
    <x v="217"/>
    <x v="1"/>
    <n v="62855"/>
    <n v="16"/>
    <x v="217"/>
    <n v="600000"/>
    <n v="750000"/>
    <n v="900000"/>
    <n v="1200000"/>
    <n v="0.98834999999999995"/>
    <s v="0-100%"/>
    <n v="77091.3"/>
    <n v="0"/>
    <n v="0"/>
    <n v="0"/>
    <n v="0"/>
    <n v="77091.3"/>
    <n v="139946.29999999999"/>
    <n v="88951.5"/>
    <n v="0"/>
    <n v="0"/>
    <n v="0"/>
    <n v="0"/>
    <n v="88951.5"/>
    <n v="151806.5"/>
  </r>
  <r>
    <n v="3986480021"/>
    <s v="Cate"/>
    <s v="Devall"/>
    <x v="218"/>
    <x v="1"/>
    <n v="59679"/>
    <n v="23"/>
    <x v="218"/>
    <n v="600000"/>
    <n v="750000"/>
    <n v="900000"/>
    <n v="1200000"/>
    <n v="1.513415"/>
    <s v="150-200%"/>
    <n v="78000"/>
    <n v="28500"/>
    <n v="34500"/>
    <n v="2414.6999999999998"/>
    <n v="0"/>
    <n v="143414.70000000001"/>
    <n v="203093.7"/>
    <n v="90000"/>
    <n v="27000"/>
    <n v="37500"/>
    <n v="2414.6999999999998"/>
    <n v="0"/>
    <n v="156914.70000000001"/>
    <n v="216593.7"/>
  </r>
  <r>
    <n v="3545427749"/>
    <s v="De"/>
    <s v="Devereux"/>
    <x v="219"/>
    <x v="0"/>
    <n v="31483"/>
    <n v="23"/>
    <x v="219"/>
    <n v="500000"/>
    <n v="625000"/>
    <n v="750000"/>
    <n v="1000000"/>
    <n v="1.7086440000000001"/>
    <s v="150-200%"/>
    <n v="50000"/>
    <n v="23750"/>
    <n v="28750"/>
    <n v="31296.6"/>
    <n v="0"/>
    <n v="133796.6"/>
    <n v="165279.6"/>
    <n v="60000"/>
    <n v="21250"/>
    <n v="25000"/>
    <n v="22950.84"/>
    <n v="0"/>
    <n v="129200.84"/>
    <n v="160683.84"/>
  </r>
  <r>
    <n v="7440017404"/>
    <s v="Etan"/>
    <s v="Devericks"/>
    <x v="220"/>
    <x v="1"/>
    <n v="55407"/>
    <n v="20"/>
    <x v="220"/>
    <n v="600000"/>
    <n v="750000"/>
    <n v="900000"/>
    <n v="1200000"/>
    <n v="1.03596"/>
    <s v="100-125%"/>
    <n v="78000"/>
    <n v="3236.4"/>
    <n v="0"/>
    <n v="0"/>
    <n v="0"/>
    <n v="81236.399999999994"/>
    <n v="136643.4"/>
    <n v="90000"/>
    <n v="3883.68"/>
    <n v="0"/>
    <n v="0"/>
    <n v="0"/>
    <n v="93883.68"/>
    <n v="149290.68"/>
  </r>
  <r>
    <n v="2804488179"/>
    <s v="Golda"/>
    <s v="Devigne"/>
    <x v="221"/>
    <x v="2"/>
    <n v="104547"/>
    <n v="20"/>
    <x v="221"/>
    <n v="750000"/>
    <n v="937500"/>
    <n v="1125000"/>
    <n v="1500000"/>
    <n v="0.81376133333333334"/>
    <s v="0-100%"/>
    <n v="91548.15"/>
    <n v="0"/>
    <n v="0"/>
    <n v="0"/>
    <n v="0"/>
    <n v="91548.15"/>
    <n v="196095.15"/>
    <n v="91548.15"/>
    <n v="0"/>
    <n v="0"/>
    <n v="0"/>
    <n v="0"/>
    <n v="91548.15"/>
    <n v="196095.15"/>
  </r>
  <r>
    <n v="7931128354"/>
    <s v="Emanuel"/>
    <s v="Devita"/>
    <x v="222"/>
    <x v="1"/>
    <n v="68190"/>
    <n v="21"/>
    <x v="222"/>
    <n v="600000"/>
    <n v="750000"/>
    <n v="900000"/>
    <n v="1200000"/>
    <n v="1.1636583333333332"/>
    <s v="100-125%"/>
    <n v="78000"/>
    <n v="16693.150000000001"/>
    <n v="0"/>
    <n v="0"/>
    <n v="0"/>
    <n v="94693.15"/>
    <n v="162883.15"/>
    <n v="90000"/>
    <n v="17675.099999999999"/>
    <n v="0"/>
    <n v="0"/>
    <n v="0"/>
    <n v="107675.1"/>
    <n v="175865.1"/>
  </r>
  <r>
    <n v="1664426442"/>
    <s v="Saleem"/>
    <s v="Dewdney"/>
    <x v="223"/>
    <x v="0"/>
    <n v="57195"/>
    <n v="17"/>
    <x v="223"/>
    <n v="500000"/>
    <n v="625000"/>
    <n v="750000"/>
    <n v="1000000"/>
    <n v="1.20384"/>
    <s v="100-125%"/>
    <n v="50000"/>
    <n v="17326.400000000001"/>
    <n v="0"/>
    <n v="0"/>
    <n v="0"/>
    <n v="67326.399999999994"/>
    <n v="124521.4"/>
    <n v="60000"/>
    <n v="17326.400000000001"/>
    <n v="0"/>
    <n v="0"/>
    <n v="0"/>
    <n v="77326.399999999994"/>
    <n v="134521.4"/>
  </r>
  <r>
    <n v="2297168497"/>
    <s v="Gris"/>
    <s v="Dewsnap"/>
    <x v="224"/>
    <x v="0"/>
    <n v="52584"/>
    <n v="17"/>
    <x v="224"/>
    <n v="500000"/>
    <n v="625000"/>
    <n v="750000"/>
    <n v="1000000"/>
    <n v="1.1936020000000001"/>
    <s v="100-125%"/>
    <n v="50000"/>
    <n v="18392.189999999999"/>
    <n v="0"/>
    <n v="0"/>
    <n v="0"/>
    <n v="68392.19"/>
    <n v="120976.19"/>
    <n v="60000"/>
    <n v="16456.170000000002"/>
    <n v="0"/>
    <n v="0"/>
    <n v="0"/>
    <n v="76456.17"/>
    <n v="129040.17"/>
  </r>
  <r>
    <n v="813832926"/>
    <s v="Corene"/>
    <s v="Diamant"/>
    <x v="225"/>
    <x v="1"/>
    <n v="62260"/>
    <n v="19"/>
    <x v="225"/>
    <n v="600000"/>
    <n v="750000"/>
    <n v="900000"/>
    <n v="1200000"/>
    <n v="1.1238300000000001"/>
    <s v="100-125%"/>
    <n v="78000"/>
    <n v="14116.62"/>
    <n v="0"/>
    <n v="0"/>
    <n v="0"/>
    <n v="92116.62"/>
    <n v="154376.62"/>
    <n v="90000"/>
    <n v="13373.64"/>
    <n v="0"/>
    <n v="0"/>
    <n v="0"/>
    <n v="103373.64"/>
    <n v="165633.64000000001"/>
  </r>
  <r>
    <n v="7166957409"/>
    <s v="Chen"/>
    <s v="Dicker"/>
    <x v="226"/>
    <x v="2"/>
    <n v="113321"/>
    <n v="14"/>
    <x v="226"/>
    <n v="750000"/>
    <n v="937500"/>
    <n v="1125000"/>
    <n v="1500000"/>
    <n v="0.6523026666666667"/>
    <s v="0-100%"/>
    <n v="73384.05"/>
    <n v="0"/>
    <n v="0"/>
    <n v="0"/>
    <n v="0"/>
    <n v="73384.05"/>
    <n v="186705.05"/>
    <n v="73384.05"/>
    <n v="0"/>
    <n v="0"/>
    <n v="0"/>
    <n v="0"/>
    <n v="73384.05"/>
    <n v="186705.05"/>
  </r>
  <r>
    <n v="7769010411"/>
    <s v="Robbyn"/>
    <s v="Didball"/>
    <x v="227"/>
    <x v="1"/>
    <n v="67024"/>
    <n v="21"/>
    <x v="227"/>
    <n v="600000"/>
    <n v="750000"/>
    <n v="900000"/>
    <n v="1200000"/>
    <n v="1.3496666666666666"/>
    <s v="125-150%"/>
    <n v="78000"/>
    <n v="25500.000000000004"/>
    <n v="12558"/>
    <n v="0"/>
    <n v="0"/>
    <n v="116058"/>
    <n v="183082"/>
    <n v="90000"/>
    <n v="27000"/>
    <n v="14950"/>
    <n v="0"/>
    <n v="0"/>
    <n v="131950"/>
    <n v="198974"/>
  </r>
  <r>
    <n v="2306669465"/>
    <s v="Grazia"/>
    <s v="Didball"/>
    <x v="228"/>
    <x v="1"/>
    <n v="50762"/>
    <n v="15"/>
    <x v="228"/>
    <n v="600000"/>
    <n v="750000"/>
    <n v="900000"/>
    <n v="1200000"/>
    <n v="0.80172500000000002"/>
    <s v="0-100%"/>
    <n v="62534.55"/>
    <n v="0"/>
    <n v="0"/>
    <n v="0"/>
    <n v="0"/>
    <n v="62534.55"/>
    <n v="113296.55"/>
    <n v="72155.25"/>
    <n v="0"/>
    <n v="0"/>
    <n v="0"/>
    <n v="0"/>
    <n v="72155.25"/>
    <n v="122917.25"/>
  </r>
  <r>
    <n v="9196221739"/>
    <s v="Finn"/>
    <s v="Dixey"/>
    <x v="229"/>
    <x v="2"/>
    <n v="89772"/>
    <n v="22"/>
    <x v="229"/>
    <n v="750000"/>
    <n v="937500"/>
    <n v="1125000"/>
    <n v="1500000"/>
    <n v="1.031684"/>
    <s v="100-125%"/>
    <n v="112500"/>
    <n v="3564.45"/>
    <n v="0"/>
    <n v="0"/>
    <n v="0"/>
    <n v="116064.45"/>
    <n v="205836.45"/>
    <n v="112500"/>
    <n v="5227.8599999999997"/>
    <n v="0"/>
    <n v="0"/>
    <n v="0"/>
    <n v="117727.86"/>
    <n v="207499.86"/>
  </r>
  <r>
    <n v="3996818513"/>
    <s v="Neil"/>
    <s v="Doctor"/>
    <x v="230"/>
    <x v="2"/>
    <n v="94317"/>
    <n v="29"/>
    <x v="230"/>
    <n v="750000"/>
    <n v="937500"/>
    <n v="1125000"/>
    <n v="1500000"/>
    <n v="1.3297760000000001"/>
    <s v="125-150%"/>
    <n v="112500"/>
    <n v="28125"/>
    <n v="10769.76"/>
    <n v="0"/>
    <n v="0"/>
    <n v="151394.76"/>
    <n v="245711.76"/>
    <n v="112500"/>
    <n v="41250"/>
    <n v="14958"/>
    <n v="0"/>
    <n v="0"/>
    <n v="168708"/>
    <n v="263025"/>
  </r>
  <r>
    <n v="7281103514"/>
    <s v="Tam"/>
    <s v="Doniso"/>
    <x v="231"/>
    <x v="1"/>
    <n v="56065"/>
    <n v="24"/>
    <x v="231"/>
    <n v="600000"/>
    <n v="750000"/>
    <n v="900000"/>
    <n v="1200000"/>
    <n v="1.562065"/>
    <s v="150-200%"/>
    <n v="78000"/>
    <n v="22500"/>
    <n v="27000"/>
    <n v="8192.58"/>
    <n v="0"/>
    <n v="135692.57999999999"/>
    <n v="191757.58"/>
    <n v="90000"/>
    <n v="27000"/>
    <n v="37500"/>
    <n v="11171.699999999999"/>
    <n v="0"/>
    <n v="165671.70000000001"/>
    <n v="221736.7"/>
  </r>
  <r>
    <n v="9458563771"/>
    <s v="Ellen"/>
    <s v="Dooman"/>
    <x v="232"/>
    <x v="0"/>
    <n v="52419"/>
    <n v="18"/>
    <x v="232"/>
    <n v="500000"/>
    <n v="625000"/>
    <n v="750000"/>
    <n v="1000000"/>
    <n v="1.2928599999999999"/>
    <s v="125-150%"/>
    <n v="50000"/>
    <n v="21250"/>
    <n v="4500.3"/>
    <n v="0"/>
    <n v="0"/>
    <n v="75750.3"/>
    <n v="128169.3"/>
    <n v="60000"/>
    <n v="21250"/>
    <n v="4286"/>
    <n v="0"/>
    <n v="0"/>
    <n v="85536"/>
    <n v="137955"/>
  </r>
  <r>
    <n v="3642988458"/>
    <s v="Barn"/>
    <s v="Doram"/>
    <x v="233"/>
    <x v="1"/>
    <n v="79142"/>
    <n v="26"/>
    <x v="233"/>
    <n v="600000"/>
    <n v="750000"/>
    <n v="900000"/>
    <n v="1200000"/>
    <n v="1.5548666666666666"/>
    <s v="150-200%"/>
    <n v="78000"/>
    <n v="22500"/>
    <n v="27000"/>
    <n v="7242.4"/>
    <n v="0"/>
    <n v="134742.39999999999"/>
    <n v="213884.4"/>
    <n v="90000"/>
    <n v="27000"/>
    <n v="37500"/>
    <n v="9876"/>
    <n v="0"/>
    <n v="164376"/>
    <n v="243518"/>
  </r>
  <r>
    <n v="5795848808"/>
    <s v="Terri"/>
    <s v="Dorn"/>
    <x v="234"/>
    <x v="2"/>
    <n v="92315"/>
    <n v="30"/>
    <x v="234"/>
    <n v="750000"/>
    <n v="937500"/>
    <n v="1125000"/>
    <n v="1500000"/>
    <n v="1.3858266666666668"/>
    <s v="125-150%"/>
    <n v="112500"/>
    <n v="28125"/>
    <n v="18336.599999999999"/>
    <n v="0"/>
    <n v="0"/>
    <n v="158961.60000000001"/>
    <n v="251276.6"/>
    <n v="112500"/>
    <n v="41250"/>
    <n v="25467.5"/>
    <n v="0"/>
    <n v="0"/>
    <n v="179217.5"/>
    <n v="271532.5"/>
  </r>
  <r>
    <n v="1014658829"/>
    <s v="Temple"/>
    <s v="Dorracott"/>
    <x v="235"/>
    <x v="1"/>
    <n v="71890"/>
    <n v="18"/>
    <x v="235"/>
    <n v="600000"/>
    <n v="750000"/>
    <n v="900000"/>
    <n v="1200000"/>
    <n v="1.2096316666666667"/>
    <s v="100-125%"/>
    <n v="78000"/>
    <n v="23898.010000000002"/>
    <n v="0"/>
    <n v="0"/>
    <n v="0"/>
    <n v="101898.01000000001"/>
    <n v="173788.01"/>
    <n v="90000"/>
    <n v="22640.219999999998"/>
    <n v="0"/>
    <n v="0"/>
    <n v="0"/>
    <n v="112640.22"/>
    <n v="184530.22"/>
  </r>
  <r>
    <n v="9674189459"/>
    <s v="Grenville"/>
    <s v="D'Orsay"/>
    <x v="236"/>
    <x v="2"/>
    <n v="77029"/>
    <n v="17"/>
    <x v="236"/>
    <n v="750000"/>
    <n v="937500"/>
    <n v="1125000"/>
    <n v="1500000"/>
    <n v="0.81134266666666666"/>
    <s v="0-100%"/>
    <n v="91276.05"/>
    <n v="0"/>
    <n v="0"/>
    <n v="0"/>
    <n v="0"/>
    <n v="91276.05"/>
    <n v="168305.05"/>
    <n v="91276.05"/>
    <n v="0"/>
    <n v="0"/>
    <n v="0"/>
    <n v="0"/>
    <n v="91276.05"/>
    <n v="168305.05"/>
  </r>
  <r>
    <n v="8370379001"/>
    <s v="Dewie"/>
    <s v="Dory"/>
    <x v="237"/>
    <x v="0"/>
    <n v="57499"/>
    <n v="27"/>
    <x v="237"/>
    <n v="500000"/>
    <n v="625000"/>
    <n v="750000"/>
    <n v="1000000"/>
    <n v="1.8845099999999999"/>
    <s v="150-200%"/>
    <n v="50000"/>
    <n v="23750"/>
    <n v="28750"/>
    <n v="57676.5"/>
    <n v="0"/>
    <n v="160176.5"/>
    <n v="217675.5"/>
    <n v="60000"/>
    <n v="21250"/>
    <n v="25000"/>
    <n v="42296.1"/>
    <n v="0"/>
    <n v="148546.1"/>
    <n v="206045.1"/>
  </r>
  <r>
    <n v="5929508313"/>
    <s v="Georgiana"/>
    <s v="Doul"/>
    <x v="238"/>
    <x v="0"/>
    <n v="64685"/>
    <n v="26"/>
    <x v="238"/>
    <n v="500000"/>
    <n v="625000"/>
    <n v="750000"/>
    <n v="1000000"/>
    <n v="1.850228"/>
    <s v="150-200%"/>
    <n v="50000"/>
    <n v="23750"/>
    <n v="28750"/>
    <n v="52534.2"/>
    <n v="0"/>
    <n v="155034.20000000001"/>
    <n v="219719.2"/>
    <n v="60000"/>
    <n v="21250"/>
    <n v="25000"/>
    <n v="38525.08"/>
    <n v="0"/>
    <n v="144775.08000000002"/>
    <n v="209460.08000000002"/>
  </r>
  <r>
    <n v="923191143"/>
    <s v="Nil"/>
    <s v="Dowden"/>
    <x v="239"/>
    <x v="1"/>
    <n v="53354"/>
    <n v="15"/>
    <x v="239"/>
    <n v="600000"/>
    <n v="750000"/>
    <n v="900000"/>
    <n v="1200000"/>
    <n v="0.81371333333333329"/>
    <s v="0-100%"/>
    <n v="63469.64"/>
    <n v="0"/>
    <n v="0"/>
    <n v="0"/>
    <n v="0"/>
    <n v="63469.64"/>
    <n v="116823.64"/>
    <n v="73234.2"/>
    <n v="0"/>
    <n v="0"/>
    <n v="0"/>
    <n v="0"/>
    <n v="73234.2"/>
    <n v="126588.2"/>
  </r>
  <r>
    <n v="6776868107"/>
    <s v="Margit"/>
    <s v="Dransfield"/>
    <x v="240"/>
    <x v="2"/>
    <n v="86367"/>
    <n v="19"/>
    <x v="240"/>
    <n v="750000"/>
    <n v="937500"/>
    <n v="1125000"/>
    <n v="1500000"/>
    <n v="0.82773066666666661"/>
    <s v="0-100%"/>
    <n v="93119.7"/>
    <n v="0"/>
    <n v="0"/>
    <n v="0"/>
    <n v="0"/>
    <n v="93119.7"/>
    <n v="179486.7"/>
    <n v="93119.7"/>
    <n v="0"/>
    <n v="0"/>
    <n v="0"/>
    <n v="0"/>
    <n v="93119.7"/>
    <n v="179486.7"/>
  </r>
  <r>
    <n v="8238030943"/>
    <s v="Bennie"/>
    <s v="Drayton"/>
    <x v="241"/>
    <x v="2"/>
    <n v="118977"/>
    <n v="23"/>
    <x v="241"/>
    <n v="750000"/>
    <n v="937500"/>
    <n v="1125000"/>
    <n v="1500000"/>
    <n v="1.1238600000000001"/>
    <s v="100-125%"/>
    <n v="112500"/>
    <n v="15792.150000000001"/>
    <n v="0"/>
    <n v="0"/>
    <n v="0"/>
    <n v="128292.15"/>
    <n v="247269.15"/>
    <n v="112500"/>
    <n v="20436.900000000001"/>
    <n v="0"/>
    <n v="0"/>
    <n v="0"/>
    <n v="132936.9"/>
    <n v="251913.9"/>
  </r>
  <r>
    <n v="594961432"/>
    <s v="Sheffield"/>
    <s v="Drayton"/>
    <x v="242"/>
    <x v="2"/>
    <n v="90375"/>
    <n v="21"/>
    <x v="242"/>
    <n v="750000"/>
    <n v="937500"/>
    <n v="1125000"/>
    <n v="1500000"/>
    <n v="0.93143333333333334"/>
    <s v="0-100%"/>
    <n v="104786.25"/>
    <n v="0"/>
    <n v="0"/>
    <n v="0"/>
    <n v="0"/>
    <n v="104786.25"/>
    <n v="195161.25"/>
    <n v="104786.25"/>
    <n v="0"/>
    <n v="0"/>
    <n v="0"/>
    <n v="0"/>
    <n v="104786.25"/>
    <n v="195161.25"/>
  </r>
  <r>
    <n v="6259267215"/>
    <s v="Had"/>
    <s v="Drew"/>
    <x v="243"/>
    <x v="0"/>
    <n v="46915"/>
    <n v="15"/>
    <x v="243"/>
    <n v="500000"/>
    <n v="625000"/>
    <n v="750000"/>
    <n v="1000000"/>
    <n v="0.96427399999999996"/>
    <s v="0-100%"/>
    <n v="48213.700000000004"/>
    <n v="0"/>
    <n v="0"/>
    <n v="0"/>
    <n v="0"/>
    <n v="48213.700000000004"/>
    <n v="95128.700000000012"/>
    <n v="57856.439999999995"/>
    <n v="0"/>
    <n v="0"/>
    <n v="0"/>
    <n v="0"/>
    <n v="57856.439999999995"/>
    <n v="104771.44"/>
  </r>
  <r>
    <n v="4649590612"/>
    <s v="Wilmette"/>
    <s v="Dronsfield"/>
    <x v="244"/>
    <x v="1"/>
    <n v="73006"/>
    <n v="17"/>
    <x v="244"/>
    <n v="600000"/>
    <n v="750000"/>
    <n v="900000"/>
    <n v="1200000"/>
    <n v="0.8814683333333333"/>
    <s v="0-100%"/>
    <n v="68754.53"/>
    <n v="0"/>
    <n v="0"/>
    <n v="0"/>
    <n v="0"/>
    <n v="68754.53"/>
    <n v="141760.53"/>
    <n v="79332.149999999994"/>
    <n v="0"/>
    <n v="0"/>
    <n v="0"/>
    <n v="0"/>
    <n v="79332.149999999994"/>
    <n v="152338.15"/>
  </r>
  <r>
    <n v="2893065872"/>
    <s v="Wallas"/>
    <s v="Druitt"/>
    <x v="245"/>
    <x v="0"/>
    <n v="34863"/>
    <n v="14"/>
    <x v="245"/>
    <n v="500000"/>
    <n v="625000"/>
    <n v="750000"/>
    <n v="1000000"/>
    <n v="0.966194"/>
    <s v="0-100%"/>
    <n v="48309.700000000004"/>
    <n v="0"/>
    <n v="0"/>
    <n v="0"/>
    <n v="0"/>
    <n v="48309.700000000004"/>
    <n v="83172.700000000012"/>
    <n v="57971.64"/>
    <n v="0"/>
    <n v="0"/>
    <n v="0"/>
    <n v="0"/>
    <n v="57971.64"/>
    <n v="92834.64"/>
  </r>
  <r>
    <n v="6938295417"/>
    <s v="Aldin"/>
    <s v="Dryburgh"/>
    <x v="246"/>
    <x v="0"/>
    <n v="40716"/>
    <n v="24"/>
    <x v="246"/>
    <n v="500000"/>
    <n v="625000"/>
    <n v="750000"/>
    <n v="1000000"/>
    <n v="1.538894"/>
    <s v="150-200%"/>
    <n v="50000"/>
    <n v="21250"/>
    <n v="26250"/>
    <n v="5056.22"/>
    <n v="0"/>
    <n v="102556.22"/>
    <n v="143272.22"/>
    <n v="60000"/>
    <n v="21250"/>
    <n v="25000"/>
    <n v="4278.34"/>
    <n v="0"/>
    <n v="110528.34"/>
    <n v="151244.34"/>
  </r>
  <r>
    <n v="247438790"/>
    <s v="Erin"/>
    <s v="Ducker"/>
    <x v="247"/>
    <x v="0"/>
    <n v="57958"/>
    <n v="12"/>
    <x v="247"/>
    <n v="500000"/>
    <n v="625000"/>
    <n v="750000"/>
    <n v="1000000"/>
    <n v="0.65731399999999995"/>
    <s v="0-100%"/>
    <n v="32865.700000000004"/>
    <n v="0"/>
    <n v="0"/>
    <n v="0"/>
    <n v="0"/>
    <n v="32865.700000000004"/>
    <n v="90823.700000000012"/>
    <n v="39438.839999999997"/>
    <n v="0"/>
    <n v="0"/>
    <n v="0"/>
    <n v="0"/>
    <n v="39438.839999999997"/>
    <n v="97396.84"/>
  </r>
  <r>
    <n v="7912639675"/>
    <s v="Beverie"/>
    <s v="Ducket"/>
    <x v="248"/>
    <x v="0"/>
    <n v="35505"/>
    <n v="21"/>
    <x v="248"/>
    <n v="500000"/>
    <n v="625000"/>
    <n v="750000"/>
    <n v="1000000"/>
    <n v="1.5846819999999999"/>
    <s v="150-200%"/>
    <n v="50000"/>
    <n v="18750"/>
    <n v="22500"/>
    <n v="9315.02"/>
    <n v="0"/>
    <n v="100565.02"/>
    <n v="136070.02000000002"/>
    <n v="60000"/>
    <n v="21250"/>
    <n v="25000"/>
    <n v="9315.02"/>
    <n v="0"/>
    <n v="115565.02"/>
    <n v="151070.02000000002"/>
  </r>
  <r>
    <n v="9434604370"/>
    <s v="Guilbert"/>
    <s v="Duckett"/>
    <x v="249"/>
    <x v="1"/>
    <n v="69644"/>
    <n v="14"/>
    <x v="249"/>
    <n v="600000"/>
    <n v="750000"/>
    <n v="900000"/>
    <n v="1200000"/>
    <n v="0.60025166666666663"/>
    <s v="0-100%"/>
    <n v="46819.630000000005"/>
    <n v="0"/>
    <n v="0"/>
    <n v="0"/>
    <n v="0"/>
    <n v="46819.630000000005"/>
    <n v="116463.63"/>
    <n v="54022.65"/>
    <n v="0"/>
    <n v="0"/>
    <n v="0"/>
    <n v="0"/>
    <n v="54022.65"/>
    <n v="123666.65"/>
  </r>
  <r>
    <n v="9403474378"/>
    <s v="Merissa"/>
    <s v="Duckitt"/>
    <x v="250"/>
    <x v="2"/>
    <n v="75057"/>
    <n v="19"/>
    <x v="250"/>
    <n v="750000"/>
    <n v="937500"/>
    <n v="1125000"/>
    <n v="1500000"/>
    <n v="0.92189333333333334"/>
    <s v="0-100%"/>
    <n v="103713"/>
    <n v="0"/>
    <n v="0"/>
    <n v="0"/>
    <n v="0"/>
    <n v="103713"/>
    <n v="178770"/>
    <n v="103713"/>
    <n v="0"/>
    <n v="0"/>
    <n v="0"/>
    <n v="0"/>
    <n v="103713"/>
    <n v="178770"/>
  </r>
  <r>
    <n v="2066028762"/>
    <s v="Coralyn"/>
    <s v="Dudney"/>
    <x v="251"/>
    <x v="2"/>
    <n v="99848"/>
    <n v="20"/>
    <x v="251"/>
    <n v="750000"/>
    <n v="937500"/>
    <n v="1125000"/>
    <n v="1500000"/>
    <n v="0.96360400000000002"/>
    <s v="0-100%"/>
    <n v="108405.45"/>
    <n v="0"/>
    <n v="0"/>
    <n v="0"/>
    <n v="0"/>
    <n v="108405.45"/>
    <n v="208253.45"/>
    <n v="108405.45"/>
    <n v="0"/>
    <n v="0"/>
    <n v="0"/>
    <n v="0"/>
    <n v="108405.45"/>
    <n v="208253.45"/>
  </r>
  <r>
    <n v="4029727026"/>
    <s v="Gonzalo"/>
    <s v="Dudson"/>
    <x v="252"/>
    <x v="1"/>
    <n v="77473"/>
    <n v="21"/>
    <x v="252"/>
    <n v="600000"/>
    <n v="750000"/>
    <n v="900000"/>
    <n v="1200000"/>
    <n v="1.1738516666666667"/>
    <s v="100-125%"/>
    <n v="78000"/>
    <n v="15646.65"/>
    <n v="0"/>
    <n v="0"/>
    <n v="0"/>
    <n v="93646.65"/>
    <n v="171119.65"/>
    <n v="90000"/>
    <n v="18775.98"/>
    <n v="0"/>
    <n v="0"/>
    <n v="0"/>
    <n v="108775.98"/>
    <n v="186248.97999999998"/>
  </r>
  <r>
    <n v="9340388305"/>
    <s v="Alfi"/>
    <s v="Duesberry"/>
    <x v="253"/>
    <x v="1"/>
    <n v="59920"/>
    <n v="18"/>
    <x v="253"/>
    <n v="600000"/>
    <n v="750000"/>
    <n v="900000"/>
    <n v="1200000"/>
    <n v="1.012025"/>
    <s v="100-125%"/>
    <n v="78000"/>
    <n v="1082.25"/>
    <n v="0"/>
    <n v="0"/>
    <n v="0"/>
    <n v="79082.25"/>
    <n v="139002.25"/>
    <n v="90000"/>
    <n v="1298.7"/>
    <n v="0"/>
    <n v="0"/>
    <n v="0"/>
    <n v="91298.7"/>
    <n v="151218.70000000001"/>
  </r>
  <r>
    <n v="1787288307"/>
    <s v="Sherlock"/>
    <s v="Duffell"/>
    <x v="254"/>
    <x v="1"/>
    <n v="79023"/>
    <n v="23"/>
    <x v="254"/>
    <n v="600000"/>
    <n v="750000"/>
    <n v="900000"/>
    <n v="1200000"/>
    <n v="1.5103583333333332"/>
    <s v="150-200%"/>
    <n v="78000"/>
    <n v="22500"/>
    <n v="27000"/>
    <n v="1367.3"/>
    <n v="0"/>
    <n v="128867.3"/>
    <n v="207890.3"/>
    <n v="90000"/>
    <n v="27000"/>
    <n v="37500"/>
    <n v="1864.5"/>
    <n v="0"/>
    <n v="156364.5"/>
    <n v="235387.5"/>
  </r>
  <r>
    <n v="9052475601"/>
    <s v="Jermayne"/>
    <s v="Duffie"/>
    <x v="255"/>
    <x v="2"/>
    <n v="77596"/>
    <n v="15"/>
    <x v="255"/>
    <n v="750000"/>
    <n v="937500"/>
    <n v="1125000"/>
    <n v="1500000"/>
    <n v="0.61861200000000005"/>
    <s v="0-100%"/>
    <n v="69593.849999999991"/>
    <n v="0"/>
    <n v="0"/>
    <n v="0"/>
    <n v="0"/>
    <n v="69593.849999999991"/>
    <n v="147189.84999999998"/>
    <n v="69593.849999999991"/>
    <n v="0"/>
    <n v="0"/>
    <n v="0"/>
    <n v="0"/>
    <n v="69593.849999999991"/>
    <n v="147189.84999999998"/>
  </r>
  <r>
    <n v="2307209530"/>
    <s v="Christan"/>
    <s v="Dukesbury"/>
    <x v="256"/>
    <x v="2"/>
    <n v="115318"/>
    <n v="26"/>
    <x v="256"/>
    <n v="750000"/>
    <n v="937500"/>
    <n v="1125000"/>
    <n v="1500000"/>
    <n v="1.2822426666666666"/>
    <s v="125-150%"/>
    <n v="112500"/>
    <n v="28125"/>
    <n v="4352.76"/>
    <n v="0"/>
    <n v="0"/>
    <n v="144977.76"/>
    <n v="260295.76"/>
    <n v="112500"/>
    <n v="41250"/>
    <n v="6045.5"/>
    <n v="0"/>
    <n v="0"/>
    <n v="159795.5"/>
    <n v="275113.5"/>
  </r>
  <r>
    <n v="1992195951"/>
    <s v="Matthus"/>
    <s v="Dumphrey"/>
    <x v="257"/>
    <x v="0"/>
    <n v="49870"/>
    <n v="21"/>
    <x v="257"/>
    <n v="500000"/>
    <n v="625000"/>
    <n v="750000"/>
    <n v="1000000"/>
    <n v="1.3288899999999999"/>
    <s v="125-150%"/>
    <n v="50000"/>
    <n v="21250"/>
    <n v="8283.4499999999989"/>
    <n v="0"/>
    <n v="0"/>
    <n v="79533.45"/>
    <n v="129403.45"/>
    <n v="60000"/>
    <n v="21250"/>
    <n v="7889"/>
    <n v="0"/>
    <n v="0"/>
    <n v="89139"/>
    <n v="139009"/>
  </r>
  <r>
    <n v="3303111790"/>
    <s v="Andris"/>
    <s v="Dunbleton"/>
    <x v="258"/>
    <x v="0"/>
    <n v="63069"/>
    <n v="20"/>
    <x v="258"/>
    <n v="500000"/>
    <n v="625000"/>
    <n v="750000"/>
    <n v="1000000"/>
    <n v="1.4844139999999999"/>
    <s v="125-150%"/>
    <n v="50000"/>
    <n v="18750"/>
    <n v="21097.26"/>
    <n v="0"/>
    <n v="0"/>
    <n v="89847.26"/>
    <n v="152916.26"/>
    <n v="60000"/>
    <n v="21250"/>
    <n v="23441.4"/>
    <n v="0"/>
    <n v="0"/>
    <n v="104691.4"/>
    <n v="167760.4"/>
  </r>
  <r>
    <n v="4031884281"/>
    <s v="Fredi"/>
    <s v="Dunkerly"/>
    <x v="259"/>
    <x v="2"/>
    <n v="89664"/>
    <n v="14"/>
    <x v="259"/>
    <n v="750000"/>
    <n v="937500"/>
    <n v="1125000"/>
    <n v="1500000"/>
    <n v="0.5616173333333333"/>
    <s v="0-100%"/>
    <n v="63181.95"/>
    <n v="0"/>
    <n v="0"/>
    <n v="0"/>
    <n v="0"/>
    <n v="63181.95"/>
    <n v="152845.95000000001"/>
    <n v="63181.95"/>
    <n v="0"/>
    <n v="0"/>
    <n v="0"/>
    <n v="0"/>
    <n v="63181.95"/>
    <n v="152845.95000000001"/>
  </r>
  <r>
    <n v="1599457717"/>
    <s v="Julianna"/>
    <s v="Dunklee"/>
    <x v="260"/>
    <x v="0"/>
    <n v="33272"/>
    <n v="13"/>
    <x v="260"/>
    <n v="500000"/>
    <n v="625000"/>
    <n v="750000"/>
    <n v="1000000"/>
    <n v="0.83543400000000001"/>
    <s v="0-100%"/>
    <n v="41771.700000000004"/>
    <n v="0"/>
    <n v="0"/>
    <n v="0"/>
    <n v="0"/>
    <n v="41771.700000000004"/>
    <n v="75043.700000000012"/>
    <n v="50126.04"/>
    <n v="0"/>
    <n v="0"/>
    <n v="0"/>
    <n v="0"/>
    <n v="50126.04"/>
    <n v="83398.040000000008"/>
  </r>
  <r>
    <n v="9013891098"/>
    <s v="Cory"/>
    <s v="Duplan"/>
    <x v="261"/>
    <x v="2"/>
    <n v="102308"/>
    <n v="21"/>
    <x v="261"/>
    <n v="750000"/>
    <n v="937500"/>
    <n v="1125000"/>
    <n v="1500000"/>
    <n v="0.9091906666666667"/>
    <s v="0-100%"/>
    <n v="102283.95"/>
    <n v="0"/>
    <n v="0"/>
    <n v="0"/>
    <n v="0"/>
    <n v="102283.95"/>
    <n v="204591.95"/>
    <n v="102283.95"/>
    <n v="0"/>
    <n v="0"/>
    <n v="0"/>
    <n v="0"/>
    <n v="102283.95"/>
    <n v="204591.95"/>
  </r>
  <r>
    <n v="5479449389"/>
    <s v="Lazar"/>
    <s v="Durant"/>
    <x v="262"/>
    <x v="1"/>
    <n v="63693"/>
    <n v="15"/>
    <x v="262"/>
    <n v="600000"/>
    <n v="750000"/>
    <n v="900000"/>
    <n v="1200000"/>
    <n v="0.98904999999999998"/>
    <s v="0-100%"/>
    <n v="77145.900000000009"/>
    <n v="0"/>
    <n v="0"/>
    <n v="0"/>
    <n v="0"/>
    <n v="77145.900000000009"/>
    <n v="140838.90000000002"/>
    <n v="89014.5"/>
    <n v="0"/>
    <n v="0"/>
    <n v="0"/>
    <n v="0"/>
    <n v="89014.5"/>
    <n v="152707.5"/>
  </r>
  <r>
    <n v="7700368295"/>
    <s v="Tirrell"/>
    <s v="Durdle"/>
    <x v="263"/>
    <x v="0"/>
    <n v="47191"/>
    <n v="14"/>
    <x v="263"/>
    <n v="500000"/>
    <n v="625000"/>
    <n v="750000"/>
    <n v="1000000"/>
    <n v="1.002678"/>
    <s v="100-125%"/>
    <n v="50000"/>
    <n v="254.41"/>
    <n v="0"/>
    <n v="0"/>
    <n v="0"/>
    <n v="50254.41"/>
    <n v="97445.41"/>
    <n v="60000"/>
    <n v="227.63000000000002"/>
    <n v="0"/>
    <n v="0"/>
    <n v="0"/>
    <n v="60227.63"/>
    <n v="107418.63"/>
  </r>
  <r>
    <n v="9238967105"/>
    <s v="Chalmers"/>
    <s v="Durrad"/>
    <x v="264"/>
    <x v="2"/>
    <n v="106881"/>
    <n v="20"/>
    <x v="264"/>
    <n v="750000"/>
    <n v="937500"/>
    <n v="1125000"/>
    <n v="1500000"/>
    <n v="0.92364133333333331"/>
    <s v="0-100%"/>
    <n v="103909.65"/>
    <n v="0"/>
    <n v="0"/>
    <n v="0"/>
    <n v="0"/>
    <n v="103909.65"/>
    <n v="210790.65"/>
    <n v="103909.65"/>
    <n v="0"/>
    <n v="0"/>
    <n v="0"/>
    <n v="0"/>
    <n v="103909.65"/>
    <n v="210790.65"/>
  </r>
  <r>
    <n v="3097425365"/>
    <s v="Karalee"/>
    <s v="Durrance"/>
    <x v="265"/>
    <x v="0"/>
    <n v="48216"/>
    <n v="22"/>
    <x v="265"/>
    <n v="500000"/>
    <n v="625000"/>
    <n v="750000"/>
    <n v="1000000"/>
    <n v="1.21357"/>
    <s v="100-125%"/>
    <n v="50000"/>
    <n v="18153.45"/>
    <n v="0"/>
    <n v="0"/>
    <n v="0"/>
    <n v="68153.45"/>
    <n v="116369.45"/>
    <n v="60000"/>
    <n v="18153.45"/>
    <n v="0"/>
    <n v="0"/>
    <n v="0"/>
    <n v="78153.45"/>
    <n v="126369.45"/>
  </r>
  <r>
    <n v="6255831884"/>
    <s v="Orville"/>
    <s v="Dutt"/>
    <x v="266"/>
    <x v="1"/>
    <n v="53391"/>
    <n v="18"/>
    <x v="266"/>
    <n v="600000"/>
    <n v="750000"/>
    <n v="900000"/>
    <n v="1200000"/>
    <n v="1.1955433333333334"/>
    <s v="100-125%"/>
    <n v="78000"/>
    <n v="19945.420000000002"/>
    <n v="0"/>
    <n v="0"/>
    <n v="0"/>
    <n v="97945.42"/>
    <n v="151336.41999999998"/>
    <n v="90000"/>
    <n v="21118.68"/>
    <n v="0"/>
    <n v="0"/>
    <n v="0"/>
    <n v="111118.68"/>
    <n v="164509.68"/>
  </r>
  <r>
    <n v="7645724897"/>
    <s v="Daphna"/>
    <s v="Dyson"/>
    <x v="267"/>
    <x v="1"/>
    <n v="75174"/>
    <n v="19"/>
    <x v="267"/>
    <n v="600000"/>
    <n v="750000"/>
    <n v="900000"/>
    <n v="1200000"/>
    <n v="1.0682516666666666"/>
    <s v="100-125%"/>
    <n v="78000"/>
    <n v="7780.6900000000005"/>
    <n v="0"/>
    <n v="0"/>
    <n v="0"/>
    <n v="85780.69"/>
    <n v="160954.69"/>
    <n v="90000"/>
    <n v="7371.1799999999994"/>
    <n v="0"/>
    <n v="0"/>
    <n v="0"/>
    <n v="97371.18"/>
    <n v="172545.18"/>
  </r>
  <r>
    <n v="7573774818"/>
    <s v="Tremaine"/>
    <s v="Dyzart"/>
    <x v="268"/>
    <x v="1"/>
    <n v="66953"/>
    <n v="25"/>
    <x v="268"/>
    <n v="600000"/>
    <n v="750000"/>
    <n v="900000"/>
    <n v="1200000"/>
    <n v="1.4401766666666667"/>
    <s v="125-150%"/>
    <n v="78000"/>
    <n v="25500.000000000004"/>
    <n v="23962.26"/>
    <n v="0"/>
    <n v="0"/>
    <n v="127462.26"/>
    <n v="194415.26"/>
    <n v="90000"/>
    <n v="27000"/>
    <n v="28526.5"/>
    <n v="0"/>
    <n v="0"/>
    <n v="145526.5"/>
    <n v="212479.5"/>
  </r>
  <r>
    <n v="1371021422"/>
    <s v="Aluino"/>
    <s v="Eble"/>
    <x v="269"/>
    <x v="1"/>
    <n v="55264"/>
    <n v="21"/>
    <x v="269"/>
    <n v="600000"/>
    <n v="750000"/>
    <n v="900000"/>
    <n v="1200000"/>
    <n v="1.2250700000000001"/>
    <s v="100-125%"/>
    <n v="78000"/>
    <n v="20256.3"/>
    <n v="0"/>
    <n v="0"/>
    <n v="0"/>
    <n v="98256.3"/>
    <n v="153520.29999999999"/>
    <n v="90000"/>
    <n v="24307.559999999998"/>
    <n v="0"/>
    <n v="0"/>
    <n v="0"/>
    <n v="114307.56"/>
    <n v="169571.56"/>
  </r>
  <r>
    <n v="8750494546"/>
    <s v="Pietrek"/>
    <s v="Eborn"/>
    <x v="270"/>
    <x v="1"/>
    <n v="54058"/>
    <n v="32"/>
    <x v="270"/>
    <n v="600000"/>
    <n v="750000"/>
    <n v="900000"/>
    <n v="1200000"/>
    <n v="1.6882566666666667"/>
    <s v="150-200%"/>
    <n v="78000"/>
    <n v="22500"/>
    <n v="27000"/>
    <n v="24849.88"/>
    <n v="0"/>
    <n v="152349.88"/>
    <n v="206407.88"/>
    <n v="90000"/>
    <n v="27000"/>
    <n v="37500"/>
    <n v="33886.199999999997"/>
    <n v="0"/>
    <n v="188386.2"/>
    <n v="242444.2"/>
  </r>
  <r>
    <n v="7467563949"/>
    <s v="Stinky"/>
    <s v="Eddoes"/>
    <x v="271"/>
    <x v="0"/>
    <n v="50682"/>
    <n v="19"/>
    <x v="271"/>
    <n v="500000"/>
    <n v="625000"/>
    <n v="750000"/>
    <n v="1000000"/>
    <n v="1.288872"/>
    <s v="125-150%"/>
    <n v="50000"/>
    <n v="21250"/>
    <n v="4081.56"/>
    <n v="0"/>
    <n v="0"/>
    <n v="75331.56"/>
    <n v="126013.56"/>
    <n v="60000"/>
    <n v="21250"/>
    <n v="3887.2000000000003"/>
    <n v="0"/>
    <n v="0"/>
    <n v="85137.2"/>
    <n v="135819.20000000001"/>
  </r>
  <r>
    <n v="1163292249"/>
    <s v="Janeva"/>
    <s v="Edelheid"/>
    <x v="272"/>
    <x v="2"/>
    <n v="90419"/>
    <n v="15"/>
    <x v="272"/>
    <n v="750000"/>
    <n v="937500"/>
    <n v="1125000"/>
    <n v="1500000"/>
    <n v="0.70003199999999999"/>
    <s v="0-100%"/>
    <n v="78753.599999999991"/>
    <n v="0"/>
    <n v="0"/>
    <n v="0"/>
    <n v="0"/>
    <n v="78753.599999999991"/>
    <n v="169172.59999999998"/>
    <n v="78753.599999999991"/>
    <n v="0"/>
    <n v="0"/>
    <n v="0"/>
    <n v="0"/>
    <n v="78753.599999999991"/>
    <n v="169172.59999999998"/>
  </r>
  <r>
    <n v="8875320292"/>
    <s v="Yves"/>
    <s v="Edelmann"/>
    <x v="273"/>
    <x v="2"/>
    <n v="95121"/>
    <n v="24"/>
    <x v="273"/>
    <n v="750000"/>
    <n v="937500"/>
    <n v="1125000"/>
    <n v="1500000"/>
    <n v="1.0334559999999999"/>
    <s v="100-125%"/>
    <n v="112500"/>
    <n v="4265.6400000000003"/>
    <n v="0"/>
    <n v="0"/>
    <n v="0"/>
    <n v="116765.64"/>
    <n v="211886.64"/>
    <n v="112500"/>
    <n v="5520.24"/>
    <n v="0"/>
    <n v="0"/>
    <n v="0"/>
    <n v="118020.24"/>
    <n v="213141.24"/>
  </r>
  <r>
    <n v="6041314951"/>
    <s v="Lucita"/>
    <s v="Edington"/>
    <x v="274"/>
    <x v="1"/>
    <n v="76999"/>
    <n v="23"/>
    <x v="274"/>
    <n v="600000"/>
    <n v="750000"/>
    <n v="900000"/>
    <n v="1200000"/>
    <n v="1.4605416666666666"/>
    <s v="125-150%"/>
    <n v="78000"/>
    <n v="28500"/>
    <n v="29054.75"/>
    <n v="0"/>
    <n v="0"/>
    <n v="135554.75"/>
    <n v="212553.75"/>
    <n v="90000"/>
    <n v="27000"/>
    <n v="31581.25"/>
    <n v="0"/>
    <n v="0"/>
    <n v="148581.25"/>
    <n v="225580.25"/>
  </r>
  <r>
    <n v="5209112160"/>
    <s v="Keefer"/>
    <s v="Edmonson"/>
    <x v="275"/>
    <x v="2"/>
    <n v="123127"/>
    <n v="29"/>
    <x v="275"/>
    <n v="750000"/>
    <n v="937500"/>
    <n v="1125000"/>
    <n v="1500000"/>
    <n v="1.4430186666666667"/>
    <s v="125-150%"/>
    <n v="112500"/>
    <n v="28125"/>
    <n v="26057.52"/>
    <n v="0"/>
    <n v="0"/>
    <n v="166682.51999999999"/>
    <n v="289809.52"/>
    <n v="112500"/>
    <n v="41250"/>
    <n v="36191"/>
    <n v="0"/>
    <n v="0"/>
    <n v="189941"/>
    <n v="313068"/>
  </r>
  <r>
    <n v="7251959615"/>
    <s v="Will"/>
    <s v="Elmhirst"/>
    <x v="276"/>
    <x v="0"/>
    <n v="42095"/>
    <n v="18"/>
    <x v="276"/>
    <n v="500000"/>
    <n v="625000"/>
    <n v="750000"/>
    <n v="1000000"/>
    <n v="1.29304"/>
    <s v="125-150%"/>
    <n v="50000"/>
    <n v="21250"/>
    <n v="4519.2"/>
    <n v="0"/>
    <n v="0"/>
    <n v="75769.2"/>
    <n v="117864.2"/>
    <n v="60000"/>
    <n v="21250"/>
    <n v="4304"/>
    <n v="0"/>
    <n v="0"/>
    <n v="85554"/>
    <n v="127649"/>
  </r>
  <r>
    <n v="2944219065"/>
    <s v="Rodie"/>
    <s v="Elsip"/>
    <x v="277"/>
    <x v="0"/>
    <n v="47688"/>
    <n v="19"/>
    <x v="277"/>
    <n v="500000"/>
    <n v="625000"/>
    <n v="750000"/>
    <n v="1000000"/>
    <n v="1.299776"/>
    <s v="125-150%"/>
    <n v="50000"/>
    <n v="18750"/>
    <n v="4479.84"/>
    <n v="0"/>
    <n v="0"/>
    <n v="73229.84"/>
    <n v="120917.84"/>
    <n v="60000"/>
    <n v="21250"/>
    <n v="4977.6000000000004"/>
    <n v="0"/>
    <n v="0"/>
    <n v="86227.6"/>
    <n v="133915.6"/>
  </r>
  <r>
    <n v="6988089128"/>
    <s v="Leilah"/>
    <s v="Elsy"/>
    <x v="278"/>
    <x v="2"/>
    <n v="89492"/>
    <n v="22"/>
    <x v="278"/>
    <n v="750000"/>
    <n v="937500"/>
    <n v="1125000"/>
    <n v="1500000"/>
    <n v="1.1016319999999999"/>
    <s v="100-125%"/>
    <n v="112500"/>
    <n v="11433.6"/>
    <n v="0"/>
    <n v="0"/>
    <n v="0"/>
    <n v="123933.6"/>
    <n v="213425.6"/>
    <n v="112500"/>
    <n v="16769.28"/>
    <n v="0"/>
    <n v="0"/>
    <n v="0"/>
    <n v="129269.28"/>
    <n v="218761.28"/>
  </r>
  <r>
    <n v="1053331541"/>
    <s v="Celine"/>
    <s v="Ennew"/>
    <x v="279"/>
    <x v="0"/>
    <n v="59443"/>
    <n v="25"/>
    <x v="279"/>
    <n v="500000"/>
    <n v="625000"/>
    <n v="750000"/>
    <n v="1000000"/>
    <n v="1.8285020000000001"/>
    <s v="150-200%"/>
    <n v="50000"/>
    <n v="21250"/>
    <n v="26250"/>
    <n v="42705.26"/>
    <n v="0"/>
    <n v="140205.26"/>
    <n v="199648.26"/>
    <n v="60000"/>
    <n v="21250"/>
    <n v="25000"/>
    <n v="36135.22"/>
    <n v="0"/>
    <n v="142385.22"/>
    <n v="201828.22"/>
  </r>
  <r>
    <n v="2492824950"/>
    <s v="Iago"/>
    <s v="Epine"/>
    <x v="280"/>
    <x v="2"/>
    <n v="86703"/>
    <n v="28"/>
    <x v="280"/>
    <n v="750000"/>
    <n v="937500"/>
    <n v="1125000"/>
    <n v="1500000"/>
    <n v="1.2004533333333334"/>
    <s v="100-125%"/>
    <n v="112500"/>
    <n v="22551"/>
    <n v="0"/>
    <n v="0"/>
    <n v="0"/>
    <n v="135051"/>
    <n v="221754"/>
    <n v="112500"/>
    <n v="33074.800000000003"/>
    <n v="0"/>
    <n v="0"/>
    <n v="0"/>
    <n v="145574.79999999999"/>
    <n v="232277.8"/>
  </r>
  <r>
    <n v="1888605537"/>
    <s v="Hunter"/>
    <s v="Erni"/>
    <x v="281"/>
    <x v="1"/>
    <n v="72427"/>
    <n v="21"/>
    <x v="281"/>
    <n v="600000"/>
    <n v="750000"/>
    <n v="900000"/>
    <n v="1200000"/>
    <n v="1.3013033333333333"/>
    <s v="125-150%"/>
    <n v="78000"/>
    <n v="25500.000000000004"/>
    <n v="6464.2199999999993"/>
    <n v="0"/>
    <n v="0"/>
    <n v="109964.22"/>
    <n v="182391.22"/>
    <n v="90000"/>
    <n v="27000"/>
    <n v="7695.5"/>
    <n v="0"/>
    <n v="0"/>
    <n v="124695.5"/>
    <n v="197122.5"/>
  </r>
  <r>
    <n v="197180590"/>
    <s v="Kimmi"/>
    <s v="Erskin"/>
    <x v="282"/>
    <x v="2"/>
    <n v="79036"/>
    <n v="24"/>
    <x v="282"/>
    <n v="750000"/>
    <n v="937500"/>
    <n v="1125000"/>
    <n v="1500000"/>
    <n v="1.0331026666666667"/>
    <s v="100-125%"/>
    <n v="112500"/>
    <n v="3724.0499999999997"/>
    <n v="0"/>
    <n v="0"/>
    <n v="0"/>
    <n v="116224.05"/>
    <n v="195260.05"/>
    <n v="112500"/>
    <n v="5461.94"/>
    <n v="0"/>
    <n v="0"/>
    <n v="0"/>
    <n v="117961.94"/>
    <n v="196997.94"/>
  </r>
  <r>
    <n v="8289594380"/>
    <s v="Claire"/>
    <s v="Espinos"/>
    <x v="283"/>
    <x v="0"/>
    <n v="37040"/>
    <n v="22"/>
    <x v="283"/>
    <n v="500000"/>
    <n v="625000"/>
    <n v="750000"/>
    <n v="1000000"/>
    <n v="1.343872"/>
    <s v="125-150%"/>
    <n v="50000"/>
    <n v="23750"/>
    <n v="10795.28"/>
    <n v="0"/>
    <n v="0"/>
    <n v="84545.279999999999"/>
    <n v="121585.28"/>
    <n v="60000"/>
    <n v="21250"/>
    <n v="9387.2000000000007"/>
    <n v="0"/>
    <n v="0"/>
    <n v="90637.2"/>
    <n v="127677.2"/>
  </r>
  <r>
    <n v="7824503232"/>
    <s v="Artie"/>
    <s v="Etheredge"/>
    <x v="284"/>
    <x v="1"/>
    <n v="79043"/>
    <n v="16"/>
    <x v="284"/>
    <n v="600000"/>
    <n v="750000"/>
    <n v="900000"/>
    <n v="1200000"/>
    <n v="1.0029933333333334"/>
    <s v="100-125%"/>
    <n v="78000"/>
    <n v="269.39999999999998"/>
    <n v="0"/>
    <n v="0"/>
    <n v="0"/>
    <n v="78269.399999999994"/>
    <n v="157312.4"/>
    <n v="90000"/>
    <n v="323.27999999999997"/>
    <n v="0"/>
    <n v="0"/>
    <n v="0"/>
    <n v="90323.28"/>
    <n v="169366.28"/>
  </r>
  <r>
    <n v="5684780105"/>
    <s v="Nathaniel"/>
    <s v="Evered"/>
    <x v="285"/>
    <x v="2"/>
    <n v="99346"/>
    <n v="16"/>
    <x v="285"/>
    <n v="750000"/>
    <n v="937500"/>
    <n v="1125000"/>
    <n v="1500000"/>
    <n v="0.8451373333333333"/>
    <s v="0-100%"/>
    <n v="95077.95"/>
    <n v="0"/>
    <n v="0"/>
    <n v="0"/>
    <n v="0"/>
    <n v="95077.95"/>
    <n v="194423.95"/>
    <n v="95077.95"/>
    <n v="0"/>
    <n v="0"/>
    <n v="0"/>
    <n v="0"/>
    <n v="95077.95"/>
    <n v="194423.95"/>
  </r>
  <r>
    <n v="7673188813"/>
    <s v="Jorie"/>
    <s v="Everex"/>
    <x v="286"/>
    <x v="1"/>
    <n v="72533"/>
    <n v="20"/>
    <x v="286"/>
    <n v="600000"/>
    <n v="750000"/>
    <n v="900000"/>
    <n v="1200000"/>
    <n v="1.2766949999999999"/>
    <s v="125-150%"/>
    <n v="78000"/>
    <n v="22500"/>
    <n v="2883.06"/>
    <n v="0"/>
    <n v="0"/>
    <n v="103383.06"/>
    <n v="175916.06"/>
    <n v="90000"/>
    <n v="27000"/>
    <n v="4004.25"/>
    <n v="0"/>
    <n v="0"/>
    <n v="121004.25"/>
    <n v="193537.25"/>
  </r>
  <r>
    <n v="7242677408"/>
    <s v="Dexter"/>
    <s v="Ewington"/>
    <x v="287"/>
    <x v="2"/>
    <n v="86868"/>
    <n v="9"/>
    <x v="287"/>
    <n v="750000"/>
    <n v="937500"/>
    <n v="1125000"/>
    <n v="1500000"/>
    <n v="0.42337333333333332"/>
    <s v="0-100%"/>
    <n v="47629.5"/>
    <n v="0"/>
    <n v="0"/>
    <n v="0"/>
    <n v="0"/>
    <n v="47629.5"/>
    <n v="134497.5"/>
    <n v="47629.5"/>
    <n v="0"/>
    <n v="0"/>
    <n v="0"/>
    <n v="0"/>
    <n v="47629.5"/>
    <n v="134497.5"/>
  </r>
  <r>
    <n v="7688943361"/>
    <s v="Saree"/>
    <s v="Exrol"/>
    <x v="288"/>
    <x v="2"/>
    <n v="113364"/>
    <n v="24"/>
    <x v="288"/>
    <n v="750000"/>
    <n v="937500"/>
    <n v="1125000"/>
    <n v="1500000"/>
    <n v="1.090924"/>
    <s v="100-125%"/>
    <n v="112500"/>
    <n v="11592.810000000001"/>
    <n v="0"/>
    <n v="0"/>
    <n v="0"/>
    <n v="124092.81"/>
    <n v="237456.81"/>
    <n v="112500"/>
    <n v="15002.460000000001"/>
    <n v="0"/>
    <n v="0"/>
    <n v="0"/>
    <n v="127502.46"/>
    <n v="240866.46000000002"/>
  </r>
  <r>
    <n v="1062607929"/>
    <s v="Ranice"/>
    <s v="Exton"/>
    <x v="289"/>
    <x v="2"/>
    <n v="101824"/>
    <n v="29"/>
    <x v="289"/>
    <n v="750000"/>
    <n v="937500"/>
    <n v="1125000"/>
    <n v="1500000"/>
    <n v="1.3267679999999999"/>
    <s v="125-150%"/>
    <n v="112500"/>
    <n v="31875.000000000004"/>
    <n v="12090.96"/>
    <n v="0"/>
    <n v="0"/>
    <n v="156465.96"/>
    <n v="258289.96"/>
    <n v="112500"/>
    <n v="41250"/>
    <n v="14394"/>
    <n v="0"/>
    <n v="0"/>
    <n v="168144"/>
    <n v="269968"/>
  </r>
  <r>
    <n v="960994726"/>
    <s v="Nichols"/>
    <s v="Exton"/>
    <x v="290"/>
    <x v="1"/>
    <n v="76727"/>
    <n v="20"/>
    <x v="290"/>
    <n v="600000"/>
    <n v="750000"/>
    <n v="900000"/>
    <n v="1200000"/>
    <n v="1.2448283333333334"/>
    <s v="100-125%"/>
    <n v="78000"/>
    <n v="24972.49"/>
    <n v="0"/>
    <n v="0"/>
    <n v="0"/>
    <n v="102972.49"/>
    <n v="179699.49"/>
    <n v="90000"/>
    <n v="26441.46"/>
    <n v="0"/>
    <n v="0"/>
    <n v="0"/>
    <n v="116441.45999999999"/>
    <n v="193168.46"/>
  </r>
  <r>
    <n v="7961231404"/>
    <s v="Donelle"/>
    <s v="Eyckelbeck"/>
    <x v="291"/>
    <x v="1"/>
    <n v="59253"/>
    <n v="25"/>
    <x v="291"/>
    <n v="600000"/>
    <n v="750000"/>
    <n v="900000"/>
    <n v="1200000"/>
    <n v="1.650075"/>
    <s v="150-200%"/>
    <n v="78000"/>
    <n v="25500.000000000004"/>
    <n v="31500"/>
    <n v="23411.7"/>
    <n v="0"/>
    <n v="158411.70000000001"/>
    <n v="217664.7"/>
    <n v="90000"/>
    <n v="27000"/>
    <n v="37500"/>
    <n v="27013.5"/>
    <n v="0"/>
    <n v="181513.5"/>
    <n v="240766.5"/>
  </r>
  <r>
    <n v="7966879720"/>
    <s v="Eal"/>
    <s v="Ezzle"/>
    <x v="292"/>
    <x v="0"/>
    <n v="42251"/>
    <n v="18"/>
    <x v="292"/>
    <n v="500000"/>
    <n v="625000"/>
    <n v="750000"/>
    <n v="1000000"/>
    <n v="1.1580299999999999"/>
    <s v="100-125%"/>
    <n v="50000"/>
    <n v="13432.550000000001"/>
    <n v="0"/>
    <n v="0"/>
    <n v="0"/>
    <n v="63432.55"/>
    <n v="105683.55"/>
    <n v="60000"/>
    <n v="13432.550000000001"/>
    <n v="0"/>
    <n v="0"/>
    <n v="0"/>
    <n v="73432.55"/>
    <n v="115683.55"/>
  </r>
  <r>
    <n v="7325246862"/>
    <s v="Rickert"/>
    <s v="Fairley"/>
    <x v="293"/>
    <x v="2"/>
    <n v="113658"/>
    <n v="11"/>
    <x v="293"/>
    <n v="750000"/>
    <n v="937500"/>
    <n v="1125000"/>
    <n v="1500000"/>
    <n v="0.52530933333333329"/>
    <s v="0-100%"/>
    <n v="59097.299999999996"/>
    <n v="0"/>
    <n v="0"/>
    <n v="0"/>
    <n v="0"/>
    <n v="59097.299999999996"/>
    <n v="172755.3"/>
    <n v="59097.299999999996"/>
    <n v="0"/>
    <n v="0"/>
    <n v="0"/>
    <n v="0"/>
    <n v="59097.299999999996"/>
    <n v="172755.3"/>
  </r>
  <r>
    <n v="9705650896"/>
    <s v="Phil"/>
    <s v="Falconar"/>
    <x v="294"/>
    <x v="1"/>
    <n v="54482"/>
    <n v="17"/>
    <x v="294"/>
    <n v="600000"/>
    <n v="750000"/>
    <n v="900000"/>
    <n v="1200000"/>
    <n v="1.0385833333333334"/>
    <s v="100-125%"/>
    <n v="78000"/>
    <n v="3472.5"/>
    <n v="0"/>
    <n v="0"/>
    <n v="0"/>
    <n v="81472.5"/>
    <n v="135954.5"/>
    <n v="90000"/>
    <n v="4167"/>
    <n v="0"/>
    <n v="0"/>
    <n v="0"/>
    <n v="94167"/>
    <n v="148649"/>
  </r>
  <r>
    <n v="9597202352"/>
    <s v="Arline"/>
    <s v="Fallowes"/>
    <x v="295"/>
    <x v="1"/>
    <n v="65032"/>
    <n v="23"/>
    <x v="295"/>
    <n v="600000"/>
    <n v="750000"/>
    <n v="900000"/>
    <n v="1200000"/>
    <n v="1.4017200000000001"/>
    <s v="125-150%"/>
    <n v="78000"/>
    <n v="22500"/>
    <n v="16385.759999999998"/>
    <n v="0"/>
    <n v="0"/>
    <n v="116885.75999999999"/>
    <n v="181917.76"/>
    <n v="90000"/>
    <n v="27000"/>
    <n v="22758"/>
    <n v="0"/>
    <n v="0"/>
    <n v="139758"/>
    <n v="204790"/>
  </r>
  <r>
    <n v="9107581297"/>
    <s v="Sutherland"/>
    <s v="Fantin"/>
    <x v="296"/>
    <x v="2"/>
    <n v="113337"/>
    <n v="29"/>
    <x v="296"/>
    <n v="750000"/>
    <n v="937500"/>
    <n v="1125000"/>
    <n v="1500000"/>
    <n v="1.592984"/>
    <s v="150-200%"/>
    <n v="112500"/>
    <n v="31875.000000000004"/>
    <n v="39375"/>
    <n v="18131.88"/>
    <n v="0"/>
    <n v="201881.88"/>
    <n v="315218.88"/>
    <n v="112500"/>
    <n v="41250"/>
    <n v="46875"/>
    <n v="23013.54"/>
    <n v="0"/>
    <n v="223638.54"/>
    <n v="336975.54000000004"/>
  </r>
  <r>
    <n v="2314136845"/>
    <s v="Giles"/>
    <s v="Fardy"/>
    <x v="297"/>
    <x v="0"/>
    <n v="59184"/>
    <n v="20"/>
    <x v="297"/>
    <n v="500000"/>
    <n v="625000"/>
    <n v="750000"/>
    <n v="1000000"/>
    <n v="1.5254920000000001"/>
    <s v="150-200%"/>
    <n v="50000"/>
    <n v="23750"/>
    <n v="28750"/>
    <n v="3823.7999999999997"/>
    <n v="0"/>
    <n v="106323.8"/>
    <n v="165507.79999999999"/>
    <n v="60000"/>
    <n v="21250"/>
    <n v="25000"/>
    <n v="2804.12"/>
    <n v="0"/>
    <n v="109054.12"/>
    <n v="168238.12"/>
  </r>
  <r>
    <n v="2698184272"/>
    <s v="Lucina"/>
    <s v="Farndon"/>
    <x v="298"/>
    <x v="2"/>
    <n v="119400"/>
    <n v="26"/>
    <x v="298"/>
    <n v="750000"/>
    <n v="937500"/>
    <n v="1125000"/>
    <n v="1500000"/>
    <n v="1.0738533333333333"/>
    <s v="100-125%"/>
    <n v="112500"/>
    <n v="9416.3000000000011"/>
    <n v="0"/>
    <n v="0"/>
    <n v="0"/>
    <n v="121916.3"/>
    <n v="241316.3"/>
    <n v="112500"/>
    <n v="12185.8"/>
    <n v="0"/>
    <n v="0"/>
    <n v="0"/>
    <n v="124685.8"/>
    <n v="244085.8"/>
  </r>
  <r>
    <n v="5561472151"/>
    <s v="Tessie"/>
    <s v="Farre"/>
    <x v="299"/>
    <x v="1"/>
    <n v="56655"/>
    <n v="19"/>
    <x v="299"/>
    <n v="600000"/>
    <n v="750000"/>
    <n v="900000"/>
    <n v="1200000"/>
    <n v="1.1039933333333334"/>
    <s v="100-125%"/>
    <n v="78000"/>
    <n v="9359.4"/>
    <n v="0"/>
    <n v="0"/>
    <n v="0"/>
    <n v="87359.4"/>
    <n v="144014.39999999999"/>
    <n v="90000"/>
    <n v="11231.279999999999"/>
    <n v="0"/>
    <n v="0"/>
    <n v="0"/>
    <n v="101231.28"/>
    <n v="157886.28"/>
  </r>
  <r>
    <n v="1192770250"/>
    <s v="Caro"/>
    <s v="Farrington"/>
    <x v="300"/>
    <x v="2"/>
    <n v="108380"/>
    <n v="29"/>
    <x v="300"/>
    <n v="750000"/>
    <n v="937500"/>
    <n v="1125000"/>
    <n v="1500000"/>
    <n v="1.4491266666666667"/>
    <s v="125-150%"/>
    <n v="112500"/>
    <n v="35625"/>
    <n v="34349.35"/>
    <n v="0"/>
    <n v="0"/>
    <n v="182474.35"/>
    <n v="290854.34999999998"/>
    <n v="112500"/>
    <n v="41250"/>
    <n v="37336.25"/>
    <n v="0"/>
    <n v="0"/>
    <n v="191086.25"/>
    <n v="299466.25"/>
  </r>
  <r>
    <n v="8333777430"/>
    <s v="Sadella"/>
    <s v="Fateley"/>
    <x v="301"/>
    <x v="0"/>
    <n v="51314"/>
    <n v="26"/>
    <x v="301"/>
    <n v="500000"/>
    <n v="625000"/>
    <n v="750000"/>
    <n v="1000000"/>
    <n v="1.7910980000000001"/>
    <s v="150-200%"/>
    <n v="50000"/>
    <n v="21250"/>
    <n v="26250"/>
    <n v="37842.74"/>
    <n v="0"/>
    <n v="135342.74"/>
    <n v="186656.74"/>
    <n v="60000"/>
    <n v="21250"/>
    <n v="25000"/>
    <n v="32020.78"/>
    <n v="0"/>
    <n v="138270.78"/>
    <n v="189584.78"/>
  </r>
  <r>
    <n v="4409014943"/>
    <s v="Loleta"/>
    <s v="Faull"/>
    <x v="302"/>
    <x v="1"/>
    <n v="77365"/>
    <n v="19"/>
    <x v="302"/>
    <n v="600000"/>
    <n v="750000"/>
    <n v="900000"/>
    <n v="1200000"/>
    <n v="1.0088649999999999"/>
    <s v="100-125%"/>
    <n v="78000"/>
    <n v="1010.61"/>
    <n v="0"/>
    <n v="0"/>
    <n v="0"/>
    <n v="79010.61"/>
    <n v="156375.60999999999"/>
    <n v="90000"/>
    <n v="957.42"/>
    <n v="0"/>
    <n v="0"/>
    <n v="0"/>
    <n v="90957.42"/>
    <n v="168322.41999999998"/>
  </r>
  <r>
    <n v="5134745579"/>
    <s v="Chantalle"/>
    <s v="Fedynski"/>
    <x v="303"/>
    <x v="2"/>
    <n v="84060"/>
    <n v="19"/>
    <x v="303"/>
    <n v="750000"/>
    <n v="937500"/>
    <n v="1125000"/>
    <n v="1500000"/>
    <n v="0.72021599999999997"/>
    <s v="0-100%"/>
    <n v="81024.3"/>
    <n v="0"/>
    <n v="0"/>
    <n v="0"/>
    <n v="0"/>
    <n v="81024.3"/>
    <n v="165084.29999999999"/>
    <n v="81024.3"/>
    <n v="0"/>
    <n v="0"/>
    <n v="0"/>
    <n v="0"/>
    <n v="81024.3"/>
    <n v="165084.29999999999"/>
  </r>
  <r>
    <n v="4786629839"/>
    <s v="Carmen"/>
    <s v="Ferrick"/>
    <x v="304"/>
    <x v="0"/>
    <n v="47140"/>
    <n v="26"/>
    <x v="304"/>
    <n v="500000"/>
    <n v="625000"/>
    <n v="750000"/>
    <n v="1000000"/>
    <n v="1.9364319999999999"/>
    <s v="150-200%"/>
    <n v="50000"/>
    <n v="23750"/>
    <n v="28750"/>
    <n v="65464.799999999996"/>
    <n v="0"/>
    <n v="167964.79999999999"/>
    <n v="215104.8"/>
    <n v="60000"/>
    <n v="21250"/>
    <n v="25000"/>
    <n v="48007.519999999997"/>
    <n v="0"/>
    <n v="154257.51999999999"/>
    <n v="201397.52"/>
  </r>
  <r>
    <n v="8157157730"/>
    <s v="Norris"/>
    <s v="Ferrillio"/>
    <x v="305"/>
    <x v="1"/>
    <n v="73567"/>
    <n v="22"/>
    <x v="305"/>
    <n v="600000"/>
    <n v="750000"/>
    <n v="900000"/>
    <n v="1200000"/>
    <n v="1.1944516666666667"/>
    <s v="100-125%"/>
    <n v="78000"/>
    <n v="17500.649999999998"/>
    <n v="0"/>
    <n v="0"/>
    <n v="0"/>
    <n v="95500.65"/>
    <n v="169067.65"/>
    <n v="90000"/>
    <n v="21000.78"/>
    <n v="0"/>
    <n v="0"/>
    <n v="0"/>
    <n v="111000.78"/>
    <n v="184567.78"/>
  </r>
  <r>
    <n v="5974179625"/>
    <s v="Bride"/>
    <s v="Fidelli"/>
    <x v="306"/>
    <x v="2"/>
    <n v="102765"/>
    <n v="24"/>
    <x v="306"/>
    <n v="750000"/>
    <n v="937500"/>
    <n v="1125000"/>
    <n v="1500000"/>
    <n v="1.1108453333333332"/>
    <s v="100-125%"/>
    <n v="112500"/>
    <n v="14132.78"/>
    <n v="0"/>
    <n v="0"/>
    <n v="0"/>
    <n v="126632.78"/>
    <n v="229397.78"/>
    <n v="112500"/>
    <n v="18289.48"/>
    <n v="0"/>
    <n v="0"/>
    <n v="0"/>
    <n v="130789.48"/>
    <n v="233554.47999999998"/>
  </r>
  <r>
    <n v="8264394108"/>
    <s v="Myriam"/>
    <s v="Filby"/>
    <x v="307"/>
    <x v="2"/>
    <n v="113062"/>
    <n v="20"/>
    <x v="307"/>
    <n v="750000"/>
    <n v="937500"/>
    <n v="1125000"/>
    <n v="1500000"/>
    <n v="0.84933866666666669"/>
    <s v="0-100%"/>
    <n v="95550.599999999991"/>
    <n v="0"/>
    <n v="0"/>
    <n v="0"/>
    <n v="0"/>
    <n v="95550.599999999991"/>
    <n v="208612.59999999998"/>
    <n v="95550.599999999991"/>
    <n v="0"/>
    <n v="0"/>
    <n v="0"/>
    <n v="0"/>
    <n v="95550.599999999991"/>
    <n v="208612.59999999998"/>
  </r>
  <r>
    <n v="4967603564"/>
    <s v="Ferdinand"/>
    <s v="Filippucci"/>
    <x v="308"/>
    <x v="2"/>
    <n v="78019"/>
    <n v="20"/>
    <x v="308"/>
    <n v="750000"/>
    <n v="937500"/>
    <n v="1125000"/>
    <n v="1500000"/>
    <n v="1.0473586666666668"/>
    <s v="100-125%"/>
    <n v="112500"/>
    <n v="6748.61"/>
    <n v="0"/>
    <n v="0"/>
    <n v="0"/>
    <n v="119248.61"/>
    <n v="197267.61"/>
    <n v="112500"/>
    <n v="7814.18"/>
    <n v="0"/>
    <n v="0"/>
    <n v="0"/>
    <n v="120314.18"/>
    <n v="198333.18"/>
  </r>
  <r>
    <n v="278558984"/>
    <s v="Rodrique"/>
    <s v="Filon"/>
    <x v="309"/>
    <x v="1"/>
    <n v="62792"/>
    <n v="12"/>
    <x v="309"/>
    <n v="600000"/>
    <n v="750000"/>
    <n v="900000"/>
    <n v="1200000"/>
    <n v="0.72653500000000004"/>
    <s v="0-100%"/>
    <n v="56669.73"/>
    <n v="0"/>
    <n v="0"/>
    <n v="0"/>
    <n v="0"/>
    <n v="56669.73"/>
    <n v="119461.73000000001"/>
    <n v="65388.149999999994"/>
    <n v="0"/>
    <n v="0"/>
    <n v="0"/>
    <n v="0"/>
    <n v="65388.149999999994"/>
    <n v="128180.15"/>
  </r>
  <r>
    <n v="1411873114"/>
    <s v="Costa"/>
    <s v="Fincke"/>
    <x v="310"/>
    <x v="2"/>
    <n v="90585"/>
    <n v="13"/>
    <x v="310"/>
    <n v="750000"/>
    <n v="937500"/>
    <n v="1125000"/>
    <n v="1500000"/>
    <n v="0.58307066666666663"/>
    <s v="0-100%"/>
    <n v="65595.45"/>
    <n v="0"/>
    <n v="0"/>
    <n v="0"/>
    <n v="0"/>
    <n v="65595.45"/>
    <n v="156180.45000000001"/>
    <n v="65595.45"/>
    <n v="0"/>
    <n v="0"/>
    <n v="0"/>
    <n v="0"/>
    <n v="65595.45"/>
    <n v="156180.45000000001"/>
  </r>
  <r>
    <n v="4359854056"/>
    <s v="Bernardina"/>
    <s v="Fisbey"/>
    <x v="311"/>
    <x v="1"/>
    <n v="77185"/>
    <n v="33"/>
    <x v="311"/>
    <n v="600000"/>
    <n v="750000"/>
    <n v="900000"/>
    <n v="1200000"/>
    <n v="2.0997150000000002"/>
    <s v="&gt;200%"/>
    <n v="78000"/>
    <n v="28500"/>
    <n v="34500"/>
    <n v="90000"/>
    <n v="8974.35"/>
    <n v="239974.35"/>
    <n v="317159.34999999998"/>
    <n v="90000"/>
    <n v="27000"/>
    <n v="37500"/>
    <n v="90000"/>
    <n v="7777.77"/>
    <n v="252277.77"/>
    <n v="329462.77"/>
  </r>
  <r>
    <n v="7962906979"/>
    <s v="Carmela"/>
    <s v="Fliege"/>
    <x v="312"/>
    <x v="1"/>
    <n v="65149"/>
    <n v="15"/>
    <x v="312"/>
    <n v="600000"/>
    <n v="750000"/>
    <n v="900000"/>
    <n v="1200000"/>
    <n v="0.83914666666666671"/>
    <s v="0-100%"/>
    <n v="65453.440000000002"/>
    <n v="0"/>
    <n v="0"/>
    <n v="0"/>
    <n v="0"/>
    <n v="65453.440000000002"/>
    <n v="130602.44"/>
    <n v="75523.199999999997"/>
    <n v="0"/>
    <n v="0"/>
    <n v="0"/>
    <n v="0"/>
    <n v="75523.199999999997"/>
    <n v="140672.20000000001"/>
  </r>
  <r>
    <n v="5422052862"/>
    <s v="Tamqrah"/>
    <s v="Flowerden"/>
    <x v="313"/>
    <x v="1"/>
    <n v="63500"/>
    <n v="19"/>
    <x v="313"/>
    <n v="600000"/>
    <n v="750000"/>
    <n v="900000"/>
    <n v="1200000"/>
    <n v="1.0227083333333333"/>
    <s v="100-125%"/>
    <n v="78000"/>
    <n v="2043.75"/>
    <n v="0"/>
    <n v="0"/>
    <n v="0"/>
    <n v="80043.75"/>
    <n v="143543.75"/>
    <n v="90000"/>
    <n v="2452.5"/>
    <n v="0"/>
    <n v="0"/>
    <n v="0"/>
    <n v="92452.5"/>
    <n v="155952.5"/>
  </r>
  <r>
    <n v="6446166575"/>
    <s v="Blanche"/>
    <s v="Folliott"/>
    <x v="314"/>
    <x v="0"/>
    <n v="54878"/>
    <n v="19"/>
    <x v="314"/>
    <n v="500000"/>
    <n v="625000"/>
    <n v="750000"/>
    <n v="1000000"/>
    <n v="1.1575040000000001"/>
    <s v="100-125%"/>
    <n v="50000"/>
    <n v="11812.8"/>
    <n v="0"/>
    <n v="0"/>
    <n v="0"/>
    <n v="61812.800000000003"/>
    <n v="116690.8"/>
    <n v="60000"/>
    <n v="13387.84"/>
    <n v="0"/>
    <n v="0"/>
    <n v="0"/>
    <n v="73387.839999999997"/>
    <n v="128265.84"/>
  </r>
  <r>
    <n v="9518260397"/>
    <s v="Elfrida"/>
    <s v="Fone"/>
    <x v="315"/>
    <x v="1"/>
    <n v="63471"/>
    <n v="18"/>
    <x v="315"/>
    <n v="600000"/>
    <n v="750000"/>
    <n v="900000"/>
    <n v="1200000"/>
    <n v="1.0881666666666667"/>
    <s v="100-125%"/>
    <n v="78000"/>
    <n v="10051"/>
    <n v="0"/>
    <n v="0"/>
    <n v="0"/>
    <n v="88051"/>
    <n v="151522"/>
    <n v="90000"/>
    <n v="9522"/>
    <n v="0"/>
    <n v="0"/>
    <n v="0"/>
    <n v="99522"/>
    <n v="162993"/>
  </r>
  <r>
    <n v="844376051"/>
    <s v="Erika"/>
    <s v="Forsaith"/>
    <x v="316"/>
    <x v="0"/>
    <n v="45096"/>
    <n v="19"/>
    <x v="316"/>
    <n v="500000"/>
    <n v="625000"/>
    <n v="750000"/>
    <n v="1000000"/>
    <n v="1.2147920000000001"/>
    <s v="100-125%"/>
    <n v="50000"/>
    <n v="18257.32"/>
    <n v="0"/>
    <n v="0"/>
    <n v="0"/>
    <n v="68257.320000000007"/>
    <n v="113353.32"/>
    <n v="60000"/>
    <n v="18257.32"/>
    <n v="0"/>
    <n v="0"/>
    <n v="0"/>
    <n v="78257.320000000007"/>
    <n v="123353.32"/>
  </r>
  <r>
    <n v="9095573850"/>
    <s v="Alyssa"/>
    <s v="Forsyth"/>
    <x v="317"/>
    <x v="0"/>
    <n v="48251"/>
    <n v="13"/>
    <x v="317"/>
    <n v="500000"/>
    <n v="625000"/>
    <n v="750000"/>
    <n v="1000000"/>
    <n v="0.87395199999999995"/>
    <s v="0-100%"/>
    <n v="43697.600000000006"/>
    <n v="0"/>
    <n v="0"/>
    <n v="0"/>
    <n v="0"/>
    <n v="43697.600000000006"/>
    <n v="91948.6"/>
    <n v="52437.119999999995"/>
    <n v="0"/>
    <n v="0"/>
    <n v="0"/>
    <n v="0"/>
    <n v="52437.119999999995"/>
    <n v="100688.12"/>
  </r>
  <r>
    <n v="9651729414"/>
    <s v="May"/>
    <s v="Fortesquieu"/>
    <x v="318"/>
    <x v="0"/>
    <n v="35803"/>
    <n v="18"/>
    <x v="318"/>
    <n v="500000"/>
    <n v="625000"/>
    <n v="750000"/>
    <n v="1000000"/>
    <n v="1.483312"/>
    <s v="125-150%"/>
    <n v="50000"/>
    <n v="23750"/>
    <n v="26830.880000000001"/>
    <n v="0"/>
    <n v="0"/>
    <n v="100580.88"/>
    <n v="136383.88"/>
    <n v="60000"/>
    <n v="21250"/>
    <n v="23331.200000000001"/>
    <n v="0"/>
    <n v="0"/>
    <n v="104581.2"/>
    <n v="140384.20000000001"/>
  </r>
  <r>
    <n v="6732216945"/>
    <s v="Lucila"/>
    <s v="Fosh"/>
    <x v="319"/>
    <x v="0"/>
    <n v="35593"/>
    <n v="24"/>
    <x v="319"/>
    <n v="500000"/>
    <n v="625000"/>
    <n v="750000"/>
    <n v="1000000"/>
    <n v="1.6364860000000001"/>
    <s v="150-200%"/>
    <n v="50000"/>
    <n v="23750"/>
    <n v="28750"/>
    <n v="20472.899999999998"/>
    <n v="0"/>
    <n v="122972.9"/>
    <n v="158565.9"/>
    <n v="60000"/>
    <n v="21250"/>
    <n v="25000"/>
    <n v="15013.460000000001"/>
    <n v="0"/>
    <n v="121263.46"/>
    <n v="156856.46000000002"/>
  </r>
  <r>
    <n v="3469413983"/>
    <s v="Danit"/>
    <s v="Fosserd"/>
    <x v="320"/>
    <x v="0"/>
    <n v="38104"/>
    <n v="20"/>
    <x v="320"/>
    <n v="500000"/>
    <n v="625000"/>
    <n v="750000"/>
    <n v="1000000"/>
    <n v="1.3317239999999999"/>
    <s v="125-150%"/>
    <n v="50000"/>
    <n v="23750"/>
    <n v="9398.26"/>
    <n v="0"/>
    <n v="0"/>
    <n v="83148.259999999995"/>
    <n v="121252.26"/>
    <n v="60000"/>
    <n v="21250"/>
    <n v="8172.4000000000005"/>
    <n v="0"/>
    <n v="0"/>
    <n v="89422.399999999994"/>
    <n v="127526.39999999999"/>
  </r>
  <r>
    <n v="8189289020"/>
    <s v="Lotty"/>
    <s v="Foxall"/>
    <x v="321"/>
    <x v="2"/>
    <n v="112300"/>
    <n v="22"/>
    <x v="321"/>
    <n v="750000"/>
    <n v="937500"/>
    <n v="1125000"/>
    <n v="1500000"/>
    <n v="1.0413186666666667"/>
    <s v="100-125%"/>
    <n v="112500"/>
    <n v="5268.13"/>
    <n v="0"/>
    <n v="0"/>
    <n v="0"/>
    <n v="117768.13"/>
    <n v="230068.13"/>
    <n v="112500"/>
    <n v="6817.58"/>
    <n v="0"/>
    <n v="0"/>
    <n v="0"/>
    <n v="119317.58"/>
    <n v="231617.58000000002"/>
  </r>
  <r>
    <n v="7233077789"/>
    <s v="Horatio"/>
    <s v="Franchyonok"/>
    <x v="322"/>
    <x v="0"/>
    <n v="43173"/>
    <n v="18"/>
    <x v="322"/>
    <n v="500000"/>
    <n v="625000"/>
    <n v="750000"/>
    <n v="1000000"/>
    <n v="1.2014640000000001"/>
    <s v="100-125%"/>
    <n v="50000"/>
    <n v="17124.440000000002"/>
    <n v="0"/>
    <n v="0"/>
    <n v="0"/>
    <n v="67124.44"/>
    <n v="110297.44"/>
    <n v="60000"/>
    <n v="17124.440000000002"/>
    <n v="0"/>
    <n v="0"/>
    <n v="0"/>
    <n v="77124.44"/>
    <n v="120297.44"/>
  </r>
  <r>
    <n v="8545135858"/>
    <s v="Annis"/>
    <s v="Francomb"/>
    <x v="323"/>
    <x v="0"/>
    <n v="41563"/>
    <n v="20"/>
    <x v="323"/>
    <n v="500000"/>
    <n v="625000"/>
    <n v="750000"/>
    <n v="1000000"/>
    <n v="1.4695879999999999"/>
    <s v="125-150%"/>
    <n v="50000"/>
    <n v="23750"/>
    <n v="25252.620000000003"/>
    <n v="0"/>
    <n v="0"/>
    <n v="99002.62"/>
    <n v="140565.62"/>
    <n v="60000"/>
    <n v="21250"/>
    <n v="21958.800000000003"/>
    <n v="0"/>
    <n v="0"/>
    <n v="103208.8"/>
    <n v="144771.79999999999"/>
  </r>
  <r>
    <n v="8445779583"/>
    <s v="Cyndia"/>
    <s v="Fratson"/>
    <x v="324"/>
    <x v="1"/>
    <n v="61293"/>
    <n v="16"/>
    <x v="324"/>
    <n v="600000"/>
    <n v="750000"/>
    <n v="900000"/>
    <n v="1200000"/>
    <n v="0.94882833333333338"/>
    <s v="0-100%"/>
    <n v="74008.61"/>
    <n v="0"/>
    <n v="0"/>
    <n v="0"/>
    <n v="0"/>
    <n v="74008.61"/>
    <n v="135301.60999999999"/>
    <n v="85394.55"/>
    <n v="0"/>
    <n v="0"/>
    <n v="0"/>
    <n v="0"/>
    <n v="85394.55"/>
    <n v="146687.54999999999"/>
  </r>
  <r>
    <n v="4472356473"/>
    <s v="Gradey"/>
    <s v="Frazier"/>
    <x v="325"/>
    <x v="2"/>
    <n v="79672"/>
    <n v="17"/>
    <x v="325"/>
    <n v="750000"/>
    <n v="937500"/>
    <n v="1125000"/>
    <n v="1500000"/>
    <n v="0.81225599999999998"/>
    <s v="0-100%"/>
    <n v="91378.8"/>
    <n v="0"/>
    <n v="0"/>
    <n v="0"/>
    <n v="0"/>
    <n v="91378.8"/>
    <n v="171050.8"/>
    <n v="91378.8"/>
    <n v="0"/>
    <n v="0"/>
    <n v="0"/>
    <n v="0"/>
    <n v="91378.8"/>
    <n v="171050.8"/>
  </r>
  <r>
    <n v="8154943166"/>
    <s v="Arleen"/>
    <s v="Freezor"/>
    <x v="326"/>
    <x v="0"/>
    <n v="38259"/>
    <n v="14"/>
    <x v="326"/>
    <n v="500000"/>
    <n v="625000"/>
    <n v="750000"/>
    <n v="1000000"/>
    <n v="1.0378860000000001"/>
    <s v="100-125%"/>
    <n v="50000"/>
    <n v="3599.17"/>
    <n v="0"/>
    <n v="0"/>
    <n v="0"/>
    <n v="53599.17"/>
    <n v="91858.17"/>
    <n v="60000"/>
    <n v="3220.3100000000004"/>
    <n v="0"/>
    <n v="0"/>
    <n v="0"/>
    <n v="63220.31"/>
    <n v="101479.31"/>
  </r>
  <r>
    <n v="9207464802"/>
    <s v="Arvin"/>
    <s v="Friar"/>
    <x v="327"/>
    <x v="2"/>
    <n v="109300"/>
    <n v="14"/>
    <x v="327"/>
    <n v="750000"/>
    <n v="937500"/>
    <n v="1125000"/>
    <n v="1500000"/>
    <n v="0.61294533333333334"/>
    <s v="0-100%"/>
    <n v="68956.349999999991"/>
    <n v="0"/>
    <n v="0"/>
    <n v="0"/>
    <n v="0"/>
    <n v="68956.349999999991"/>
    <n v="178256.34999999998"/>
    <n v="68956.349999999991"/>
    <n v="0"/>
    <n v="0"/>
    <n v="0"/>
    <n v="0"/>
    <n v="68956.349999999991"/>
    <n v="178256.34999999998"/>
  </r>
  <r>
    <n v="959209328"/>
    <s v="Rodd"/>
    <s v="Froggatt"/>
    <x v="328"/>
    <x v="0"/>
    <n v="48352"/>
    <n v="11"/>
    <x v="328"/>
    <n v="500000"/>
    <n v="625000"/>
    <n v="750000"/>
    <n v="1000000"/>
    <n v="0.816774"/>
    <s v="0-100%"/>
    <n v="40838.700000000004"/>
    <n v="0"/>
    <n v="0"/>
    <n v="0"/>
    <n v="0"/>
    <n v="40838.700000000004"/>
    <n v="89190.700000000012"/>
    <n v="49006.439999999995"/>
    <n v="0"/>
    <n v="0"/>
    <n v="0"/>
    <n v="0"/>
    <n v="49006.439999999995"/>
    <n v="97358.44"/>
  </r>
  <r>
    <n v="3435517239"/>
    <s v="Taite"/>
    <s v="Fulk"/>
    <x v="329"/>
    <x v="0"/>
    <n v="47873"/>
    <n v="20"/>
    <x v="329"/>
    <n v="500000"/>
    <n v="625000"/>
    <n v="750000"/>
    <n v="1000000"/>
    <n v="1.294152"/>
    <s v="125-150%"/>
    <n v="50000"/>
    <n v="18750"/>
    <n v="3973.68"/>
    <n v="0"/>
    <n v="0"/>
    <n v="72723.679999999993"/>
    <n v="120596.68"/>
    <n v="60000"/>
    <n v="21250"/>
    <n v="4415.2"/>
    <n v="0"/>
    <n v="0"/>
    <n v="85665.2"/>
    <n v="133538.20000000001"/>
  </r>
  <r>
    <n v="3217797337"/>
    <s v="Delia"/>
    <s v="Fylan"/>
    <x v="330"/>
    <x v="0"/>
    <n v="57960"/>
    <n v="23"/>
    <x v="330"/>
    <n v="500000"/>
    <n v="625000"/>
    <n v="750000"/>
    <n v="1000000"/>
    <n v="1.652034"/>
    <s v="150-200%"/>
    <n v="50000"/>
    <n v="21250"/>
    <n v="26250"/>
    <n v="19764.420000000002"/>
    <n v="0"/>
    <n v="117264.42"/>
    <n v="175224.41999999998"/>
    <n v="60000"/>
    <n v="21250"/>
    <n v="25000"/>
    <n v="16723.740000000002"/>
    <n v="0"/>
    <n v="122973.74"/>
    <n v="180933.74"/>
  </r>
  <r>
    <n v="7462528568"/>
    <s v="Rani"/>
    <s v="Gaffney"/>
    <x v="331"/>
    <x v="1"/>
    <n v="50108"/>
    <n v="20"/>
    <x v="331"/>
    <n v="600000"/>
    <n v="750000"/>
    <n v="900000"/>
    <n v="1200000"/>
    <n v="1.254885"/>
    <s v="125-150%"/>
    <n v="78000"/>
    <n v="28500"/>
    <n v="674.13"/>
    <n v="0"/>
    <n v="0"/>
    <n v="107174.13"/>
    <n v="157282.13"/>
    <n v="90000"/>
    <n v="27000"/>
    <n v="732.75"/>
    <n v="0"/>
    <n v="0"/>
    <n v="117732.75"/>
    <n v="167840.75"/>
  </r>
  <r>
    <n v="8239612253"/>
    <s v="Ferrel"/>
    <s v="Gainforth"/>
    <x v="332"/>
    <x v="2"/>
    <n v="81730"/>
    <n v="14"/>
    <x v="332"/>
    <n v="750000"/>
    <n v="937500"/>
    <n v="1125000"/>
    <n v="1500000"/>
    <n v="0.71965066666666666"/>
    <s v="0-100%"/>
    <n v="80960.7"/>
    <n v="0"/>
    <n v="0"/>
    <n v="0"/>
    <n v="0"/>
    <n v="80960.7"/>
    <n v="162690.70000000001"/>
    <n v="80960.7"/>
    <n v="0"/>
    <n v="0"/>
    <n v="0"/>
    <n v="0"/>
    <n v="80960.7"/>
    <n v="162690.70000000001"/>
  </r>
  <r>
    <n v="7367438190"/>
    <s v="Rochella"/>
    <s v="Galland"/>
    <x v="333"/>
    <x v="0"/>
    <n v="47043"/>
    <n v="24"/>
    <x v="333"/>
    <n v="500000"/>
    <n v="625000"/>
    <n v="750000"/>
    <n v="1000000"/>
    <n v="1.5167900000000001"/>
    <s v="150-200%"/>
    <n v="50000"/>
    <n v="18750"/>
    <n v="22500"/>
    <n v="1846.9"/>
    <n v="0"/>
    <n v="93096.9"/>
    <n v="140139.9"/>
    <n v="60000"/>
    <n v="21250"/>
    <n v="25000"/>
    <n v="1846.9"/>
    <n v="0"/>
    <n v="108096.9"/>
    <n v="155139.9"/>
  </r>
  <r>
    <n v="5675852751"/>
    <s v="Junina"/>
    <s v="Galland"/>
    <x v="334"/>
    <x v="0"/>
    <n v="62435"/>
    <n v="16"/>
    <x v="334"/>
    <n v="500000"/>
    <n v="625000"/>
    <n v="750000"/>
    <n v="1000000"/>
    <n v="1.275874"/>
    <s v="125-150%"/>
    <n v="50000"/>
    <n v="18750"/>
    <n v="2328.66"/>
    <n v="0"/>
    <n v="0"/>
    <n v="71078.66"/>
    <n v="133513.66"/>
    <n v="60000"/>
    <n v="21250"/>
    <n v="2587.4"/>
    <n v="0"/>
    <n v="0"/>
    <n v="83837.399999999994"/>
    <n v="146272.4"/>
  </r>
  <r>
    <n v="3560320844"/>
    <s v="Packston"/>
    <s v="Gamlin"/>
    <x v="335"/>
    <x v="1"/>
    <n v="72341"/>
    <n v="22"/>
    <x v="335"/>
    <n v="600000"/>
    <n v="750000"/>
    <n v="900000"/>
    <n v="1200000"/>
    <n v="1.3212783333333333"/>
    <s v="125-150%"/>
    <n v="78000"/>
    <n v="25500.000000000004"/>
    <n v="8981.07"/>
    <n v="0"/>
    <n v="0"/>
    <n v="112481.07"/>
    <n v="184822.07"/>
    <n v="90000"/>
    <n v="27000"/>
    <n v="10691.75"/>
    <n v="0"/>
    <n v="0"/>
    <n v="127691.75"/>
    <n v="200032.75"/>
  </r>
  <r>
    <n v="1898839557"/>
    <s v="Glynis"/>
    <s v="Garaghan"/>
    <x v="336"/>
    <x v="1"/>
    <n v="70011"/>
    <n v="32"/>
    <x v="336"/>
    <n v="600000"/>
    <n v="750000"/>
    <n v="900000"/>
    <n v="1200000"/>
    <n v="1.6841649999999999"/>
    <s v="150-200%"/>
    <n v="78000"/>
    <n v="25500.000000000004"/>
    <n v="31500"/>
    <n v="28729.74"/>
    <n v="0"/>
    <n v="163729.74"/>
    <n v="233740.74"/>
    <n v="90000"/>
    <n v="27000"/>
    <n v="37500"/>
    <n v="33149.699999999997"/>
    <n v="0"/>
    <n v="187649.7"/>
    <n v="257660.7"/>
  </r>
  <r>
    <n v="9104569016"/>
    <s v="Leighton"/>
    <s v="Garbar"/>
    <x v="337"/>
    <x v="1"/>
    <n v="74551"/>
    <n v="16"/>
    <x v="337"/>
    <n v="600000"/>
    <n v="750000"/>
    <n v="900000"/>
    <n v="1200000"/>
    <n v="0.77482666666666666"/>
    <s v="0-100%"/>
    <n v="60436.480000000003"/>
    <n v="0"/>
    <n v="0"/>
    <n v="0"/>
    <n v="0"/>
    <n v="60436.480000000003"/>
    <n v="134987.48000000001"/>
    <n v="69734.399999999994"/>
    <n v="0"/>
    <n v="0"/>
    <n v="0"/>
    <n v="0"/>
    <n v="69734.399999999994"/>
    <n v="144285.4"/>
  </r>
  <r>
    <n v="3597778305"/>
    <s v="Emanuele"/>
    <s v="Garfitt"/>
    <x v="338"/>
    <x v="2"/>
    <n v="101808"/>
    <n v="29"/>
    <x v="338"/>
    <n v="750000"/>
    <n v="937500"/>
    <n v="1125000"/>
    <n v="1500000"/>
    <n v="1.537364"/>
    <s v="150-200%"/>
    <n v="112500"/>
    <n v="35625"/>
    <n v="43125"/>
    <n v="8406.9"/>
    <n v="0"/>
    <n v="199656.9"/>
    <n v="301464.90000000002"/>
    <n v="112500"/>
    <n v="41250"/>
    <n v="46875"/>
    <n v="9247.59"/>
    <n v="0"/>
    <n v="209872.59"/>
    <n v="311680.58999999997"/>
  </r>
  <r>
    <n v="5082945165"/>
    <s v="Hillyer"/>
    <s v="Garrique"/>
    <x v="339"/>
    <x v="0"/>
    <n v="57158"/>
    <n v="22"/>
    <x v="339"/>
    <n v="500000"/>
    <n v="625000"/>
    <n v="750000"/>
    <n v="1000000"/>
    <n v="1.352122"/>
    <s v="125-150%"/>
    <n v="50000"/>
    <n v="21250"/>
    <n v="10722.81"/>
    <n v="0"/>
    <n v="0"/>
    <n v="81972.81"/>
    <n v="139130.81"/>
    <n v="60000"/>
    <n v="21250"/>
    <n v="10212.200000000001"/>
    <n v="0"/>
    <n v="0"/>
    <n v="91462.2"/>
    <n v="148620.20000000001"/>
  </r>
  <r>
    <n v="228985188"/>
    <s v="Klement"/>
    <s v="Garrison"/>
    <x v="340"/>
    <x v="1"/>
    <n v="57755"/>
    <n v="25"/>
    <x v="340"/>
    <n v="600000"/>
    <n v="750000"/>
    <n v="900000"/>
    <n v="1200000"/>
    <n v="1.5745266666666666"/>
    <s v="150-200%"/>
    <n v="78000"/>
    <n v="28500"/>
    <n v="34500"/>
    <n v="13414.8"/>
    <n v="0"/>
    <n v="154414.79999999999"/>
    <n v="212169.8"/>
    <n v="90000"/>
    <n v="27000"/>
    <n v="37500"/>
    <n v="13414.8"/>
    <n v="0"/>
    <n v="167914.8"/>
    <n v="225669.8"/>
  </r>
  <r>
    <n v="244523738"/>
    <s v="Katlin"/>
    <s v="Garthland"/>
    <x v="341"/>
    <x v="0"/>
    <n v="49959"/>
    <n v="23"/>
    <x v="341"/>
    <n v="500000"/>
    <n v="625000"/>
    <n v="750000"/>
    <n v="1000000"/>
    <n v="1.7091400000000001"/>
    <s v="150-200%"/>
    <n v="50000"/>
    <n v="21250"/>
    <n v="26250"/>
    <n v="27188.2"/>
    <n v="0"/>
    <n v="124688.2"/>
    <n v="174647.2"/>
    <n v="60000"/>
    <n v="21250"/>
    <n v="25000"/>
    <n v="23005.4"/>
    <n v="0"/>
    <n v="129255.4"/>
    <n v="179214.4"/>
  </r>
  <r>
    <n v="7205256240"/>
    <s v="Simone"/>
    <s v="Garz"/>
    <x v="342"/>
    <x v="1"/>
    <n v="78106"/>
    <n v="17"/>
    <x v="342"/>
    <n v="600000"/>
    <n v="750000"/>
    <n v="900000"/>
    <n v="1200000"/>
    <n v="1.0638516666666666"/>
    <s v="100-125%"/>
    <n v="78000"/>
    <n v="7279.09"/>
    <n v="0"/>
    <n v="0"/>
    <n v="0"/>
    <n v="85279.09"/>
    <n v="163385.09"/>
    <n v="90000"/>
    <n v="6895.98"/>
    <n v="0"/>
    <n v="0"/>
    <n v="0"/>
    <n v="96895.98"/>
    <n v="175001.97999999998"/>
  </r>
  <r>
    <n v="495702854"/>
    <s v="Gennifer"/>
    <s v="Gaythwaite"/>
    <x v="343"/>
    <x v="0"/>
    <n v="39500"/>
    <n v="23"/>
    <x v="343"/>
    <n v="500000"/>
    <n v="625000"/>
    <n v="750000"/>
    <n v="1000000"/>
    <n v="1.8130919999999999"/>
    <s v="150-200%"/>
    <n v="50000"/>
    <n v="23750"/>
    <n v="28750"/>
    <n v="46963.799999999996"/>
    <n v="0"/>
    <n v="149463.79999999999"/>
    <n v="188963.8"/>
    <n v="60000"/>
    <n v="21250"/>
    <n v="25000"/>
    <n v="34440.120000000003"/>
    <n v="0"/>
    <n v="140690.12"/>
    <n v="180190.12"/>
  </r>
  <r>
    <n v="7630993544"/>
    <s v="Ranice"/>
    <s v="Gaytor"/>
    <x v="344"/>
    <x v="1"/>
    <n v="51631"/>
    <n v="13"/>
    <x v="344"/>
    <n v="600000"/>
    <n v="750000"/>
    <n v="900000"/>
    <n v="1200000"/>
    <n v="0.79258666666666666"/>
    <s v="0-100%"/>
    <n v="61821.760000000002"/>
    <n v="0"/>
    <n v="0"/>
    <n v="0"/>
    <n v="0"/>
    <n v="61821.760000000002"/>
    <n v="113452.76000000001"/>
    <n v="71332.800000000003"/>
    <n v="0"/>
    <n v="0"/>
    <n v="0"/>
    <n v="0"/>
    <n v="71332.800000000003"/>
    <n v="122963.8"/>
  </r>
  <r>
    <n v="6718456802"/>
    <s v="Duane"/>
    <s v="Geoghegan"/>
    <x v="345"/>
    <x v="1"/>
    <n v="55542"/>
    <n v="20"/>
    <x v="345"/>
    <n v="600000"/>
    <n v="750000"/>
    <n v="900000"/>
    <n v="1200000"/>
    <n v="1.2913416666666666"/>
    <s v="125-150%"/>
    <n v="78000"/>
    <n v="25500.000000000004"/>
    <n v="5209.05"/>
    <n v="0"/>
    <n v="0"/>
    <n v="108709.05"/>
    <n v="164251.04999999999"/>
    <n v="90000"/>
    <n v="27000"/>
    <n v="6201.25"/>
    <n v="0"/>
    <n v="0"/>
    <n v="123201.25"/>
    <n v="178743.25"/>
  </r>
  <r>
    <n v="4323171323"/>
    <s v="Bartlet"/>
    <s v="Gerardeaux"/>
    <x v="346"/>
    <x v="1"/>
    <n v="59667"/>
    <n v="26"/>
    <x v="346"/>
    <n v="600000"/>
    <n v="750000"/>
    <n v="900000"/>
    <n v="1200000"/>
    <n v="1.4465866666666667"/>
    <s v="125-150%"/>
    <n v="78000"/>
    <n v="28500"/>
    <n v="27128.960000000003"/>
    <n v="0"/>
    <n v="0"/>
    <n v="133628.96"/>
    <n v="193295.96"/>
    <n v="90000"/>
    <n v="27000"/>
    <n v="29488"/>
    <n v="0"/>
    <n v="0"/>
    <n v="146488"/>
    <n v="206155"/>
  </r>
  <r>
    <n v="6961242316"/>
    <s v="Dionisio"/>
    <s v="Gethyn"/>
    <x v="347"/>
    <x v="0"/>
    <n v="49504"/>
    <n v="17"/>
    <x v="347"/>
    <n v="500000"/>
    <n v="625000"/>
    <n v="750000"/>
    <n v="1000000"/>
    <n v="1.0861460000000001"/>
    <s v="100-125%"/>
    <n v="50000"/>
    <n v="6460.95"/>
    <n v="0"/>
    <n v="0"/>
    <n v="0"/>
    <n v="56460.95"/>
    <n v="105964.95"/>
    <n v="60000"/>
    <n v="7322.4100000000008"/>
    <n v="0"/>
    <n v="0"/>
    <n v="0"/>
    <n v="67322.41"/>
    <n v="116826.41"/>
  </r>
  <r>
    <n v="2450711406"/>
    <s v="Dorothea"/>
    <s v="Gheeraert"/>
    <x v="348"/>
    <x v="2"/>
    <n v="106013"/>
    <n v="24"/>
    <x v="348"/>
    <n v="750000"/>
    <n v="937500"/>
    <n v="1125000"/>
    <n v="1500000"/>
    <n v="1.1470266666666666"/>
    <s v="100-125%"/>
    <n v="112500"/>
    <n v="16540.5"/>
    <n v="0"/>
    <n v="0"/>
    <n v="0"/>
    <n v="129040.5"/>
    <n v="235053.5"/>
    <n v="112500"/>
    <n v="24259.4"/>
    <n v="0"/>
    <n v="0"/>
    <n v="0"/>
    <n v="136759.4"/>
    <n v="242772.4"/>
  </r>
  <r>
    <n v="8047841793"/>
    <s v="Cymbre"/>
    <s v="Giampietro"/>
    <x v="349"/>
    <x v="0"/>
    <n v="46338"/>
    <n v="18"/>
    <x v="349"/>
    <n v="500000"/>
    <n v="625000"/>
    <n v="750000"/>
    <n v="1000000"/>
    <n v="1.21726"/>
    <s v="100-125%"/>
    <n v="50000"/>
    <n v="16294.5"/>
    <n v="0"/>
    <n v="0"/>
    <n v="0"/>
    <n v="66294.5"/>
    <n v="112632.5"/>
    <n v="60000"/>
    <n v="18467.100000000002"/>
    <n v="0"/>
    <n v="0"/>
    <n v="0"/>
    <n v="78467.100000000006"/>
    <n v="124805.1"/>
  </r>
  <r>
    <n v="5792300712"/>
    <s v="Gayelord"/>
    <s v="Gianelli"/>
    <x v="350"/>
    <x v="1"/>
    <n v="70471"/>
    <n v="24"/>
    <x v="350"/>
    <n v="600000"/>
    <n v="750000"/>
    <n v="900000"/>
    <n v="1200000"/>
    <n v="1.4637983333333333"/>
    <s v="125-150%"/>
    <n v="78000"/>
    <n v="25500.000000000004"/>
    <n v="26938.59"/>
    <n v="0"/>
    <n v="0"/>
    <n v="130438.59"/>
    <n v="200909.59"/>
    <n v="90000"/>
    <n v="27000"/>
    <n v="32069.75"/>
    <n v="0"/>
    <n v="0"/>
    <n v="149069.75"/>
    <n v="219540.75"/>
  </r>
  <r>
    <n v="29906814"/>
    <s v="Fredelia"/>
    <s v="Gianetti"/>
    <x v="351"/>
    <x v="1"/>
    <n v="73967"/>
    <n v="20"/>
    <x v="351"/>
    <n v="600000"/>
    <n v="750000"/>
    <n v="900000"/>
    <n v="1200000"/>
    <n v="1.1568216666666666"/>
    <s v="100-125%"/>
    <n v="78000"/>
    <n v="17877.670000000002"/>
    <n v="0"/>
    <n v="0"/>
    <n v="0"/>
    <n v="95877.67"/>
    <n v="169844.66999999998"/>
    <n v="90000"/>
    <n v="16936.739999999998"/>
    <n v="0"/>
    <n v="0"/>
    <n v="0"/>
    <n v="106936.73999999999"/>
    <n v="180903.74"/>
  </r>
  <r>
    <n v="4094820760"/>
    <s v="Elmore"/>
    <s v="Gianullo"/>
    <x v="352"/>
    <x v="1"/>
    <n v="74967"/>
    <n v="17"/>
    <x v="352"/>
    <n v="600000"/>
    <n v="750000"/>
    <n v="900000"/>
    <n v="1200000"/>
    <n v="0.87178666666666671"/>
    <s v="0-100%"/>
    <n v="67999.360000000001"/>
    <n v="0"/>
    <n v="0"/>
    <n v="0"/>
    <n v="0"/>
    <n v="67999.360000000001"/>
    <n v="142966.35999999999"/>
    <n v="78460.800000000003"/>
    <n v="0"/>
    <n v="0"/>
    <n v="0"/>
    <n v="0"/>
    <n v="78460.800000000003"/>
    <n v="153427.79999999999"/>
  </r>
  <r>
    <n v="2670196322"/>
    <s v="Glenn"/>
    <s v="Gillespie"/>
    <x v="353"/>
    <x v="0"/>
    <n v="50840"/>
    <n v="24"/>
    <x v="353"/>
    <n v="500000"/>
    <n v="625000"/>
    <n v="750000"/>
    <n v="1000000"/>
    <n v="1.7916339999999999"/>
    <s v="150-200%"/>
    <n v="50000"/>
    <n v="18750"/>
    <n v="22500"/>
    <n v="32079.74"/>
    <n v="0"/>
    <n v="123329.74"/>
    <n v="174169.74"/>
    <n v="60000"/>
    <n v="21250"/>
    <n v="25000"/>
    <n v="32079.74"/>
    <n v="0"/>
    <n v="138329.74"/>
    <n v="189169.74"/>
  </r>
  <r>
    <n v="9331851693"/>
    <s v="Glennie"/>
    <s v="Giorgio"/>
    <x v="354"/>
    <x v="0"/>
    <n v="37472"/>
    <n v="22"/>
    <x v="354"/>
    <n v="500000"/>
    <n v="625000"/>
    <n v="750000"/>
    <n v="1000000"/>
    <n v="1.30264"/>
    <s v="125-150%"/>
    <n v="50000"/>
    <n v="18750"/>
    <n v="4737.5999999999995"/>
    <n v="0"/>
    <n v="0"/>
    <n v="73487.600000000006"/>
    <n v="110959.6"/>
    <n v="60000"/>
    <n v="21250"/>
    <n v="5264"/>
    <n v="0"/>
    <n v="0"/>
    <n v="86514"/>
    <n v="123986"/>
  </r>
  <r>
    <n v="5412518958"/>
    <s v="Row"/>
    <s v="Giottini"/>
    <x v="355"/>
    <x v="0"/>
    <n v="34010"/>
    <n v="31"/>
    <x v="355"/>
    <n v="500000"/>
    <n v="625000"/>
    <n v="750000"/>
    <n v="1000000"/>
    <n v="2.1285720000000001"/>
    <s v="&gt;200%"/>
    <n v="50000"/>
    <n v="21250"/>
    <n v="26250"/>
    <n v="65000"/>
    <n v="8357.18"/>
    <n v="170857.18"/>
    <n v="204867.18"/>
    <n v="60000"/>
    <n v="21250"/>
    <n v="25000"/>
    <n v="55000"/>
    <n v="6428.6"/>
    <n v="167678.6"/>
    <n v="201688.6"/>
  </r>
  <r>
    <n v="3600185284"/>
    <s v="Nial"/>
    <s v="Giovanazzi"/>
    <x v="356"/>
    <x v="1"/>
    <n v="52134"/>
    <n v="18"/>
    <x v="356"/>
    <n v="600000"/>
    <n v="750000"/>
    <n v="900000"/>
    <n v="1200000"/>
    <n v="1.0811816666666667"/>
    <s v="100-125%"/>
    <n v="78000"/>
    <n v="9254.7100000000009"/>
    <n v="0"/>
    <n v="0"/>
    <n v="0"/>
    <n v="87254.71"/>
    <n v="139388.71000000002"/>
    <n v="90000"/>
    <n v="8767.619999999999"/>
    <n v="0"/>
    <n v="0"/>
    <n v="0"/>
    <n v="98767.62"/>
    <n v="150901.62"/>
  </r>
  <r>
    <n v="6173504774"/>
    <s v="Meredith"/>
    <s v="Giraudot"/>
    <x v="357"/>
    <x v="2"/>
    <n v="124928"/>
    <n v="22"/>
    <x v="357"/>
    <n v="750000"/>
    <n v="937500"/>
    <n v="1125000"/>
    <n v="1500000"/>
    <n v="0.77606799999999998"/>
    <s v="0-100%"/>
    <n v="87307.65"/>
    <n v="0"/>
    <n v="0"/>
    <n v="0"/>
    <n v="0"/>
    <n v="87307.65"/>
    <n v="212235.65"/>
    <n v="87307.65"/>
    <n v="0"/>
    <n v="0"/>
    <n v="0"/>
    <n v="0"/>
    <n v="87307.65"/>
    <n v="212235.65"/>
  </r>
  <r>
    <n v="9293760045"/>
    <s v="Clem"/>
    <s v="Girth"/>
    <x v="358"/>
    <x v="0"/>
    <n v="48405"/>
    <n v="18"/>
    <x v="358"/>
    <n v="500000"/>
    <n v="625000"/>
    <n v="750000"/>
    <n v="1000000"/>
    <n v="1.1673"/>
    <s v="100-125%"/>
    <n v="50000"/>
    <n v="15893.5"/>
    <n v="0"/>
    <n v="0"/>
    <n v="0"/>
    <n v="65893.5"/>
    <n v="114298.5"/>
    <n v="60000"/>
    <n v="14220.500000000002"/>
    <n v="0"/>
    <n v="0"/>
    <n v="0"/>
    <n v="74220.5"/>
    <n v="122625.5"/>
  </r>
  <r>
    <n v="3858163570"/>
    <s v="Arlin"/>
    <s v="Glacken"/>
    <x v="359"/>
    <x v="1"/>
    <n v="75333"/>
    <n v="28"/>
    <x v="359"/>
    <n v="600000"/>
    <n v="750000"/>
    <n v="900000"/>
    <n v="1200000"/>
    <n v="1.5234799999999999"/>
    <s v="150-200%"/>
    <n v="78000"/>
    <n v="22500"/>
    <n v="27000"/>
    <n v="3099.36"/>
    <n v="0"/>
    <n v="130599.36"/>
    <n v="205932.36"/>
    <n v="90000"/>
    <n v="27000"/>
    <n v="37500"/>
    <n v="4226.3999999999996"/>
    <n v="0"/>
    <n v="158726.39999999999"/>
    <n v="234059.4"/>
  </r>
  <r>
    <n v="4504361140"/>
    <s v="Genni"/>
    <s v="Glader"/>
    <x v="360"/>
    <x v="0"/>
    <n v="45337"/>
    <n v="17"/>
    <x v="360"/>
    <n v="500000"/>
    <n v="625000"/>
    <n v="750000"/>
    <n v="1000000"/>
    <n v="1.14957"/>
    <s v="100-125%"/>
    <n v="50000"/>
    <n v="12713.45"/>
    <n v="0"/>
    <n v="0"/>
    <n v="0"/>
    <n v="62713.45"/>
    <n v="108050.45"/>
    <n v="60000"/>
    <n v="12713.45"/>
    <n v="0"/>
    <n v="0"/>
    <n v="0"/>
    <n v="72713.45"/>
    <n v="118050.45"/>
  </r>
  <r>
    <n v="8971738782"/>
    <s v="Jolee"/>
    <s v="Gladyer"/>
    <x v="361"/>
    <x v="2"/>
    <n v="124815"/>
    <n v="25"/>
    <x v="361"/>
    <n v="750000"/>
    <n v="937500"/>
    <n v="1125000"/>
    <n v="1500000"/>
    <n v="1.2604120000000001"/>
    <s v="125-150%"/>
    <n v="112500"/>
    <n v="31875.000000000004"/>
    <n v="1639.8899999999999"/>
    <n v="0"/>
    <n v="0"/>
    <n v="146014.89000000001"/>
    <n v="270829.89"/>
    <n v="112500"/>
    <n v="41250"/>
    <n v="1952.25"/>
    <n v="0"/>
    <n v="0"/>
    <n v="155702.25"/>
    <n v="280517.25"/>
  </r>
  <r>
    <n v="1152386727"/>
    <s v="Izzy"/>
    <s v="Glennon"/>
    <x v="362"/>
    <x v="1"/>
    <n v="77211"/>
    <n v="21"/>
    <x v="362"/>
    <n v="600000"/>
    <n v="750000"/>
    <n v="900000"/>
    <n v="1200000"/>
    <n v="1.3918066666666666"/>
    <s v="125-150%"/>
    <n v="78000"/>
    <n v="25500.000000000004"/>
    <n v="17867.64"/>
    <n v="0"/>
    <n v="0"/>
    <n v="121367.64"/>
    <n v="198578.64"/>
    <n v="90000"/>
    <n v="27000"/>
    <n v="21271"/>
    <n v="0"/>
    <n v="0"/>
    <n v="138271"/>
    <n v="215482"/>
  </r>
  <r>
    <n v="6279928705"/>
    <s v="Caroline"/>
    <s v="Glidden"/>
    <x v="363"/>
    <x v="1"/>
    <n v="79834"/>
    <n v="31"/>
    <x v="363"/>
    <n v="600000"/>
    <n v="750000"/>
    <n v="900000"/>
    <n v="1200000"/>
    <n v="1.8814633333333333"/>
    <s v="150-200%"/>
    <n v="78000"/>
    <n v="22500"/>
    <n v="27000"/>
    <n v="50353.16"/>
    <n v="0"/>
    <n v="177853.16"/>
    <n v="257687.16"/>
    <n v="90000"/>
    <n v="27000"/>
    <n v="37500"/>
    <n v="68663.399999999994"/>
    <n v="0"/>
    <n v="223163.4"/>
    <n v="302997.40000000002"/>
  </r>
  <r>
    <n v="2579936017"/>
    <s v="Sunny"/>
    <s v="Glyne"/>
    <x v="364"/>
    <x v="2"/>
    <n v="97827"/>
    <n v="14"/>
    <x v="364"/>
    <n v="750000"/>
    <n v="937500"/>
    <n v="1125000"/>
    <n v="1500000"/>
    <n v="0.53371866666666667"/>
    <s v="0-100%"/>
    <n v="60043.35"/>
    <n v="0"/>
    <n v="0"/>
    <n v="0"/>
    <n v="0"/>
    <n v="60043.35"/>
    <n v="157870.35"/>
    <n v="60043.35"/>
    <n v="0"/>
    <n v="0"/>
    <n v="0"/>
    <n v="0"/>
    <n v="60043.35"/>
    <n v="157870.35"/>
  </r>
  <r>
    <n v="5186660353"/>
    <s v="Demetri"/>
    <s v="Goatman"/>
    <x v="365"/>
    <x v="1"/>
    <n v="79767"/>
    <n v="27"/>
    <x v="365"/>
    <n v="600000"/>
    <n v="750000"/>
    <n v="900000"/>
    <n v="1200000"/>
    <n v="1.5553716666666666"/>
    <s v="150-200%"/>
    <n v="78000"/>
    <n v="28500"/>
    <n v="34500"/>
    <n v="9966.9"/>
    <n v="0"/>
    <n v="150966.9"/>
    <n v="230733.9"/>
    <n v="90000"/>
    <n v="27000"/>
    <n v="37500"/>
    <n v="9966.9"/>
    <n v="0"/>
    <n v="164466.9"/>
    <n v="244233.9"/>
  </r>
  <r>
    <n v="1918356416"/>
    <s v="Bea"/>
    <s v="Gofton"/>
    <x v="366"/>
    <x v="2"/>
    <n v="114671"/>
    <n v="26"/>
    <x v="366"/>
    <n v="750000"/>
    <n v="937500"/>
    <n v="1125000"/>
    <n v="1500000"/>
    <n v="1.2721733333333334"/>
    <s v="125-150%"/>
    <n v="112500"/>
    <n v="28125"/>
    <n v="2993.4"/>
    <n v="0"/>
    <n v="0"/>
    <n v="143618.4"/>
    <n v="258289.4"/>
    <n v="112500"/>
    <n v="41250"/>
    <n v="4157.5"/>
    <n v="0"/>
    <n v="0"/>
    <n v="157907.5"/>
    <n v="272578.5"/>
  </r>
  <r>
    <n v="3824197065"/>
    <s v="Orland"/>
    <s v="Gommery"/>
    <x v="367"/>
    <x v="2"/>
    <n v="81431"/>
    <n v="22"/>
    <x v="367"/>
    <n v="750000"/>
    <n v="937500"/>
    <n v="1125000"/>
    <n v="1500000"/>
    <n v="1.0193746666666668"/>
    <s v="100-125%"/>
    <n v="112500"/>
    <n v="2179.65"/>
    <n v="0"/>
    <n v="0"/>
    <n v="0"/>
    <n v="114679.65"/>
    <n v="196110.65"/>
    <n v="112500"/>
    <n v="3196.82"/>
    <n v="0"/>
    <n v="0"/>
    <n v="0"/>
    <n v="115696.82"/>
    <n v="197127.82"/>
  </r>
  <r>
    <n v="899126162"/>
    <s v="Nolie"/>
    <s v="Gonnin"/>
    <x v="368"/>
    <x v="1"/>
    <n v="61001"/>
    <n v="21"/>
    <x v="368"/>
    <n v="600000"/>
    <n v="750000"/>
    <n v="900000"/>
    <n v="1200000"/>
    <n v="1.159635"/>
    <s v="100-125%"/>
    <n v="78000"/>
    <n v="14367.15"/>
    <n v="0"/>
    <n v="0"/>
    <n v="0"/>
    <n v="92367.15"/>
    <n v="153368.15"/>
    <n v="90000"/>
    <n v="17240.579999999998"/>
    <n v="0"/>
    <n v="0"/>
    <n v="0"/>
    <n v="107240.58"/>
    <n v="168241.58000000002"/>
  </r>
  <r>
    <n v="2411473303"/>
    <s v="Ivan"/>
    <s v="Gonzalo"/>
    <x v="369"/>
    <x v="1"/>
    <n v="76803"/>
    <n v="14"/>
    <x v="369"/>
    <n v="600000"/>
    <n v="750000"/>
    <n v="900000"/>
    <n v="1200000"/>
    <n v="0.80123500000000003"/>
    <s v="0-100%"/>
    <n v="62496.33"/>
    <n v="0"/>
    <n v="0"/>
    <n v="0"/>
    <n v="0"/>
    <n v="62496.33"/>
    <n v="139299.33000000002"/>
    <n v="72111.149999999994"/>
    <n v="0"/>
    <n v="0"/>
    <n v="0"/>
    <n v="0"/>
    <n v="72111.149999999994"/>
    <n v="148914.15"/>
  </r>
  <r>
    <n v="2074776004"/>
    <s v="Salli"/>
    <s v="Gooda"/>
    <x v="370"/>
    <x v="1"/>
    <n v="77087"/>
    <n v="21"/>
    <x v="370"/>
    <n v="600000"/>
    <n v="750000"/>
    <n v="900000"/>
    <n v="1200000"/>
    <n v="1.3429433333333334"/>
    <s v="125-150%"/>
    <n v="78000"/>
    <n v="25500.000000000004"/>
    <n v="11710.859999999999"/>
    <n v="0"/>
    <n v="0"/>
    <n v="115210.86"/>
    <n v="192297.86"/>
    <n v="90000"/>
    <n v="27000"/>
    <n v="13941.5"/>
    <n v="0"/>
    <n v="0"/>
    <n v="130941.5"/>
    <n v="208028.5"/>
  </r>
  <r>
    <n v="9829586073"/>
    <s v="Cordelia"/>
    <s v="Goodered"/>
    <x v="371"/>
    <x v="2"/>
    <n v="88725"/>
    <n v="23"/>
    <x v="371"/>
    <n v="750000"/>
    <n v="937500"/>
    <n v="1125000"/>
    <n v="1500000"/>
    <n v="1.0227520000000001"/>
    <s v="100-125%"/>
    <n v="112500"/>
    <n v="2900.88"/>
    <n v="0"/>
    <n v="0"/>
    <n v="0"/>
    <n v="115400.88"/>
    <n v="204125.88"/>
    <n v="112500"/>
    <n v="3754.08"/>
    <n v="0"/>
    <n v="0"/>
    <n v="0"/>
    <n v="116254.08"/>
    <n v="204979.08000000002"/>
  </r>
  <r>
    <n v="4525743115"/>
    <s v="Pablo"/>
    <s v="Goodhand"/>
    <x v="372"/>
    <x v="2"/>
    <n v="96928"/>
    <n v="25"/>
    <x v="372"/>
    <n v="750000"/>
    <n v="937500"/>
    <n v="1125000"/>
    <n v="1500000"/>
    <n v="1.2507173333333332"/>
    <s v="125-150%"/>
    <n v="112500"/>
    <n v="28125"/>
    <n v="96.84"/>
    <n v="0"/>
    <n v="0"/>
    <n v="140721.84"/>
    <n v="237649.84"/>
    <n v="112500"/>
    <n v="41250"/>
    <n v="134.5"/>
    <n v="0"/>
    <n v="0"/>
    <n v="153884.5"/>
    <n v="250812.5"/>
  </r>
  <r>
    <n v="8460683117"/>
    <s v="Jonathon"/>
    <s v="Goodrum"/>
    <x v="373"/>
    <x v="2"/>
    <n v="117035"/>
    <n v="23"/>
    <x v="373"/>
    <n v="750000"/>
    <n v="937500"/>
    <n v="1125000"/>
    <n v="1500000"/>
    <n v="1.1912426666666667"/>
    <s v="100-125%"/>
    <n v="112500"/>
    <n v="27252.080000000002"/>
    <n v="0"/>
    <n v="0"/>
    <n v="0"/>
    <n v="139752.08000000002"/>
    <n v="256787.08000000002"/>
    <n v="112500"/>
    <n v="31555.040000000001"/>
    <n v="0"/>
    <n v="0"/>
    <n v="0"/>
    <n v="144055.04000000001"/>
    <n v="261090.04"/>
  </r>
  <r>
    <n v="8550875457"/>
    <s v="Darnall"/>
    <s v="Goodship"/>
    <x v="374"/>
    <x v="0"/>
    <n v="32108"/>
    <n v="14"/>
    <x v="374"/>
    <n v="500000"/>
    <n v="625000"/>
    <n v="750000"/>
    <n v="1000000"/>
    <n v="1.1030260000000001"/>
    <s v="100-125%"/>
    <n v="50000"/>
    <n v="8757.2100000000009"/>
    <n v="0"/>
    <n v="0"/>
    <n v="0"/>
    <n v="58757.21"/>
    <n v="90865.209999999992"/>
    <n v="60000"/>
    <n v="8757.2100000000009"/>
    <n v="0"/>
    <n v="0"/>
    <n v="0"/>
    <n v="68757.210000000006"/>
    <n v="100865.21"/>
  </r>
  <r>
    <n v="7033916019"/>
    <s v="Jaquenetta"/>
    <s v="Gorelli"/>
    <x v="375"/>
    <x v="1"/>
    <n v="57801"/>
    <n v="9"/>
    <x v="375"/>
    <n v="600000"/>
    <n v="750000"/>
    <n v="900000"/>
    <n v="1200000"/>
    <n v="0.46201500000000001"/>
    <s v="0-100%"/>
    <n v="36037.17"/>
    <n v="0"/>
    <n v="0"/>
    <n v="0"/>
    <n v="0"/>
    <n v="36037.17"/>
    <n v="93838.17"/>
    <n v="41581.35"/>
    <n v="0"/>
    <n v="0"/>
    <n v="0"/>
    <n v="0"/>
    <n v="41581.35"/>
    <n v="99382.35"/>
  </r>
  <r>
    <n v="325547246"/>
    <s v="Murdock"/>
    <s v="Gorton"/>
    <x v="376"/>
    <x v="2"/>
    <n v="89591"/>
    <n v="25"/>
    <x v="376"/>
    <n v="750000"/>
    <n v="937500"/>
    <n v="1125000"/>
    <n v="1500000"/>
    <n v="1.311124"/>
    <s v="125-150%"/>
    <n v="112500"/>
    <n v="31875.000000000004"/>
    <n v="9627.0299999999988"/>
    <n v="0"/>
    <n v="0"/>
    <n v="154002.03"/>
    <n v="243593.03"/>
    <n v="112500"/>
    <n v="41250"/>
    <n v="11460.75"/>
    <n v="0"/>
    <n v="0"/>
    <n v="165210.75"/>
    <n v="254801.75"/>
  </r>
  <r>
    <n v="806065796"/>
    <s v="Verine"/>
    <s v="Gouldstone"/>
    <x v="377"/>
    <x v="2"/>
    <n v="109896"/>
    <n v="17"/>
    <x v="377"/>
    <n v="750000"/>
    <n v="937500"/>
    <n v="1125000"/>
    <n v="1500000"/>
    <n v="0.82612133333333337"/>
    <s v="0-100%"/>
    <n v="92938.65"/>
    <n v="0"/>
    <n v="0"/>
    <n v="0"/>
    <n v="0"/>
    <n v="92938.65"/>
    <n v="202834.65"/>
    <n v="92938.65"/>
    <n v="0"/>
    <n v="0"/>
    <n v="0"/>
    <n v="0"/>
    <n v="92938.65"/>
    <n v="202834.65"/>
  </r>
  <r>
    <n v="3000763902"/>
    <s v="Elbertina"/>
    <s v="Gounet"/>
    <x v="378"/>
    <x v="2"/>
    <n v="109550"/>
    <n v="26"/>
    <x v="378"/>
    <n v="750000"/>
    <n v="937500"/>
    <n v="1125000"/>
    <n v="1500000"/>
    <n v="1.2912520000000001"/>
    <s v="125-150%"/>
    <n v="112500"/>
    <n v="28125"/>
    <n v="5569.0199999999995"/>
    <n v="0"/>
    <n v="0"/>
    <n v="146194.01999999999"/>
    <n v="255744.02"/>
    <n v="112500"/>
    <n v="41250"/>
    <n v="7734.75"/>
    <n v="0"/>
    <n v="0"/>
    <n v="161484.75"/>
    <n v="271034.75"/>
  </r>
  <r>
    <n v="3040116061"/>
    <s v="Antonina"/>
    <s v="Grammer"/>
    <x v="379"/>
    <x v="1"/>
    <n v="65836"/>
    <n v="21"/>
    <x v="379"/>
    <n v="600000"/>
    <n v="750000"/>
    <n v="900000"/>
    <n v="1200000"/>
    <n v="1.2707966666666666"/>
    <s v="125-150%"/>
    <n v="78000"/>
    <n v="28500"/>
    <n v="2869.94"/>
    <n v="0"/>
    <n v="0"/>
    <n v="109369.94"/>
    <n v="175205.94"/>
    <n v="90000"/>
    <n v="27000"/>
    <n v="3119.5"/>
    <n v="0"/>
    <n v="0"/>
    <n v="120119.5"/>
    <n v="185955.5"/>
  </r>
  <r>
    <n v="8682006391"/>
    <s v="Nicola"/>
    <s v="Granleese"/>
    <x v="380"/>
    <x v="1"/>
    <n v="63897"/>
    <n v="19"/>
    <x v="380"/>
    <n v="600000"/>
    <n v="750000"/>
    <n v="900000"/>
    <n v="1200000"/>
    <n v="1.2445466666666667"/>
    <s v="100-125%"/>
    <n v="78000"/>
    <n v="22009.200000000001"/>
    <n v="0"/>
    <n v="0"/>
    <n v="0"/>
    <n v="100009.2"/>
    <n v="163906.20000000001"/>
    <n v="90000"/>
    <n v="26411.039999999997"/>
    <n v="0"/>
    <n v="0"/>
    <n v="0"/>
    <n v="116411.04"/>
    <n v="180308.03999999998"/>
  </r>
  <r>
    <n v="2497321256"/>
    <s v="Brandi"/>
    <s v="Gratton"/>
    <x v="381"/>
    <x v="2"/>
    <n v="95857"/>
    <n v="28"/>
    <x v="381"/>
    <n v="750000"/>
    <n v="937500"/>
    <n v="1125000"/>
    <n v="1500000"/>
    <n v="1.4325680000000001"/>
    <s v="125-150%"/>
    <n v="112500"/>
    <n v="35625"/>
    <n v="31492.98"/>
    <n v="0"/>
    <n v="0"/>
    <n v="179617.98"/>
    <n v="275474.98"/>
    <n v="112500"/>
    <n v="41250"/>
    <n v="34231.5"/>
    <n v="0"/>
    <n v="0"/>
    <n v="187981.5"/>
    <n v="283838.5"/>
  </r>
  <r>
    <n v="9885165231"/>
    <s v="Andros"/>
    <s v="Graveson"/>
    <x v="382"/>
    <x v="2"/>
    <n v="113819"/>
    <n v="26"/>
    <x v="382"/>
    <n v="750000"/>
    <n v="937500"/>
    <n v="1125000"/>
    <n v="1500000"/>
    <n v="1.15384"/>
    <s v="100-125%"/>
    <n v="112500"/>
    <n v="19614.600000000002"/>
    <n v="0"/>
    <n v="0"/>
    <n v="0"/>
    <n v="132114.6"/>
    <n v="245933.6"/>
    <n v="112500"/>
    <n v="25383.599999999999"/>
    <n v="0"/>
    <n v="0"/>
    <n v="0"/>
    <n v="137883.6"/>
    <n v="251702.6"/>
  </r>
  <r>
    <n v="7775126329"/>
    <s v="Peggie"/>
    <s v="Grayland"/>
    <x v="383"/>
    <x v="0"/>
    <n v="30158"/>
    <n v="17"/>
    <x v="383"/>
    <n v="500000"/>
    <n v="625000"/>
    <n v="750000"/>
    <n v="1000000"/>
    <n v="1.0888739999999999"/>
    <s v="100-125%"/>
    <n v="50000"/>
    <n v="6665.55"/>
    <n v="0"/>
    <n v="0"/>
    <n v="0"/>
    <n v="56665.55"/>
    <n v="86823.55"/>
    <n v="60000"/>
    <n v="7554.2900000000009"/>
    <n v="0"/>
    <n v="0"/>
    <n v="0"/>
    <n v="67554.290000000008"/>
    <n v="97712.290000000008"/>
  </r>
  <r>
    <n v="7516977292"/>
    <s v="Geoff"/>
    <s v="Greenmon"/>
    <x v="384"/>
    <x v="2"/>
    <n v="89295"/>
    <n v="18"/>
    <x v="384"/>
    <n v="750000"/>
    <n v="937500"/>
    <n v="1125000"/>
    <n v="1500000"/>
    <n v="0.89229333333333338"/>
    <s v="0-100%"/>
    <n v="100383"/>
    <n v="0"/>
    <n v="0"/>
    <n v="0"/>
    <n v="0"/>
    <n v="100383"/>
    <n v="189678"/>
    <n v="100383"/>
    <n v="0"/>
    <n v="0"/>
    <n v="0"/>
    <n v="0"/>
    <n v="100383"/>
    <n v="189678"/>
  </r>
  <r>
    <n v="3867281491"/>
    <s v="Phillipe"/>
    <s v="Greenroyd"/>
    <x v="385"/>
    <x v="0"/>
    <n v="44350"/>
    <n v="19"/>
    <x v="385"/>
    <n v="500000"/>
    <n v="625000"/>
    <n v="750000"/>
    <n v="1000000"/>
    <n v="1.4447779999999999"/>
    <s v="125-150%"/>
    <n v="50000"/>
    <n v="23750"/>
    <n v="22399.47"/>
    <n v="0"/>
    <n v="0"/>
    <n v="96149.47"/>
    <n v="140499.47"/>
    <n v="60000"/>
    <n v="21250"/>
    <n v="19477.8"/>
    <n v="0"/>
    <n v="0"/>
    <n v="100727.8"/>
    <n v="145077.79999999999"/>
  </r>
  <r>
    <n v="3877279783"/>
    <s v="Shayne"/>
    <s v="Greensall"/>
    <x v="386"/>
    <x v="1"/>
    <n v="61805"/>
    <n v="22"/>
    <x v="386"/>
    <n v="600000"/>
    <n v="750000"/>
    <n v="900000"/>
    <n v="1200000"/>
    <n v="1.1324700000000001"/>
    <s v="100-125%"/>
    <n v="78000"/>
    <n v="11922.3"/>
    <n v="0"/>
    <n v="0"/>
    <n v="0"/>
    <n v="89922.3"/>
    <n v="151727.29999999999"/>
    <n v="90000"/>
    <n v="14306.76"/>
    <n v="0"/>
    <n v="0"/>
    <n v="0"/>
    <n v="104306.76"/>
    <n v="166111.76"/>
  </r>
  <r>
    <n v="8350412399"/>
    <s v="Meg"/>
    <s v="Greensides"/>
    <x v="387"/>
    <x v="2"/>
    <n v="85407"/>
    <n v="11"/>
    <x v="387"/>
    <n v="750000"/>
    <n v="937500"/>
    <n v="1125000"/>
    <n v="1500000"/>
    <n v="0.387764"/>
    <s v="0-100%"/>
    <n v="43623.45"/>
    <n v="0"/>
    <n v="0"/>
    <n v="0"/>
    <n v="0"/>
    <n v="43623.45"/>
    <n v="129030.45"/>
    <n v="43623.45"/>
    <n v="0"/>
    <n v="0"/>
    <n v="0"/>
    <n v="0"/>
    <n v="43623.45"/>
    <n v="129030.45"/>
  </r>
  <r>
    <n v="4453705328"/>
    <s v="Stephan"/>
    <s v="Greeve"/>
    <x v="388"/>
    <x v="1"/>
    <n v="57398"/>
    <n v="23"/>
    <x v="388"/>
    <n v="600000"/>
    <n v="750000"/>
    <n v="900000"/>
    <n v="1200000"/>
    <n v="1.3909533333333333"/>
    <s v="125-150%"/>
    <n v="78000"/>
    <n v="22500"/>
    <n v="15222.96"/>
    <n v="0"/>
    <n v="0"/>
    <n v="115722.95999999999"/>
    <n v="173120.96"/>
    <n v="90000"/>
    <n v="27000"/>
    <n v="21143"/>
    <n v="0"/>
    <n v="0"/>
    <n v="138143"/>
    <n v="195541"/>
  </r>
  <r>
    <n v="9854387496"/>
    <s v="Kaitlin"/>
    <s v="Greeveson"/>
    <x v="389"/>
    <x v="2"/>
    <n v="120820"/>
    <n v="26"/>
    <x v="389"/>
    <n v="750000"/>
    <n v="937500"/>
    <n v="1125000"/>
    <n v="1500000"/>
    <n v="1.2757093333333334"/>
    <s v="125-150%"/>
    <n v="112500"/>
    <n v="28125"/>
    <n v="3470.7599999999998"/>
    <n v="0"/>
    <n v="0"/>
    <n v="144095.76"/>
    <n v="264915.76"/>
    <n v="112500"/>
    <n v="41250"/>
    <n v="4820.5"/>
    <n v="0"/>
    <n v="0"/>
    <n v="158570.5"/>
    <n v="279390.5"/>
  </r>
  <r>
    <n v="3772653790"/>
    <s v="Trevor"/>
    <s v="Greschik"/>
    <x v="390"/>
    <x v="1"/>
    <n v="68355"/>
    <n v="22"/>
    <x v="390"/>
    <n v="600000"/>
    <n v="750000"/>
    <n v="900000"/>
    <n v="1200000"/>
    <n v="1.463265"/>
    <s v="125-150%"/>
    <n v="78000"/>
    <n v="25500.000000000004"/>
    <n v="26871.39"/>
    <n v="0"/>
    <n v="0"/>
    <n v="130371.39"/>
    <n v="198726.39"/>
    <n v="90000"/>
    <n v="27000"/>
    <n v="31989.75"/>
    <n v="0"/>
    <n v="0"/>
    <n v="148989.75"/>
    <n v="217344.75"/>
  </r>
  <r>
    <n v="8841637323"/>
    <s v="Madeline"/>
    <s v="Grief"/>
    <x v="391"/>
    <x v="0"/>
    <n v="40631"/>
    <n v="11"/>
    <x v="391"/>
    <n v="500000"/>
    <n v="625000"/>
    <n v="750000"/>
    <n v="1000000"/>
    <n v="0.74398600000000004"/>
    <s v="0-100%"/>
    <n v="37199.300000000003"/>
    <n v="0"/>
    <n v="0"/>
    <n v="0"/>
    <n v="0"/>
    <n v="37199.300000000003"/>
    <n v="77830.3"/>
    <n v="44639.159999999996"/>
    <n v="0"/>
    <n v="0"/>
    <n v="0"/>
    <n v="0"/>
    <n v="44639.159999999996"/>
    <n v="85270.16"/>
  </r>
  <r>
    <n v="4986200380"/>
    <s v="Becki"/>
    <s v="Grigorini"/>
    <x v="392"/>
    <x v="1"/>
    <n v="72309"/>
    <n v="23"/>
    <x v="392"/>
    <n v="600000"/>
    <n v="750000"/>
    <n v="900000"/>
    <n v="1200000"/>
    <n v="1.3413166666666667"/>
    <s v="125-150%"/>
    <n v="78000"/>
    <n v="25500.000000000004"/>
    <n v="11505.9"/>
    <n v="0"/>
    <n v="0"/>
    <n v="115005.9"/>
    <n v="187314.9"/>
    <n v="90000"/>
    <n v="27000"/>
    <n v="13697.5"/>
    <n v="0"/>
    <n v="0"/>
    <n v="130697.5"/>
    <n v="203006.5"/>
  </r>
  <r>
    <n v="3661649302"/>
    <s v="Evania"/>
    <s v="Grime"/>
    <x v="393"/>
    <x v="0"/>
    <n v="59438"/>
    <n v="35"/>
    <x v="393"/>
    <n v="500000"/>
    <n v="625000"/>
    <n v="750000"/>
    <n v="1000000"/>
    <n v="2.393818"/>
    <s v="&gt;200%"/>
    <n v="50000"/>
    <n v="18750"/>
    <n v="22500"/>
    <n v="55000"/>
    <n v="19690.900000000001"/>
    <n v="165940.9"/>
    <n v="225378.9"/>
    <n v="60000"/>
    <n v="21250"/>
    <n v="25000"/>
    <n v="55000"/>
    <n v="19690.900000000001"/>
    <n v="180940.9"/>
    <n v="240378.9"/>
  </r>
  <r>
    <n v="797787712"/>
    <s v="Duffy"/>
    <s v="Grimsdyke"/>
    <x v="394"/>
    <x v="1"/>
    <n v="53868"/>
    <n v="13"/>
    <x v="394"/>
    <n v="600000"/>
    <n v="750000"/>
    <n v="900000"/>
    <n v="1200000"/>
    <n v="0.63771666666666671"/>
    <s v="0-100%"/>
    <n v="49741.9"/>
    <n v="0"/>
    <n v="0"/>
    <n v="0"/>
    <n v="0"/>
    <n v="49741.9"/>
    <n v="103609.9"/>
    <n v="57394.5"/>
    <n v="0"/>
    <n v="0"/>
    <n v="0"/>
    <n v="0"/>
    <n v="57394.5"/>
    <n v="111262.5"/>
  </r>
  <r>
    <n v="3129526900"/>
    <s v="Lionello"/>
    <s v="Grogono"/>
    <x v="395"/>
    <x v="1"/>
    <n v="57123"/>
    <n v="23"/>
    <x v="395"/>
    <n v="600000"/>
    <n v="750000"/>
    <n v="900000"/>
    <n v="1200000"/>
    <n v="1.1037816666666667"/>
    <s v="100-125%"/>
    <n v="78000"/>
    <n v="9340.35"/>
    <n v="0"/>
    <n v="0"/>
    <n v="0"/>
    <n v="87340.35"/>
    <n v="144463.35"/>
    <n v="90000"/>
    <n v="11208.42"/>
    <n v="0"/>
    <n v="0"/>
    <n v="0"/>
    <n v="101208.42"/>
    <n v="158331.41999999998"/>
  </r>
  <r>
    <n v="2376099331"/>
    <s v="Cherye"/>
    <s v="Grunbaum"/>
    <x v="396"/>
    <x v="0"/>
    <n v="40035"/>
    <n v="19"/>
    <x v="396"/>
    <n v="500000"/>
    <n v="625000"/>
    <n v="750000"/>
    <n v="1000000"/>
    <n v="1.271128"/>
    <s v="125-150%"/>
    <n v="50000"/>
    <n v="21250"/>
    <n v="2218.44"/>
    <n v="0"/>
    <n v="0"/>
    <n v="73468.44"/>
    <n v="113503.44"/>
    <n v="60000"/>
    <n v="21250"/>
    <n v="2112.8000000000002"/>
    <n v="0"/>
    <n v="0"/>
    <n v="83362.8"/>
    <n v="123397.8"/>
  </r>
  <r>
    <n v="9264026959"/>
    <s v="Crystie"/>
    <s v="Guerrazzi"/>
    <x v="397"/>
    <x v="1"/>
    <n v="68799"/>
    <n v="20"/>
    <x v="397"/>
    <n v="600000"/>
    <n v="750000"/>
    <n v="900000"/>
    <n v="1200000"/>
    <n v="1.0990249999999999"/>
    <s v="100-125%"/>
    <n v="78000"/>
    <n v="10100.550000000001"/>
    <n v="0"/>
    <n v="0"/>
    <n v="0"/>
    <n v="88100.55"/>
    <n v="156899.54999999999"/>
    <n v="90000"/>
    <n v="10694.699999999999"/>
    <n v="0"/>
    <n v="0"/>
    <n v="0"/>
    <n v="100694.7"/>
    <n v="169493.7"/>
  </r>
  <r>
    <n v="2355104786"/>
    <s v="Roger"/>
    <s v="Guiet"/>
    <x v="398"/>
    <x v="1"/>
    <n v="78796"/>
    <n v="23"/>
    <x v="398"/>
    <n v="600000"/>
    <n v="750000"/>
    <n v="900000"/>
    <n v="1200000"/>
    <n v="1.3129416666666667"/>
    <s v="125-150%"/>
    <n v="78000"/>
    <n v="28500"/>
    <n v="8685.9500000000007"/>
    <n v="0"/>
    <n v="0"/>
    <n v="115185.95"/>
    <n v="193981.95"/>
    <n v="90000"/>
    <n v="27000"/>
    <n v="9441.25"/>
    <n v="0"/>
    <n v="0"/>
    <n v="126441.25"/>
    <n v="205237.25"/>
  </r>
  <r>
    <n v="9002722281"/>
    <s v="Lorianne"/>
    <s v="Guillem"/>
    <x v="399"/>
    <x v="2"/>
    <n v="87491"/>
    <n v="16"/>
    <x v="399"/>
    <n v="750000"/>
    <n v="937500"/>
    <n v="1125000"/>
    <n v="1500000"/>
    <n v="0.71855466666666667"/>
    <s v="0-100%"/>
    <n v="80837.399999999994"/>
    <n v="0"/>
    <n v="0"/>
    <n v="0"/>
    <n v="0"/>
    <n v="80837.399999999994"/>
    <n v="168328.4"/>
    <n v="80837.399999999994"/>
    <n v="0"/>
    <n v="0"/>
    <n v="0"/>
    <n v="0"/>
    <n v="80837.399999999994"/>
    <n v="168328.4"/>
  </r>
  <r>
    <n v="569240891"/>
    <s v="Lowe"/>
    <s v="Guiness"/>
    <x v="400"/>
    <x v="1"/>
    <n v="78823"/>
    <n v="23"/>
    <x v="400"/>
    <n v="600000"/>
    <n v="750000"/>
    <n v="900000"/>
    <n v="1200000"/>
    <n v="1.5849783333333334"/>
    <s v="150-200%"/>
    <n v="78000"/>
    <n v="28500"/>
    <n v="34500"/>
    <n v="15296.099999999999"/>
    <n v="0"/>
    <n v="156296.1"/>
    <n v="235119.1"/>
    <n v="90000"/>
    <n v="27000"/>
    <n v="37500"/>
    <n v="15296.099999999999"/>
    <n v="0"/>
    <n v="169796.1"/>
    <n v="248619.1"/>
  </r>
  <r>
    <n v="4482855448"/>
    <s v="Kristal"/>
    <s v="Guitonneau"/>
    <x v="401"/>
    <x v="0"/>
    <n v="42742"/>
    <n v="19"/>
    <x v="401"/>
    <n v="500000"/>
    <n v="625000"/>
    <n v="750000"/>
    <n v="1000000"/>
    <n v="1.5305660000000001"/>
    <s v="150-200%"/>
    <n v="50000"/>
    <n v="21250"/>
    <n v="26250"/>
    <n v="3973.58"/>
    <n v="0"/>
    <n v="101473.58"/>
    <n v="144215.58000000002"/>
    <n v="60000"/>
    <n v="21250"/>
    <n v="25000"/>
    <n v="3362.26"/>
    <n v="0"/>
    <n v="109612.26"/>
    <n v="152354.26"/>
  </r>
  <r>
    <n v="9916787441"/>
    <s v="Reginauld"/>
    <s v="Gurner"/>
    <x v="402"/>
    <x v="2"/>
    <n v="77795"/>
    <n v="15"/>
    <x v="402"/>
    <n v="750000"/>
    <n v="937500"/>
    <n v="1125000"/>
    <n v="1500000"/>
    <n v="0.60005466666666663"/>
    <s v="0-100%"/>
    <n v="67506.149999999994"/>
    <n v="0"/>
    <n v="0"/>
    <n v="0"/>
    <n v="0"/>
    <n v="67506.149999999994"/>
    <n v="145301.15"/>
    <n v="67506.149999999994"/>
    <n v="0"/>
    <n v="0"/>
    <n v="0"/>
    <n v="0"/>
    <n v="67506.149999999994"/>
    <n v="145301.15"/>
  </r>
  <r>
    <n v="2973481236"/>
    <s v="Cristiano"/>
    <s v="Gyurko"/>
    <x v="403"/>
    <x v="0"/>
    <n v="62190"/>
    <n v="20"/>
    <x v="403"/>
    <n v="500000"/>
    <n v="625000"/>
    <n v="750000"/>
    <n v="1000000"/>
    <n v="1.5273760000000001"/>
    <s v="150-200%"/>
    <n v="50000"/>
    <n v="18750"/>
    <n v="22500"/>
    <n v="3011.36"/>
    <n v="0"/>
    <n v="94261.36"/>
    <n v="156451.35999999999"/>
    <n v="60000"/>
    <n v="21250"/>
    <n v="25000"/>
    <n v="3011.36"/>
    <n v="0"/>
    <n v="109261.36"/>
    <n v="171451.36"/>
  </r>
  <r>
    <n v="7635344498"/>
    <s v="Lenette"/>
    <s v="Gyves"/>
    <x v="404"/>
    <x v="1"/>
    <n v="54966"/>
    <n v="21"/>
    <x v="404"/>
    <n v="600000"/>
    <n v="750000"/>
    <n v="900000"/>
    <n v="1200000"/>
    <n v="1.19055"/>
    <s v="100-125%"/>
    <n v="78000"/>
    <n v="19436.100000000002"/>
    <n v="0"/>
    <n v="0"/>
    <n v="0"/>
    <n v="97436.1"/>
    <n v="152402.1"/>
    <n v="90000"/>
    <n v="20579.399999999998"/>
    <n v="0"/>
    <n v="0"/>
    <n v="0"/>
    <n v="110579.4"/>
    <n v="165545.4"/>
  </r>
  <r>
    <n v="7402856011"/>
    <s v="Michale"/>
    <s v="Hackley"/>
    <x v="405"/>
    <x v="2"/>
    <n v="91174"/>
    <n v="23"/>
    <x v="405"/>
    <n v="750000"/>
    <n v="937500"/>
    <n v="1125000"/>
    <n v="1500000"/>
    <n v="1.2648506666666666"/>
    <s v="125-150%"/>
    <n v="112500"/>
    <n v="35625"/>
    <n v="2561.7400000000002"/>
    <n v="0"/>
    <n v="0"/>
    <n v="150686.74"/>
    <n v="241860.74"/>
    <n v="112500"/>
    <n v="41250"/>
    <n v="2784.5"/>
    <n v="0"/>
    <n v="0"/>
    <n v="156534.5"/>
    <n v="247708.5"/>
  </r>
  <r>
    <n v="2524849899"/>
    <s v="Tani"/>
    <s v="Haddock"/>
    <x v="406"/>
    <x v="2"/>
    <n v="121772"/>
    <n v="21"/>
    <x v="406"/>
    <n v="750000"/>
    <n v="937500"/>
    <n v="1125000"/>
    <n v="1500000"/>
    <n v="0.99687333333333328"/>
    <s v="0-100%"/>
    <n v="112148.25"/>
    <n v="0"/>
    <n v="0"/>
    <n v="0"/>
    <n v="0"/>
    <n v="112148.25"/>
    <n v="233920.25"/>
    <n v="112148.25"/>
    <n v="0"/>
    <n v="0"/>
    <n v="0"/>
    <n v="0"/>
    <n v="112148.25"/>
    <n v="233920.25"/>
  </r>
  <r>
    <n v="8850022085"/>
    <s v="Hanson"/>
    <s v="Hadigate"/>
    <x v="407"/>
    <x v="0"/>
    <n v="52669"/>
    <n v="17"/>
    <x v="407"/>
    <n v="500000"/>
    <n v="625000"/>
    <n v="750000"/>
    <n v="1000000"/>
    <n v="1.1998200000000001"/>
    <s v="100-125%"/>
    <n v="50000"/>
    <n v="16984.7"/>
    <n v="0"/>
    <n v="0"/>
    <n v="0"/>
    <n v="66984.7"/>
    <n v="119653.7"/>
    <n v="60000"/>
    <n v="16984.7"/>
    <n v="0"/>
    <n v="0"/>
    <n v="0"/>
    <n v="76984.7"/>
    <n v="129653.7"/>
  </r>
  <r>
    <n v="6515844751"/>
    <s v="Kristy"/>
    <s v="Hadland"/>
    <x v="408"/>
    <x v="2"/>
    <n v="99622"/>
    <n v="17"/>
    <x v="408"/>
    <n v="750000"/>
    <n v="937500"/>
    <n v="1125000"/>
    <n v="1500000"/>
    <n v="0.73422933333333329"/>
    <s v="0-100%"/>
    <n v="82600.800000000003"/>
    <n v="0"/>
    <n v="0"/>
    <n v="0"/>
    <n v="0"/>
    <n v="82600.800000000003"/>
    <n v="182222.8"/>
    <n v="82600.800000000003"/>
    <n v="0"/>
    <n v="0"/>
    <n v="0"/>
    <n v="0"/>
    <n v="82600.800000000003"/>
    <n v="182222.8"/>
  </r>
  <r>
    <n v="5474718616"/>
    <s v="Kyle"/>
    <s v="Hadlow"/>
    <x v="409"/>
    <x v="1"/>
    <n v="60380"/>
    <n v="17"/>
    <x v="409"/>
    <n v="600000"/>
    <n v="750000"/>
    <n v="900000"/>
    <n v="1200000"/>
    <n v="1.0974216666666667"/>
    <s v="100-125%"/>
    <n v="78000"/>
    <n v="8767.9499999999989"/>
    <n v="0"/>
    <n v="0"/>
    <n v="0"/>
    <n v="86767.95"/>
    <n v="147147.95000000001"/>
    <n v="90000"/>
    <n v="10521.539999999999"/>
    <n v="0"/>
    <n v="0"/>
    <n v="0"/>
    <n v="100521.54"/>
    <n v="160901.53999999998"/>
  </r>
  <r>
    <n v="1841759848"/>
    <s v="Rory"/>
    <s v="Hadwick"/>
    <x v="410"/>
    <x v="0"/>
    <n v="40716"/>
    <n v="13"/>
    <x v="410"/>
    <n v="500000"/>
    <n v="625000"/>
    <n v="750000"/>
    <n v="1000000"/>
    <n v="1.0877060000000001"/>
    <s v="100-125%"/>
    <n v="50000"/>
    <n v="6577.95"/>
    <n v="0"/>
    <n v="0"/>
    <n v="0"/>
    <n v="56577.95"/>
    <n v="97293.95"/>
    <n v="60000"/>
    <n v="7455.01"/>
    <n v="0"/>
    <n v="0"/>
    <n v="0"/>
    <n v="67455.009999999995"/>
    <n v="108171.01"/>
  </r>
  <r>
    <n v="2740930763"/>
    <s v="Matthias"/>
    <s v="Haestier"/>
    <x v="411"/>
    <x v="2"/>
    <n v="123658"/>
    <n v="14"/>
    <x v="411"/>
    <n v="750000"/>
    <n v="937500"/>
    <n v="1125000"/>
    <n v="1500000"/>
    <n v="0.55115466666666668"/>
    <s v="0-100%"/>
    <n v="62004.899999999994"/>
    <n v="0"/>
    <n v="0"/>
    <n v="0"/>
    <n v="0"/>
    <n v="62004.899999999994"/>
    <n v="185662.9"/>
    <n v="62004.899999999994"/>
    <n v="0"/>
    <n v="0"/>
    <n v="0"/>
    <n v="0"/>
    <n v="62004.899999999994"/>
    <n v="185662.9"/>
  </r>
  <r>
    <n v="7625163059"/>
    <s v="Ingar"/>
    <s v="Halpine"/>
    <x v="412"/>
    <x v="1"/>
    <n v="59321"/>
    <n v="22"/>
    <x v="412"/>
    <n v="600000"/>
    <n v="750000"/>
    <n v="900000"/>
    <n v="1200000"/>
    <n v="1.3019166666666666"/>
    <s v="125-150%"/>
    <n v="78000"/>
    <n v="28500"/>
    <n v="7164.5"/>
    <n v="0"/>
    <n v="0"/>
    <n v="113664.5"/>
    <n v="172985.5"/>
    <n v="90000"/>
    <n v="27000"/>
    <n v="7787.5"/>
    <n v="0"/>
    <n v="0"/>
    <n v="124787.5"/>
    <n v="184108.5"/>
  </r>
  <r>
    <n v="146065492"/>
    <s v="Maximilianus"/>
    <s v="Hamlington"/>
    <x v="413"/>
    <x v="2"/>
    <n v="117391"/>
    <n v="14"/>
    <x v="413"/>
    <n v="750000"/>
    <n v="937500"/>
    <n v="1125000"/>
    <n v="1500000"/>
    <n v="0.71648000000000001"/>
    <s v="0-100%"/>
    <n v="80604"/>
    <n v="0"/>
    <n v="0"/>
    <n v="0"/>
    <n v="0"/>
    <n v="80604"/>
    <n v="197995"/>
    <n v="80604"/>
    <n v="0"/>
    <n v="0"/>
    <n v="0"/>
    <n v="0"/>
    <n v="80604"/>
    <n v="197995"/>
  </r>
  <r>
    <n v="3101620996"/>
    <s v="Monique"/>
    <s v="Hammelberg"/>
    <x v="414"/>
    <x v="2"/>
    <n v="96589"/>
    <n v="20"/>
    <x v="414"/>
    <n v="750000"/>
    <n v="937500"/>
    <n v="1125000"/>
    <n v="1500000"/>
    <n v="0.84631466666666666"/>
    <s v="0-100%"/>
    <n v="95210.4"/>
    <n v="0"/>
    <n v="0"/>
    <n v="0"/>
    <n v="0"/>
    <n v="95210.4"/>
    <n v="191799.4"/>
    <n v="95210.4"/>
    <n v="0"/>
    <n v="0"/>
    <n v="0"/>
    <n v="0"/>
    <n v="95210.4"/>
    <n v="191799.4"/>
  </r>
  <r>
    <n v="6734537986"/>
    <s v="Elva"/>
    <s v="Hamsher"/>
    <x v="415"/>
    <x v="0"/>
    <n v="54928"/>
    <n v="19"/>
    <x v="415"/>
    <n v="500000"/>
    <n v="625000"/>
    <n v="750000"/>
    <n v="1000000"/>
    <n v="1.3801559999999999"/>
    <s v="125-150%"/>
    <n v="50000"/>
    <n v="18750"/>
    <n v="11714.039999999999"/>
    <n v="0"/>
    <n v="0"/>
    <n v="80464.039999999994"/>
    <n v="135392.03999999998"/>
    <n v="60000"/>
    <n v="21250"/>
    <n v="13015.6"/>
    <n v="0"/>
    <n v="0"/>
    <n v="94265.600000000006"/>
    <n v="149193.60000000001"/>
  </r>
  <r>
    <n v="9766606919"/>
    <s v="Bernhard"/>
    <s v="Hannan"/>
    <x v="416"/>
    <x v="1"/>
    <n v="76509"/>
    <n v="19"/>
    <x v="416"/>
    <n v="600000"/>
    <n v="750000"/>
    <n v="900000"/>
    <n v="1200000"/>
    <n v="1.1107566666666666"/>
    <s v="100-125%"/>
    <n v="78000"/>
    <n v="11297.18"/>
    <n v="0"/>
    <n v="0"/>
    <n v="0"/>
    <n v="89297.18"/>
    <n v="165806.18"/>
    <n v="90000"/>
    <n v="11961.72"/>
    <n v="0"/>
    <n v="0"/>
    <n v="0"/>
    <n v="101961.72"/>
    <n v="178470.72"/>
  </r>
  <r>
    <n v="9965847037"/>
    <s v="Rossie"/>
    <s v="Harget"/>
    <x v="417"/>
    <x v="1"/>
    <n v="76262"/>
    <n v="23"/>
    <x v="417"/>
    <n v="600000"/>
    <n v="750000"/>
    <n v="900000"/>
    <n v="1200000"/>
    <n v="1.4238616666666666"/>
    <s v="125-150%"/>
    <n v="78000"/>
    <n v="25500.000000000004"/>
    <n v="21906.57"/>
    <n v="0"/>
    <n v="0"/>
    <n v="125406.57"/>
    <n v="201668.57"/>
    <n v="90000"/>
    <n v="27000"/>
    <n v="26079.25"/>
    <n v="0"/>
    <n v="0"/>
    <n v="143079.25"/>
    <n v="219341.25"/>
  </r>
  <r>
    <n v="532074068"/>
    <s v="Leola"/>
    <s v="Harhoff"/>
    <x v="418"/>
    <x v="1"/>
    <n v="58609"/>
    <n v="23"/>
    <x v="418"/>
    <n v="600000"/>
    <n v="750000"/>
    <n v="900000"/>
    <n v="1200000"/>
    <n v="1.2242433333333334"/>
    <s v="100-125%"/>
    <n v="78000"/>
    <n v="22872.820000000003"/>
    <n v="0"/>
    <n v="0"/>
    <n v="0"/>
    <n v="100872.82"/>
    <n v="159481.82"/>
    <n v="90000"/>
    <n v="24218.28"/>
    <n v="0"/>
    <n v="0"/>
    <n v="0"/>
    <n v="114218.28"/>
    <n v="172827.28"/>
  </r>
  <r>
    <n v="7000350199"/>
    <s v="Clemmie"/>
    <s v="Harrap"/>
    <x v="419"/>
    <x v="0"/>
    <n v="46470"/>
    <n v="19"/>
    <x v="419"/>
    <n v="500000"/>
    <n v="625000"/>
    <n v="750000"/>
    <n v="1000000"/>
    <n v="1.450016"/>
    <s v="125-150%"/>
    <n v="50000"/>
    <n v="21250"/>
    <n v="21001.68"/>
    <n v="0"/>
    <n v="0"/>
    <n v="92251.68"/>
    <n v="138721.68"/>
    <n v="60000"/>
    <n v="21250"/>
    <n v="20001.600000000002"/>
    <n v="0"/>
    <n v="0"/>
    <n v="101251.6"/>
    <n v="147721.60000000001"/>
  </r>
  <r>
    <n v="9292607561"/>
    <s v="Delmore"/>
    <s v="Harrild"/>
    <x v="420"/>
    <x v="1"/>
    <n v="77826"/>
    <n v="26"/>
    <x v="420"/>
    <n v="600000"/>
    <n v="750000"/>
    <n v="900000"/>
    <n v="1200000"/>
    <n v="1.6588566666666666"/>
    <s v="150-200%"/>
    <n v="78000"/>
    <n v="22500"/>
    <n v="27000"/>
    <n v="20969.080000000002"/>
    <n v="0"/>
    <n v="148469.08000000002"/>
    <n v="226295.08000000002"/>
    <n v="90000"/>
    <n v="27000"/>
    <n v="37500"/>
    <n v="28594.2"/>
    <n v="0"/>
    <n v="183094.2"/>
    <n v="260920.2"/>
  </r>
  <r>
    <n v="5293354957"/>
    <s v="Melisse"/>
    <s v="Hartill"/>
    <x v="421"/>
    <x v="2"/>
    <n v="122090"/>
    <n v="25"/>
    <x v="421"/>
    <n v="750000"/>
    <n v="937500"/>
    <n v="1125000"/>
    <n v="1500000"/>
    <n v="1.4186226666666666"/>
    <s v="125-150%"/>
    <n v="112500"/>
    <n v="35625"/>
    <n v="29087.41"/>
    <n v="0"/>
    <n v="0"/>
    <n v="177212.41"/>
    <n v="299302.41000000003"/>
    <n v="112500"/>
    <n v="41250"/>
    <n v="31616.75"/>
    <n v="0"/>
    <n v="0"/>
    <n v="185366.75"/>
    <n v="307456.75"/>
  </r>
  <r>
    <n v="9620547551"/>
    <s v="Brewer"/>
    <s v="Hartright"/>
    <x v="422"/>
    <x v="2"/>
    <n v="80719"/>
    <n v="19"/>
    <x v="422"/>
    <n v="750000"/>
    <n v="937500"/>
    <n v="1125000"/>
    <n v="1500000"/>
    <n v="0.72104133333333331"/>
    <s v="0-100%"/>
    <n v="81117.149999999994"/>
    <n v="0"/>
    <n v="0"/>
    <n v="0"/>
    <n v="0"/>
    <n v="81117.149999999994"/>
    <n v="161836.15"/>
    <n v="81117.149999999994"/>
    <n v="0"/>
    <n v="0"/>
    <n v="0"/>
    <n v="0"/>
    <n v="81117.149999999994"/>
    <n v="161836.15"/>
  </r>
  <r>
    <n v="8603912793"/>
    <s v="Idell"/>
    <s v="Haskew"/>
    <x v="423"/>
    <x v="2"/>
    <n v="107802"/>
    <n v="20"/>
    <x v="423"/>
    <n v="750000"/>
    <n v="937500"/>
    <n v="1125000"/>
    <n v="1500000"/>
    <n v="0.88710933333333331"/>
    <s v="0-100%"/>
    <n v="99799.8"/>
    <n v="0"/>
    <n v="0"/>
    <n v="0"/>
    <n v="0"/>
    <n v="99799.8"/>
    <n v="207601.8"/>
    <n v="99799.8"/>
    <n v="0"/>
    <n v="0"/>
    <n v="0"/>
    <n v="0"/>
    <n v="99799.8"/>
    <n v="207601.8"/>
  </r>
  <r>
    <n v="5764488419"/>
    <s v="Kelsey"/>
    <s v="Hassur"/>
    <x v="424"/>
    <x v="2"/>
    <n v="113526"/>
    <n v="22"/>
    <x v="424"/>
    <n v="750000"/>
    <n v="937500"/>
    <n v="1125000"/>
    <n v="1500000"/>
    <n v="0.88131066666666669"/>
    <s v="0-100%"/>
    <n v="99147.45"/>
    <n v="0"/>
    <n v="0"/>
    <n v="0"/>
    <n v="0"/>
    <n v="99147.45"/>
    <n v="212673.45"/>
    <n v="99147.45"/>
    <n v="0"/>
    <n v="0"/>
    <n v="0"/>
    <n v="0"/>
    <n v="99147.45"/>
    <n v="212673.45"/>
  </r>
  <r>
    <n v="2592292012"/>
    <s v="Thatcher"/>
    <s v="Haug"/>
    <x v="425"/>
    <x v="0"/>
    <n v="40895"/>
    <n v="26"/>
    <x v="425"/>
    <n v="500000"/>
    <n v="625000"/>
    <n v="750000"/>
    <n v="1000000"/>
    <n v="1.604068"/>
    <s v="150-200%"/>
    <n v="50000"/>
    <n v="23750"/>
    <n v="28750"/>
    <n v="15610.199999999999"/>
    <n v="0"/>
    <n v="118110.2"/>
    <n v="159005.20000000001"/>
    <n v="60000"/>
    <n v="21250"/>
    <n v="25000"/>
    <n v="11447.48"/>
    <n v="0"/>
    <n v="117697.48"/>
    <n v="158592.47999999998"/>
  </r>
  <r>
    <n v="4716524892"/>
    <s v="Basilius"/>
    <s v="Hawlgarth"/>
    <x v="426"/>
    <x v="1"/>
    <n v="79201"/>
    <n v="29"/>
    <x v="426"/>
    <n v="600000"/>
    <n v="750000"/>
    <n v="900000"/>
    <n v="1200000"/>
    <n v="1.8208883333333334"/>
    <s v="150-200%"/>
    <n v="78000"/>
    <n v="28500"/>
    <n v="34500"/>
    <n v="57759.9"/>
    <n v="0"/>
    <n v="198759.9"/>
    <n v="277960.90000000002"/>
    <n v="90000"/>
    <n v="27000"/>
    <n v="37500"/>
    <n v="57759.9"/>
    <n v="0"/>
    <n v="212259.9"/>
    <n v="291460.90000000002"/>
  </r>
  <r>
    <n v="2659144249"/>
    <s v="Baird"/>
    <s v="Hayhow"/>
    <x v="427"/>
    <x v="1"/>
    <n v="59822"/>
    <n v="23"/>
    <x v="427"/>
    <n v="600000"/>
    <n v="750000"/>
    <n v="900000"/>
    <n v="1200000"/>
    <n v="1.4531966666666667"/>
    <s v="125-150%"/>
    <n v="78000"/>
    <n v="22500"/>
    <n v="21945.239999999998"/>
    <n v="0"/>
    <n v="0"/>
    <n v="122445.23999999999"/>
    <n v="182267.24"/>
    <n v="90000"/>
    <n v="27000"/>
    <n v="30479.5"/>
    <n v="0"/>
    <n v="0"/>
    <n v="147479.5"/>
    <n v="207301.5"/>
  </r>
  <r>
    <n v="9328457335"/>
    <s v="Faustine"/>
    <s v="Hayward"/>
    <x v="428"/>
    <x v="0"/>
    <n v="48929"/>
    <n v="22"/>
    <x v="428"/>
    <n v="500000"/>
    <n v="625000"/>
    <n v="750000"/>
    <n v="1000000"/>
    <n v="1.6293299999999999"/>
    <s v="150-200%"/>
    <n v="50000"/>
    <n v="21250"/>
    <n v="26250"/>
    <n v="16812.900000000001"/>
    <n v="0"/>
    <n v="114312.9"/>
    <n v="163241.9"/>
    <n v="60000"/>
    <n v="21250"/>
    <n v="25000"/>
    <n v="14226.3"/>
    <n v="0"/>
    <n v="120476.3"/>
    <n v="169405.3"/>
  </r>
  <r>
    <n v="3580617389"/>
    <s v="Demetris"/>
    <s v="Hazlegrove"/>
    <x v="429"/>
    <x v="0"/>
    <n v="30231"/>
    <n v="18"/>
    <x v="429"/>
    <n v="500000"/>
    <n v="625000"/>
    <n v="750000"/>
    <n v="1000000"/>
    <n v="1.155354"/>
    <s v="100-125%"/>
    <n v="50000"/>
    <n v="14758.630000000001"/>
    <n v="0"/>
    <n v="0"/>
    <n v="0"/>
    <n v="64758.630000000005"/>
    <n v="94989.63"/>
    <n v="60000"/>
    <n v="13205.09"/>
    <n v="0"/>
    <n v="0"/>
    <n v="0"/>
    <n v="73205.09"/>
    <n v="103436.09"/>
  </r>
  <r>
    <n v="4839119791"/>
    <s v="Kalindi"/>
    <s v="Hedin"/>
    <x v="430"/>
    <x v="2"/>
    <n v="80045"/>
    <n v="19"/>
    <x v="430"/>
    <n v="750000"/>
    <n v="937500"/>
    <n v="1125000"/>
    <n v="1500000"/>
    <n v="0.83522666666666667"/>
    <s v="0-100%"/>
    <n v="93963"/>
    <n v="0"/>
    <n v="0"/>
    <n v="0"/>
    <n v="0"/>
    <n v="93963"/>
    <n v="174008"/>
    <n v="93963"/>
    <n v="0"/>
    <n v="0"/>
    <n v="0"/>
    <n v="0"/>
    <n v="93963"/>
    <n v="174008"/>
  </r>
  <r>
    <n v="5828678620"/>
    <s v="Kitti"/>
    <s v="Hedworth"/>
    <x v="431"/>
    <x v="0"/>
    <n v="52885"/>
    <n v="25"/>
    <x v="431"/>
    <n v="500000"/>
    <n v="625000"/>
    <n v="750000"/>
    <n v="1000000"/>
    <n v="1.7204839999999999"/>
    <s v="150-200%"/>
    <n v="50000"/>
    <n v="18750"/>
    <n v="22500"/>
    <n v="24253.24"/>
    <n v="0"/>
    <n v="115503.24"/>
    <n v="168388.24"/>
    <n v="60000"/>
    <n v="21250"/>
    <n v="25000"/>
    <n v="24253.24"/>
    <n v="0"/>
    <n v="130503.24"/>
    <n v="183388.24"/>
  </r>
  <r>
    <n v="701563818"/>
    <s v="Skell"/>
    <s v="Heijne"/>
    <x v="432"/>
    <x v="2"/>
    <n v="99084"/>
    <n v="25"/>
    <x v="432"/>
    <n v="750000"/>
    <n v="937500"/>
    <n v="1125000"/>
    <n v="1500000"/>
    <n v="1.1869866666666666"/>
    <s v="100-125%"/>
    <n v="112500"/>
    <n v="26645.599999999999"/>
    <n v="0"/>
    <n v="0"/>
    <n v="0"/>
    <n v="139145.60000000001"/>
    <n v="238229.6"/>
    <n v="112500"/>
    <n v="30852.799999999999"/>
    <n v="0"/>
    <n v="0"/>
    <n v="0"/>
    <n v="143352.79999999999"/>
    <n v="242436.8"/>
  </r>
  <r>
    <n v="2417008025"/>
    <s v="Tori"/>
    <s v="Helis"/>
    <x v="433"/>
    <x v="1"/>
    <n v="74012"/>
    <n v="17"/>
    <x v="433"/>
    <n v="600000"/>
    <n v="750000"/>
    <n v="900000"/>
    <n v="1200000"/>
    <n v="1.022205"/>
    <s v="100-125%"/>
    <n v="78000"/>
    <n v="1998.4499999999998"/>
    <n v="0"/>
    <n v="0"/>
    <n v="0"/>
    <n v="79998.45"/>
    <n v="154010.45000000001"/>
    <n v="90000"/>
    <n v="2398.14"/>
    <n v="0"/>
    <n v="0"/>
    <n v="0"/>
    <n v="92398.14"/>
    <n v="166410.14000000001"/>
  </r>
  <r>
    <n v="4085082426"/>
    <s v="Clarke"/>
    <s v="Hemphall"/>
    <x v="434"/>
    <x v="1"/>
    <n v="64047"/>
    <n v="28"/>
    <x v="434"/>
    <n v="600000"/>
    <n v="750000"/>
    <n v="900000"/>
    <n v="1200000"/>
    <n v="1.6702083333333333"/>
    <s v="150-200%"/>
    <n v="78000"/>
    <n v="22500"/>
    <n v="27000"/>
    <n v="22467.5"/>
    <n v="0"/>
    <n v="149967.5"/>
    <n v="214014.5"/>
    <n v="90000"/>
    <n v="27000"/>
    <n v="37500"/>
    <n v="30637.5"/>
    <n v="0"/>
    <n v="185137.5"/>
    <n v="249184.5"/>
  </r>
  <r>
    <n v="7707009371"/>
    <s v="Orel"/>
    <s v="Henrie"/>
    <x v="435"/>
    <x v="2"/>
    <n v="119934"/>
    <n v="16"/>
    <x v="435"/>
    <n v="750000"/>
    <n v="937500"/>
    <n v="1125000"/>
    <n v="1500000"/>
    <n v="0.68133866666666665"/>
    <s v="0-100%"/>
    <n v="76650.599999999991"/>
    <n v="0"/>
    <n v="0"/>
    <n v="0"/>
    <n v="0"/>
    <n v="76650.599999999991"/>
    <n v="196584.59999999998"/>
    <n v="76650.599999999991"/>
    <n v="0"/>
    <n v="0"/>
    <n v="0"/>
    <n v="0"/>
    <n v="76650.599999999991"/>
    <n v="196584.59999999998"/>
  </r>
  <r>
    <n v="5811999097"/>
    <s v="Terry"/>
    <s v="Hess"/>
    <x v="436"/>
    <x v="0"/>
    <n v="41580"/>
    <n v="18"/>
    <x v="436"/>
    <n v="500000"/>
    <n v="625000"/>
    <n v="750000"/>
    <n v="1000000"/>
    <n v="1.2824500000000001"/>
    <s v="125-150%"/>
    <n v="50000"/>
    <n v="21250"/>
    <n v="3407.25"/>
    <n v="0"/>
    <n v="0"/>
    <n v="74657.25"/>
    <n v="116237.25"/>
    <n v="60000"/>
    <n v="21250"/>
    <n v="3245"/>
    <n v="0"/>
    <n v="0"/>
    <n v="84495"/>
    <n v="126075"/>
  </r>
  <r>
    <n v="5903124704"/>
    <s v="Renaud"/>
    <s v="Highwood"/>
    <x v="437"/>
    <x v="2"/>
    <n v="117483"/>
    <n v="26"/>
    <x v="437"/>
    <n v="750000"/>
    <n v="937500"/>
    <n v="1125000"/>
    <n v="1500000"/>
    <n v="1.1808653333333334"/>
    <s v="100-125%"/>
    <n v="112500"/>
    <n v="23060.33"/>
    <n v="0"/>
    <n v="0"/>
    <n v="0"/>
    <n v="135560.33000000002"/>
    <n v="253043.33000000002"/>
    <n v="112500"/>
    <n v="29842.78"/>
    <n v="0"/>
    <n v="0"/>
    <n v="0"/>
    <n v="142342.78"/>
    <n v="259825.78"/>
  </r>
  <r>
    <n v="893122882"/>
    <s v="Reeta"/>
    <s v="Hildred"/>
    <x v="438"/>
    <x v="2"/>
    <n v="103112"/>
    <n v="20"/>
    <x v="438"/>
    <n v="750000"/>
    <n v="937500"/>
    <n v="1125000"/>
    <n v="1500000"/>
    <n v="0.85084400000000004"/>
    <s v="0-100%"/>
    <n v="95719.95"/>
    <n v="0"/>
    <n v="0"/>
    <n v="0"/>
    <n v="0"/>
    <n v="95719.95"/>
    <n v="198831.95"/>
    <n v="95719.95"/>
    <n v="0"/>
    <n v="0"/>
    <n v="0"/>
    <n v="0"/>
    <n v="95719.95"/>
    <n v="198831.95"/>
  </r>
  <r>
    <n v="5764917026"/>
    <s v="Trisha"/>
    <s v="Hinchshaw"/>
    <x v="439"/>
    <x v="0"/>
    <n v="37046"/>
    <n v="21"/>
    <x v="439"/>
    <n v="500000"/>
    <n v="625000"/>
    <n v="750000"/>
    <n v="1000000"/>
    <n v="1.1993419999999999"/>
    <s v="100-125%"/>
    <n v="50000"/>
    <n v="18937.490000000002"/>
    <n v="0"/>
    <n v="0"/>
    <n v="0"/>
    <n v="68937.490000000005"/>
    <n v="105983.49"/>
    <n v="60000"/>
    <n v="16944.07"/>
    <n v="0"/>
    <n v="0"/>
    <n v="0"/>
    <n v="76944.070000000007"/>
    <n v="113990.07"/>
  </r>
  <r>
    <n v="3806430489"/>
    <s v="Darsey"/>
    <s v="Hooban"/>
    <x v="440"/>
    <x v="1"/>
    <n v="72117"/>
    <n v="23"/>
    <x v="440"/>
    <n v="600000"/>
    <n v="750000"/>
    <n v="900000"/>
    <n v="1200000"/>
    <n v="1.3252550000000001"/>
    <s v="125-150%"/>
    <n v="78000"/>
    <n v="28500"/>
    <n v="10385.19"/>
    <n v="0"/>
    <n v="0"/>
    <n v="116885.19"/>
    <n v="189002.19"/>
    <n v="90000"/>
    <n v="27000"/>
    <n v="11288.25"/>
    <n v="0"/>
    <n v="0"/>
    <n v="128288.25"/>
    <n v="200405.25"/>
  </r>
  <r>
    <n v="8267733809"/>
    <s v="Abram"/>
    <s v="Hopfer"/>
    <x v="441"/>
    <x v="0"/>
    <n v="41928"/>
    <n v="18"/>
    <x v="441"/>
    <n v="500000"/>
    <n v="625000"/>
    <n v="750000"/>
    <n v="1000000"/>
    <n v="1.27617"/>
    <s v="125-150%"/>
    <n v="50000"/>
    <n v="23750"/>
    <n v="3009.55"/>
    <n v="0"/>
    <n v="0"/>
    <n v="76759.55"/>
    <n v="118687.55"/>
    <n v="60000"/>
    <n v="21250"/>
    <n v="2617"/>
    <n v="0"/>
    <n v="0"/>
    <n v="83867"/>
    <n v="125795"/>
  </r>
  <r>
    <n v="9008589443"/>
    <s v="Mellicent"/>
    <s v="Hopkyns"/>
    <x v="442"/>
    <x v="1"/>
    <n v="77458"/>
    <n v="18"/>
    <x v="442"/>
    <n v="600000"/>
    <n v="750000"/>
    <n v="900000"/>
    <n v="1200000"/>
    <n v="1.0336733333333334"/>
    <s v="100-125%"/>
    <n v="78000"/>
    <n v="3434.6800000000003"/>
    <n v="0"/>
    <n v="0"/>
    <n v="0"/>
    <n v="81434.679999999993"/>
    <n v="158892.68"/>
    <n v="90000"/>
    <n v="3636.72"/>
    <n v="0"/>
    <n v="0"/>
    <n v="0"/>
    <n v="93636.72"/>
    <n v="171094.72"/>
  </r>
  <r>
    <n v="37593587"/>
    <s v="Antonella"/>
    <s v="Horrod"/>
    <x v="443"/>
    <x v="2"/>
    <n v="112138"/>
    <n v="21"/>
    <x v="443"/>
    <n v="750000"/>
    <n v="937500"/>
    <n v="1125000"/>
    <n v="1500000"/>
    <n v="0.93064400000000003"/>
    <s v="0-100%"/>
    <n v="104697.45"/>
    <n v="0"/>
    <n v="0"/>
    <n v="0"/>
    <n v="0"/>
    <n v="104697.45"/>
    <n v="216835.45"/>
    <n v="104697.45"/>
    <n v="0"/>
    <n v="0"/>
    <n v="0"/>
    <n v="0"/>
    <n v="104697.45"/>
    <n v="216835.45"/>
  </r>
  <r>
    <n v="5588978080"/>
    <s v="Letti"/>
    <s v="Howarth"/>
    <x v="444"/>
    <x v="1"/>
    <n v="51565"/>
    <n v="23"/>
    <x v="444"/>
    <n v="600000"/>
    <n v="750000"/>
    <n v="900000"/>
    <n v="1200000"/>
    <n v="1.2888366666666666"/>
    <s v="125-150%"/>
    <n v="78000"/>
    <n v="22500"/>
    <n v="4194.3599999999997"/>
    <n v="0"/>
    <n v="0"/>
    <n v="104694.36"/>
    <n v="156259.35999999999"/>
    <n v="90000"/>
    <n v="27000"/>
    <n v="5825.5"/>
    <n v="0"/>
    <n v="0"/>
    <n v="122825.5"/>
    <n v="174390.5"/>
  </r>
  <r>
    <n v="9624054975"/>
    <s v="Timmie"/>
    <s v="Howis"/>
    <x v="445"/>
    <x v="1"/>
    <n v="73192"/>
    <n v="24"/>
    <x v="445"/>
    <n v="600000"/>
    <n v="750000"/>
    <n v="900000"/>
    <n v="1200000"/>
    <n v="1.5188083333333333"/>
    <s v="150-200%"/>
    <n v="78000"/>
    <n v="28500"/>
    <n v="34500"/>
    <n v="3385.5"/>
    <n v="0"/>
    <n v="144385.5"/>
    <n v="217577.5"/>
    <n v="90000"/>
    <n v="27000"/>
    <n v="37500"/>
    <n v="3385.5"/>
    <n v="0"/>
    <n v="157885.5"/>
    <n v="231077.5"/>
  </r>
  <r>
    <n v="5439294325"/>
    <s v="Carri"/>
    <s v="Howis"/>
    <x v="446"/>
    <x v="2"/>
    <n v="94605"/>
    <n v="23"/>
    <x v="446"/>
    <n v="750000"/>
    <n v="937500"/>
    <n v="1125000"/>
    <n v="1500000"/>
    <n v="0.9769066666666667"/>
    <s v="0-100%"/>
    <n v="109902"/>
    <n v="0"/>
    <n v="0"/>
    <n v="0"/>
    <n v="0"/>
    <n v="109902"/>
    <n v="204507"/>
    <n v="109902"/>
    <n v="0"/>
    <n v="0"/>
    <n v="0"/>
    <n v="0"/>
    <n v="109902"/>
    <n v="204507"/>
  </r>
  <r>
    <n v="2378102658"/>
    <s v="Teresina"/>
    <s v="Howling"/>
    <x v="447"/>
    <x v="0"/>
    <n v="32554"/>
    <n v="11"/>
    <x v="447"/>
    <n v="500000"/>
    <n v="625000"/>
    <n v="750000"/>
    <n v="1000000"/>
    <n v="0.59666799999999998"/>
    <s v="0-100%"/>
    <n v="29833.4"/>
    <n v="0"/>
    <n v="0"/>
    <n v="0"/>
    <n v="0"/>
    <n v="29833.4"/>
    <n v="62387.4"/>
    <n v="35800.080000000002"/>
    <n v="0"/>
    <n v="0"/>
    <n v="0"/>
    <n v="0"/>
    <n v="35800.080000000002"/>
    <n v="68354.080000000002"/>
  </r>
  <r>
    <n v="2599557828"/>
    <s v="Saunders"/>
    <s v="Hubery"/>
    <x v="448"/>
    <x v="1"/>
    <n v="51532"/>
    <n v="20"/>
    <x v="448"/>
    <n v="600000"/>
    <n v="750000"/>
    <n v="900000"/>
    <n v="1200000"/>
    <n v="1.2348566666666667"/>
    <s v="100-125%"/>
    <n v="78000"/>
    <n v="21137.1"/>
    <n v="0"/>
    <n v="0"/>
    <n v="0"/>
    <n v="99137.1"/>
    <n v="150669.1"/>
    <n v="90000"/>
    <n v="25364.52"/>
    <n v="0"/>
    <n v="0"/>
    <n v="0"/>
    <n v="115364.52"/>
    <n v="166896.52000000002"/>
  </r>
  <r>
    <n v="509393462"/>
    <s v="Dex"/>
    <s v="Hughill"/>
    <x v="449"/>
    <x v="1"/>
    <n v="58109"/>
    <n v="23"/>
    <x v="449"/>
    <n v="600000"/>
    <n v="750000"/>
    <n v="900000"/>
    <n v="1200000"/>
    <n v="1.2582549999999999"/>
    <s v="125-150%"/>
    <n v="78000"/>
    <n v="25500.000000000004"/>
    <n v="1040.1299999999999"/>
    <n v="0"/>
    <n v="0"/>
    <n v="104540.13"/>
    <n v="162649.13"/>
    <n v="90000"/>
    <n v="27000"/>
    <n v="1238.25"/>
    <n v="0"/>
    <n v="0"/>
    <n v="118238.25"/>
    <n v="176347.25"/>
  </r>
  <r>
    <n v="4439073344"/>
    <s v="Pippo"/>
    <s v="Huish"/>
    <x v="450"/>
    <x v="0"/>
    <n v="61002"/>
    <n v="26"/>
    <x v="450"/>
    <n v="500000"/>
    <n v="625000"/>
    <n v="750000"/>
    <n v="1000000"/>
    <n v="1.84884"/>
    <s v="150-200%"/>
    <n v="50000"/>
    <n v="21250"/>
    <n v="26250"/>
    <n v="45349.200000000004"/>
    <n v="0"/>
    <n v="142849.20000000001"/>
    <n v="203851.2"/>
    <n v="60000"/>
    <n v="21250"/>
    <n v="25000"/>
    <n v="38372.400000000001"/>
    <n v="0"/>
    <n v="144622.39999999999"/>
    <n v="205624.4"/>
  </r>
  <r>
    <n v="9340547551"/>
    <s v="Rowen"/>
    <s v="Hullbrook"/>
    <x v="451"/>
    <x v="1"/>
    <n v="50051"/>
    <n v="17"/>
    <x v="451"/>
    <n v="600000"/>
    <n v="750000"/>
    <n v="900000"/>
    <n v="1200000"/>
    <n v="1.0790716666666667"/>
    <s v="100-125%"/>
    <n v="78000"/>
    <n v="9014.17"/>
    <n v="0"/>
    <n v="0"/>
    <n v="0"/>
    <n v="87014.17"/>
    <n v="137065.16999999998"/>
    <n v="90000"/>
    <n v="8539.74"/>
    <n v="0"/>
    <n v="0"/>
    <n v="0"/>
    <n v="98539.74"/>
    <n v="148590.74"/>
  </r>
  <r>
    <n v="8054305400"/>
    <s v="Wendel"/>
    <s v="Hulmes"/>
    <x v="452"/>
    <x v="2"/>
    <n v="101542"/>
    <n v="19"/>
    <x v="452"/>
    <n v="750000"/>
    <n v="937500"/>
    <n v="1125000"/>
    <n v="1500000"/>
    <n v="0.9016426666666667"/>
    <s v="0-100%"/>
    <n v="101434.8"/>
    <n v="0"/>
    <n v="0"/>
    <n v="0"/>
    <n v="0"/>
    <n v="101434.8"/>
    <n v="202976.8"/>
    <n v="101434.8"/>
    <n v="0"/>
    <n v="0"/>
    <n v="0"/>
    <n v="0"/>
    <n v="101434.8"/>
    <n v="202976.8"/>
  </r>
  <r>
    <n v="2191014690"/>
    <s v="Fabe"/>
    <s v="Hutchinges"/>
    <x v="453"/>
    <x v="0"/>
    <n v="58448"/>
    <n v="17"/>
    <x v="453"/>
    <n v="500000"/>
    <n v="625000"/>
    <n v="750000"/>
    <n v="1000000"/>
    <n v="1.091002"/>
    <s v="100-125%"/>
    <n v="50000"/>
    <n v="8645.19"/>
    <n v="0"/>
    <n v="0"/>
    <n v="0"/>
    <n v="58645.19"/>
    <n v="117093.19"/>
    <n v="60000"/>
    <n v="7735.170000000001"/>
    <n v="0"/>
    <n v="0"/>
    <n v="0"/>
    <n v="67735.17"/>
    <n v="126183.17"/>
  </r>
  <r>
    <n v="6618120233"/>
    <s v="Hillel"/>
    <s v="Hutley"/>
    <x v="454"/>
    <x v="1"/>
    <n v="64077"/>
    <n v="16"/>
    <x v="454"/>
    <n v="600000"/>
    <n v="750000"/>
    <n v="900000"/>
    <n v="1200000"/>
    <n v="1.0417533333333333"/>
    <s v="100-125%"/>
    <n v="78000"/>
    <n v="4258.84"/>
    <n v="0"/>
    <n v="0"/>
    <n v="0"/>
    <n v="82258.84"/>
    <n v="146335.84"/>
    <n v="90000"/>
    <n v="4509.3599999999997"/>
    <n v="0"/>
    <n v="0"/>
    <n v="0"/>
    <n v="94509.36"/>
    <n v="158586.35999999999"/>
  </r>
  <r>
    <n v="2070860833"/>
    <s v="Mavis"/>
    <s v="Huyge"/>
    <x v="455"/>
    <x v="1"/>
    <n v="73508"/>
    <n v="19"/>
    <x v="455"/>
    <n v="600000"/>
    <n v="750000"/>
    <n v="900000"/>
    <n v="1200000"/>
    <n v="1.2446316666666666"/>
    <s v="100-125%"/>
    <n v="78000"/>
    <n v="22016.85"/>
    <n v="0"/>
    <n v="0"/>
    <n v="0"/>
    <n v="100016.85"/>
    <n v="173524.85"/>
    <n v="90000"/>
    <n v="26420.219999999998"/>
    <n v="0"/>
    <n v="0"/>
    <n v="0"/>
    <n v="116420.22"/>
    <n v="189928.22"/>
  </r>
  <r>
    <n v="994826516"/>
    <s v="Ranique"/>
    <s v="Hyatt"/>
    <x v="456"/>
    <x v="0"/>
    <n v="32317"/>
    <n v="20"/>
    <x v="456"/>
    <n v="500000"/>
    <n v="625000"/>
    <n v="750000"/>
    <n v="1000000"/>
    <n v="1.6615059999999999"/>
    <s v="150-200%"/>
    <n v="50000"/>
    <n v="21250"/>
    <n v="26250"/>
    <n v="20995.780000000002"/>
    <n v="0"/>
    <n v="118495.78"/>
    <n v="150812.78"/>
    <n v="60000"/>
    <n v="21250"/>
    <n v="25000"/>
    <n v="17765.66"/>
    <n v="0"/>
    <n v="124015.66"/>
    <n v="156332.66"/>
  </r>
  <r>
    <n v="7778092905"/>
    <s v="Darcie"/>
    <s v="Hylands"/>
    <x v="457"/>
    <x v="2"/>
    <n v="121420"/>
    <n v="25"/>
    <x v="457"/>
    <n v="750000"/>
    <n v="937500"/>
    <n v="1125000"/>
    <n v="1500000"/>
    <n v="1.1737573333333333"/>
    <s v="100-125%"/>
    <n v="112500"/>
    <n v="19547.7"/>
    <n v="0"/>
    <n v="0"/>
    <n v="0"/>
    <n v="132047.70000000001"/>
    <n v="253467.7"/>
    <n v="112500"/>
    <n v="28669.96"/>
    <n v="0"/>
    <n v="0"/>
    <n v="0"/>
    <n v="141169.96"/>
    <n v="262589.95999999996"/>
  </r>
  <r>
    <n v="6852060985"/>
    <s v="Konstance"/>
    <s v="Iacovelli"/>
    <x v="458"/>
    <x v="1"/>
    <n v="59859"/>
    <n v="17"/>
    <x v="458"/>
    <n v="600000"/>
    <n v="750000"/>
    <n v="900000"/>
    <n v="1200000"/>
    <n v="1.0391616666666668"/>
    <s v="100-125%"/>
    <n v="78000"/>
    <n v="3524.5499999999997"/>
    <n v="0"/>
    <n v="0"/>
    <n v="0"/>
    <n v="81524.55"/>
    <n v="141383.54999999999"/>
    <n v="90000"/>
    <n v="4229.46"/>
    <n v="0"/>
    <n v="0"/>
    <n v="0"/>
    <n v="94229.46"/>
    <n v="154088.46000000002"/>
  </r>
  <r>
    <n v="8277918739"/>
    <s v="Ddene"/>
    <s v="Iddiens"/>
    <x v="459"/>
    <x v="0"/>
    <n v="42146"/>
    <n v="15"/>
    <x v="459"/>
    <n v="500000"/>
    <n v="625000"/>
    <n v="750000"/>
    <n v="1000000"/>
    <n v="1.0102439999999999"/>
    <s v="100-125%"/>
    <n v="50000"/>
    <n v="768.3"/>
    <n v="0"/>
    <n v="0"/>
    <n v="0"/>
    <n v="50768.3"/>
    <n v="92914.3"/>
    <n v="60000"/>
    <n v="870.74"/>
    <n v="0"/>
    <n v="0"/>
    <n v="0"/>
    <n v="60870.74"/>
    <n v="103016.73999999999"/>
  </r>
  <r>
    <n v="8516539148"/>
    <s v="Elena"/>
    <s v="Ilyukhov"/>
    <x v="460"/>
    <x v="2"/>
    <n v="90234"/>
    <n v="19"/>
    <x v="460"/>
    <n v="750000"/>
    <n v="937500"/>
    <n v="1125000"/>
    <n v="1500000"/>
    <n v="0.88645333333333332"/>
    <s v="0-100%"/>
    <n v="99726"/>
    <n v="0"/>
    <n v="0"/>
    <n v="0"/>
    <n v="0"/>
    <n v="99726"/>
    <n v="189960"/>
    <n v="99726"/>
    <n v="0"/>
    <n v="0"/>
    <n v="0"/>
    <n v="0"/>
    <n v="99726"/>
    <n v="189960"/>
  </r>
  <r>
    <n v="7957976743"/>
    <s v="Kara-lynn"/>
    <s v="Ingarfill"/>
    <x v="461"/>
    <x v="0"/>
    <n v="37175"/>
    <n v="30"/>
    <x v="461"/>
    <n v="500000"/>
    <n v="625000"/>
    <n v="750000"/>
    <n v="1000000"/>
    <n v="2.1122459999999998"/>
    <s v="&gt;200%"/>
    <n v="50000"/>
    <n v="23750"/>
    <n v="28750"/>
    <n v="75000"/>
    <n v="8418.4499999999989"/>
    <n v="185918.45"/>
    <n v="223093.45"/>
    <n v="60000"/>
    <n v="21250"/>
    <n v="25000"/>
    <n v="55000"/>
    <n v="5612.3"/>
    <n v="166862.29999999999"/>
    <n v="204037.3"/>
  </r>
  <r>
    <n v="6084639828"/>
    <s v="Yolanthe"/>
    <s v="Ingrey"/>
    <x v="462"/>
    <x v="1"/>
    <n v="67908"/>
    <n v="24"/>
    <x v="462"/>
    <n v="600000"/>
    <n v="750000"/>
    <n v="900000"/>
    <n v="1200000"/>
    <n v="1.4438433333333334"/>
    <s v="125-150%"/>
    <n v="78000"/>
    <n v="25500.000000000004"/>
    <n v="24424.26"/>
    <n v="0"/>
    <n v="0"/>
    <n v="127924.26"/>
    <n v="195832.26"/>
    <n v="90000"/>
    <n v="27000"/>
    <n v="29076.5"/>
    <n v="0"/>
    <n v="0"/>
    <n v="146076.5"/>
    <n v="213984.5"/>
  </r>
  <r>
    <n v="1718344562"/>
    <s v="Mendel"/>
    <s v="Iscowitz"/>
    <x v="463"/>
    <x v="2"/>
    <n v="106547"/>
    <n v="20"/>
    <x v="463"/>
    <n v="750000"/>
    <n v="937500"/>
    <n v="1125000"/>
    <n v="1500000"/>
    <n v="0.84610933333333338"/>
    <s v="0-100%"/>
    <n v="95187.3"/>
    <n v="0"/>
    <n v="0"/>
    <n v="0"/>
    <n v="0"/>
    <n v="95187.3"/>
    <n v="201734.3"/>
    <n v="95187.3"/>
    <n v="0"/>
    <n v="0"/>
    <n v="0"/>
    <n v="0"/>
    <n v="95187.3"/>
    <n v="201734.3"/>
  </r>
  <r>
    <n v="966588630"/>
    <s v="Danny"/>
    <s v="Itscovitz"/>
    <x v="464"/>
    <x v="2"/>
    <n v="107581"/>
    <n v="28"/>
    <x v="464"/>
    <n v="750000"/>
    <n v="937500"/>
    <n v="1125000"/>
    <n v="1500000"/>
    <n v="1.2979546666666666"/>
    <s v="125-150%"/>
    <n v="112500"/>
    <n v="35625"/>
    <n v="8272.18"/>
    <n v="0"/>
    <n v="0"/>
    <n v="156397.18"/>
    <n v="263978.18"/>
    <n v="112500"/>
    <n v="41250"/>
    <n v="8991.5"/>
    <n v="0"/>
    <n v="0"/>
    <n v="162741.5"/>
    <n v="270322.5"/>
  </r>
  <r>
    <n v="9820632102"/>
    <s v="Sergio"/>
    <s v="Itzakovitz"/>
    <x v="465"/>
    <x v="1"/>
    <n v="52637"/>
    <n v="9"/>
    <x v="465"/>
    <n v="600000"/>
    <n v="750000"/>
    <n v="900000"/>
    <n v="1200000"/>
    <n v="0.38203500000000001"/>
    <s v="0-100%"/>
    <n v="29798.73"/>
    <n v="0"/>
    <n v="0"/>
    <n v="0"/>
    <n v="0"/>
    <n v="29798.73"/>
    <n v="82435.73"/>
    <n v="34383.15"/>
    <n v="0"/>
    <n v="0"/>
    <n v="0"/>
    <n v="0"/>
    <n v="34383.15"/>
    <n v="87020.15"/>
  </r>
  <r>
    <n v="7070564503"/>
    <s v="Emmie"/>
    <s v="Ivamy"/>
    <x v="466"/>
    <x v="2"/>
    <n v="107049"/>
    <n v="22"/>
    <x v="466"/>
    <n v="750000"/>
    <n v="937500"/>
    <n v="1125000"/>
    <n v="1500000"/>
    <n v="0.94931200000000004"/>
    <s v="0-100%"/>
    <n v="106797.59999999999"/>
    <n v="0"/>
    <n v="0"/>
    <n v="0"/>
    <n v="0"/>
    <n v="106797.59999999999"/>
    <n v="213846.59999999998"/>
    <n v="106797.59999999999"/>
    <n v="0"/>
    <n v="0"/>
    <n v="0"/>
    <n v="0"/>
    <n v="106797.59999999999"/>
    <n v="213846.59999999998"/>
  </r>
  <r>
    <n v="3418374697"/>
    <s v="Ali"/>
    <s v="Izaks"/>
    <x v="467"/>
    <x v="0"/>
    <n v="36594"/>
    <n v="26"/>
    <x v="467"/>
    <n v="500000"/>
    <n v="625000"/>
    <n v="750000"/>
    <n v="1000000"/>
    <n v="1.8458760000000001"/>
    <s v="150-200%"/>
    <n v="50000"/>
    <n v="21250"/>
    <n v="26250"/>
    <n v="44963.880000000005"/>
    <n v="0"/>
    <n v="142463.88"/>
    <n v="179057.88"/>
    <n v="60000"/>
    <n v="21250"/>
    <n v="25000"/>
    <n v="38046.36"/>
    <n v="0"/>
    <n v="144296.35999999999"/>
    <n v="180890.36"/>
  </r>
  <r>
    <n v="8646243699"/>
    <s v="Fifine"/>
    <s v="Jakeman"/>
    <x v="468"/>
    <x v="2"/>
    <n v="109614"/>
    <n v="29"/>
    <x v="468"/>
    <n v="750000"/>
    <n v="937500"/>
    <n v="1125000"/>
    <n v="1500000"/>
    <n v="1.2976573333333334"/>
    <s v="125-150%"/>
    <n v="112500"/>
    <n v="31875.000000000004"/>
    <n v="7506.03"/>
    <n v="0"/>
    <n v="0"/>
    <n v="151881.03"/>
    <n v="261495.03"/>
    <n v="112500"/>
    <n v="41250"/>
    <n v="8935.75"/>
    <n v="0"/>
    <n v="0"/>
    <n v="162685.75"/>
    <n v="272299.75"/>
  </r>
  <r>
    <n v="3219526055"/>
    <s v="Raviv"/>
    <s v="Jandel"/>
    <x v="469"/>
    <x v="0"/>
    <n v="38331"/>
    <n v="21"/>
    <x v="469"/>
    <n v="500000"/>
    <n v="625000"/>
    <n v="750000"/>
    <n v="1000000"/>
    <n v="1.3305659999999999"/>
    <s v="125-150%"/>
    <n v="50000"/>
    <n v="21250"/>
    <n v="8459.43"/>
    <n v="0"/>
    <n v="0"/>
    <n v="79709.429999999993"/>
    <n v="118040.43"/>
    <n v="60000"/>
    <n v="21250"/>
    <n v="8056.6"/>
    <n v="0"/>
    <n v="0"/>
    <n v="89306.6"/>
    <n v="127637.6"/>
  </r>
  <r>
    <n v="4194897803"/>
    <s v="Logan"/>
    <s v="Jansky"/>
    <x v="470"/>
    <x v="1"/>
    <n v="73193"/>
    <n v="17"/>
    <x v="470"/>
    <n v="600000"/>
    <n v="750000"/>
    <n v="900000"/>
    <n v="1200000"/>
    <n v="0.86734166666666668"/>
    <s v="0-100%"/>
    <n v="67652.650000000009"/>
    <n v="0"/>
    <n v="0"/>
    <n v="0"/>
    <n v="0"/>
    <n v="67652.650000000009"/>
    <n v="140845.65000000002"/>
    <n v="78060.75"/>
    <n v="0"/>
    <n v="0"/>
    <n v="0"/>
    <n v="0"/>
    <n v="78060.75"/>
    <n v="151253.75"/>
  </r>
  <r>
    <n v="2298319154"/>
    <s v="Deloria"/>
    <s v="Jardine"/>
    <x v="471"/>
    <x v="0"/>
    <n v="35017"/>
    <n v="16"/>
    <x v="471"/>
    <n v="500000"/>
    <n v="625000"/>
    <n v="750000"/>
    <n v="1000000"/>
    <n v="1.0592839999999999"/>
    <s v="100-125%"/>
    <n v="50000"/>
    <n v="4446.3"/>
    <n v="0"/>
    <n v="0"/>
    <n v="0"/>
    <n v="54446.3"/>
    <n v="89463.3"/>
    <n v="60000"/>
    <n v="5039.1400000000003"/>
    <n v="0"/>
    <n v="0"/>
    <n v="0"/>
    <n v="65039.14"/>
    <n v="100056.14"/>
  </r>
  <r>
    <n v="6109997811"/>
    <s v="Constancia"/>
    <s v="Jenne"/>
    <x v="472"/>
    <x v="1"/>
    <n v="71286"/>
    <n v="25"/>
    <x v="472"/>
    <n v="600000"/>
    <n v="750000"/>
    <n v="900000"/>
    <n v="1200000"/>
    <n v="1.1858683333333333"/>
    <s v="100-125%"/>
    <n v="78000"/>
    <n v="18958.57"/>
    <n v="0"/>
    <n v="0"/>
    <n v="0"/>
    <n v="96958.57"/>
    <n v="168244.57"/>
    <n v="90000"/>
    <n v="20073.78"/>
    <n v="0"/>
    <n v="0"/>
    <n v="0"/>
    <n v="110073.78"/>
    <n v="181359.78"/>
  </r>
  <r>
    <n v="4759627103"/>
    <s v="Catherine"/>
    <s v="Jerams"/>
    <x v="473"/>
    <x v="1"/>
    <n v="75032"/>
    <n v="22"/>
    <x v="473"/>
    <n v="600000"/>
    <n v="750000"/>
    <n v="900000"/>
    <n v="1200000"/>
    <n v="1.2269049999999999"/>
    <s v="100-125%"/>
    <n v="78000"/>
    <n v="23144.31"/>
    <n v="0"/>
    <n v="0"/>
    <n v="0"/>
    <n v="101144.31"/>
    <n v="176176.31"/>
    <n v="90000"/>
    <n v="24505.739999999998"/>
    <n v="0"/>
    <n v="0"/>
    <n v="0"/>
    <n v="114505.73999999999"/>
    <n v="189537.74"/>
  </r>
  <r>
    <n v="8977805007"/>
    <s v="Birdie"/>
    <s v="Jesper"/>
    <x v="474"/>
    <x v="1"/>
    <n v="67739"/>
    <n v="17"/>
    <x v="474"/>
    <n v="600000"/>
    <n v="750000"/>
    <n v="900000"/>
    <n v="1200000"/>
    <n v="1.0035733333333334"/>
    <s v="100-125%"/>
    <n v="78000"/>
    <n v="321.59999999999997"/>
    <n v="0"/>
    <n v="0"/>
    <n v="0"/>
    <n v="78321.600000000006"/>
    <n v="146060.6"/>
    <n v="90000"/>
    <n v="385.91999999999996"/>
    <n v="0"/>
    <n v="0"/>
    <n v="0"/>
    <n v="90385.919999999998"/>
    <n v="158124.91999999998"/>
  </r>
  <r>
    <n v="1754740677"/>
    <s v="Inger"/>
    <s v="Jime"/>
    <x v="475"/>
    <x v="0"/>
    <n v="51559"/>
    <n v="19"/>
    <x v="475"/>
    <n v="500000"/>
    <n v="625000"/>
    <n v="750000"/>
    <n v="1000000"/>
    <n v="1.346052"/>
    <s v="125-150%"/>
    <n v="50000"/>
    <n v="23750"/>
    <n v="11045.980000000001"/>
    <n v="0"/>
    <n v="0"/>
    <n v="84795.98"/>
    <n v="136354.97999999998"/>
    <n v="60000"/>
    <n v="21250"/>
    <n v="9605.2000000000007"/>
    <n v="0"/>
    <n v="0"/>
    <n v="90855.2"/>
    <n v="142414.20000000001"/>
  </r>
  <r>
    <n v="1096335336"/>
    <s v="Rosaline"/>
    <s v="Joanic"/>
    <x v="476"/>
    <x v="2"/>
    <n v="86014"/>
    <n v="24"/>
    <x v="476"/>
    <n v="750000"/>
    <n v="937500"/>
    <n v="1125000"/>
    <n v="1500000"/>
    <n v="1.2220293333333334"/>
    <s v="100-125%"/>
    <n v="112500"/>
    <n v="28308.74"/>
    <n v="0"/>
    <n v="0"/>
    <n v="0"/>
    <n v="140808.74"/>
    <n v="226822.74"/>
    <n v="112500"/>
    <n v="36634.840000000004"/>
    <n v="0"/>
    <n v="0"/>
    <n v="0"/>
    <n v="149134.84"/>
    <n v="235148.84"/>
  </r>
  <r>
    <n v="2255261316"/>
    <s v="Vickie"/>
    <s v="Jocic"/>
    <x v="477"/>
    <x v="2"/>
    <n v="116809"/>
    <n v="15"/>
    <x v="477"/>
    <n v="750000"/>
    <n v="937500"/>
    <n v="1125000"/>
    <n v="1500000"/>
    <n v="0.75123066666666671"/>
    <s v="0-100%"/>
    <n v="84513.45"/>
    <n v="0"/>
    <n v="0"/>
    <n v="0"/>
    <n v="0"/>
    <n v="84513.45"/>
    <n v="201322.45"/>
    <n v="84513.45"/>
    <n v="0"/>
    <n v="0"/>
    <n v="0"/>
    <n v="0"/>
    <n v="84513.45"/>
    <n v="201322.45"/>
  </r>
  <r>
    <n v="9803956825"/>
    <s v="Murielle"/>
    <s v="Jorez"/>
    <x v="478"/>
    <x v="0"/>
    <n v="47103"/>
    <n v="23"/>
    <x v="478"/>
    <n v="500000"/>
    <n v="625000"/>
    <n v="750000"/>
    <n v="1000000"/>
    <n v="1.819612"/>
    <s v="150-200%"/>
    <n v="50000"/>
    <n v="21250"/>
    <n v="26250"/>
    <n v="41549.560000000005"/>
    <n v="0"/>
    <n v="139049.56"/>
    <n v="186152.56"/>
    <n v="60000"/>
    <n v="21250"/>
    <n v="25000"/>
    <n v="35157.32"/>
    <n v="0"/>
    <n v="141407.32"/>
    <n v="188510.32"/>
  </r>
  <r>
    <n v="1462166245"/>
    <s v="Barnabas"/>
    <s v="Jozefczak"/>
    <x v="479"/>
    <x v="0"/>
    <n v="57979"/>
    <n v="20"/>
    <x v="479"/>
    <n v="500000"/>
    <n v="625000"/>
    <n v="750000"/>
    <n v="1000000"/>
    <n v="1.4607060000000001"/>
    <s v="125-150%"/>
    <n v="50000"/>
    <n v="18750"/>
    <n v="18963.54"/>
    <n v="0"/>
    <n v="0"/>
    <n v="87713.540000000008"/>
    <n v="145692.54"/>
    <n v="60000"/>
    <n v="21250"/>
    <n v="21070.600000000002"/>
    <n v="0"/>
    <n v="0"/>
    <n v="102320.6"/>
    <n v="160299.6"/>
  </r>
  <r>
    <n v="4768254810"/>
    <s v="Reagan"/>
    <s v="Jubert"/>
    <x v="480"/>
    <x v="0"/>
    <n v="39511"/>
    <n v="21"/>
    <x v="480"/>
    <n v="500000"/>
    <n v="625000"/>
    <n v="750000"/>
    <n v="1000000"/>
    <n v="1.325904"/>
    <s v="125-150%"/>
    <n v="50000"/>
    <n v="18750"/>
    <n v="6831.36"/>
    <n v="0"/>
    <n v="0"/>
    <n v="75581.36"/>
    <n v="115092.36"/>
    <n v="60000"/>
    <n v="21250"/>
    <n v="7590.4000000000005"/>
    <n v="0"/>
    <n v="0"/>
    <n v="88840.4"/>
    <n v="128351.4"/>
  </r>
  <r>
    <n v="2177097355"/>
    <s v="Willem"/>
    <s v="Juschke"/>
    <x v="481"/>
    <x v="2"/>
    <n v="86438"/>
    <n v="20"/>
    <x v="481"/>
    <n v="750000"/>
    <n v="937500"/>
    <n v="1125000"/>
    <n v="1500000"/>
    <n v="0.84031866666666666"/>
    <s v="0-100%"/>
    <n v="94535.849999999991"/>
    <n v="0"/>
    <n v="0"/>
    <n v="0"/>
    <n v="0"/>
    <n v="94535.849999999991"/>
    <n v="180973.84999999998"/>
    <n v="94535.849999999991"/>
    <n v="0"/>
    <n v="0"/>
    <n v="0"/>
    <n v="0"/>
    <n v="94535.849999999991"/>
    <n v="180973.84999999998"/>
  </r>
  <r>
    <n v="8998375370"/>
    <s v="Phillip"/>
    <s v="Kann"/>
    <x v="482"/>
    <x v="2"/>
    <n v="76534"/>
    <n v="19"/>
    <x v="482"/>
    <n v="750000"/>
    <n v="937500"/>
    <n v="1125000"/>
    <n v="1500000"/>
    <n v="0.88989466666666661"/>
    <s v="0-100%"/>
    <n v="100113.15"/>
    <n v="0"/>
    <n v="0"/>
    <n v="0"/>
    <n v="0"/>
    <n v="100113.15"/>
    <n v="176647.15"/>
    <n v="100113.15"/>
    <n v="0"/>
    <n v="0"/>
    <n v="0"/>
    <n v="0"/>
    <n v="100113.15"/>
    <n v="176647.15"/>
  </r>
  <r>
    <n v="713650656"/>
    <s v="Pepillo"/>
    <s v="Keaysell"/>
    <x v="483"/>
    <x v="1"/>
    <n v="55601"/>
    <n v="15"/>
    <x v="483"/>
    <n v="600000"/>
    <n v="750000"/>
    <n v="900000"/>
    <n v="1200000"/>
    <n v="0.71406333333333338"/>
    <s v="0-100%"/>
    <n v="55696.94"/>
    <n v="0"/>
    <n v="0"/>
    <n v="0"/>
    <n v="0"/>
    <n v="55696.94"/>
    <n v="111297.94"/>
    <n v="64265.7"/>
    <n v="0"/>
    <n v="0"/>
    <n v="0"/>
    <n v="0"/>
    <n v="64265.7"/>
    <n v="119866.7"/>
  </r>
  <r>
    <n v="1042822263"/>
    <s v="Kean"/>
    <s v="Keelinge"/>
    <x v="484"/>
    <x v="2"/>
    <n v="124023"/>
    <n v="16"/>
    <x v="484"/>
    <n v="750000"/>
    <n v="937500"/>
    <n v="1125000"/>
    <n v="1500000"/>
    <n v="0.82595600000000002"/>
    <s v="0-100%"/>
    <n v="92920.05"/>
    <n v="0"/>
    <n v="0"/>
    <n v="0"/>
    <n v="0"/>
    <n v="92920.05"/>
    <n v="216943.05"/>
    <n v="92920.05"/>
    <n v="0"/>
    <n v="0"/>
    <n v="0"/>
    <n v="0"/>
    <n v="92920.05"/>
    <n v="216943.05"/>
  </r>
  <r>
    <n v="4269946768"/>
    <s v="Alaster"/>
    <s v="Kencott"/>
    <x v="485"/>
    <x v="2"/>
    <n v="88682"/>
    <n v="21"/>
    <x v="485"/>
    <n v="750000"/>
    <n v="937500"/>
    <n v="1125000"/>
    <n v="1500000"/>
    <n v="1.036888"/>
    <s v="100-125%"/>
    <n v="112500"/>
    <n v="5256.54"/>
    <n v="0"/>
    <n v="0"/>
    <n v="0"/>
    <n v="117756.54"/>
    <n v="206438.53999999998"/>
    <n v="112500"/>
    <n v="6086.52"/>
    <n v="0"/>
    <n v="0"/>
    <n v="0"/>
    <n v="118586.52"/>
    <n v="207268.52000000002"/>
  </r>
  <r>
    <n v="2565290632"/>
    <s v="Rosina"/>
    <s v="Kener"/>
    <x v="486"/>
    <x v="2"/>
    <n v="81538"/>
    <n v="16"/>
    <x v="486"/>
    <n v="750000"/>
    <n v="937500"/>
    <n v="1125000"/>
    <n v="1500000"/>
    <n v="0.71343066666666666"/>
    <s v="0-100%"/>
    <n v="80260.95"/>
    <n v="0"/>
    <n v="0"/>
    <n v="0"/>
    <n v="0"/>
    <n v="80260.95"/>
    <n v="161798.95000000001"/>
    <n v="80260.95"/>
    <n v="0"/>
    <n v="0"/>
    <n v="0"/>
    <n v="0"/>
    <n v="80260.95"/>
    <n v="161798.95000000001"/>
  </r>
  <r>
    <n v="769312748"/>
    <s v="Freeland"/>
    <s v="Kennerley"/>
    <x v="487"/>
    <x v="0"/>
    <n v="42256"/>
    <n v="18"/>
    <x v="487"/>
    <n v="500000"/>
    <n v="625000"/>
    <n v="750000"/>
    <n v="1000000"/>
    <n v="1.435816"/>
    <s v="125-150%"/>
    <n v="50000"/>
    <n v="23750"/>
    <n v="21368.84"/>
    <n v="0"/>
    <n v="0"/>
    <n v="95118.84"/>
    <n v="137374.84"/>
    <n v="60000"/>
    <n v="21250"/>
    <n v="18581.600000000002"/>
    <n v="0"/>
    <n v="0"/>
    <n v="99831.6"/>
    <n v="142087.6"/>
  </r>
  <r>
    <n v="9621331862"/>
    <s v="Elizabet"/>
    <s v="Kentish"/>
    <x v="488"/>
    <x v="2"/>
    <n v="91656"/>
    <n v="14"/>
    <x v="488"/>
    <n v="750000"/>
    <n v="937500"/>
    <n v="1125000"/>
    <n v="1500000"/>
    <n v="0.60627733333333333"/>
    <s v="0-100%"/>
    <n v="68206.2"/>
    <n v="0"/>
    <n v="0"/>
    <n v="0"/>
    <n v="0"/>
    <n v="68206.2"/>
    <n v="159862.20000000001"/>
    <n v="68206.2"/>
    <n v="0"/>
    <n v="0"/>
    <n v="0"/>
    <n v="0"/>
    <n v="68206.2"/>
    <n v="159862.20000000001"/>
  </r>
  <r>
    <n v="4610039311"/>
    <s v="Rosie"/>
    <s v="Kenzie"/>
    <x v="489"/>
    <x v="2"/>
    <n v="80298"/>
    <n v="18"/>
    <x v="489"/>
    <n v="750000"/>
    <n v="937500"/>
    <n v="1125000"/>
    <n v="1500000"/>
    <n v="0.73824400000000001"/>
    <s v="0-100%"/>
    <n v="83052.45"/>
    <n v="0"/>
    <n v="0"/>
    <n v="0"/>
    <n v="0"/>
    <n v="83052.45"/>
    <n v="163350.45000000001"/>
    <n v="83052.45"/>
    <n v="0"/>
    <n v="0"/>
    <n v="0"/>
    <n v="0"/>
    <n v="83052.45"/>
    <n v="163350.45000000001"/>
  </r>
  <r>
    <n v="6819596901"/>
    <s v="Erny"/>
    <s v="Kesteven"/>
    <x v="490"/>
    <x v="2"/>
    <n v="118207"/>
    <n v="23"/>
    <x v="490"/>
    <n v="750000"/>
    <n v="937500"/>
    <n v="1125000"/>
    <n v="1500000"/>
    <n v="0.98657733333333331"/>
    <s v="0-100%"/>
    <n v="110989.95"/>
    <n v="0"/>
    <n v="0"/>
    <n v="0"/>
    <n v="0"/>
    <n v="110989.95"/>
    <n v="229196.95"/>
    <n v="110989.95"/>
    <n v="0"/>
    <n v="0"/>
    <n v="0"/>
    <n v="0"/>
    <n v="110989.95"/>
    <n v="229196.95"/>
  </r>
  <r>
    <n v="7473861379"/>
    <s v="Daile"/>
    <s v="Kettel"/>
    <x v="491"/>
    <x v="2"/>
    <n v="89176"/>
    <n v="22"/>
    <x v="491"/>
    <n v="750000"/>
    <n v="937500"/>
    <n v="1125000"/>
    <n v="1500000"/>
    <n v="1.08954"/>
    <s v="100-125%"/>
    <n v="112500"/>
    <n v="12759.45"/>
    <n v="0"/>
    <n v="0"/>
    <n v="0"/>
    <n v="125259.45"/>
    <n v="214435.45"/>
    <n v="112500"/>
    <n v="14774.1"/>
    <n v="0"/>
    <n v="0"/>
    <n v="0"/>
    <n v="127274.1"/>
    <n v="216450.1"/>
  </r>
  <r>
    <n v="2426144645"/>
    <s v="Morty"/>
    <s v="Kettlestringes"/>
    <x v="492"/>
    <x v="0"/>
    <n v="32787"/>
    <n v="18"/>
    <x v="492"/>
    <n v="500000"/>
    <n v="625000"/>
    <n v="750000"/>
    <n v="1000000"/>
    <n v="1.401824"/>
    <s v="125-150%"/>
    <n v="50000"/>
    <n v="23750"/>
    <n v="17459.760000000002"/>
    <n v="0"/>
    <n v="0"/>
    <n v="91209.760000000009"/>
    <n v="123996.76000000001"/>
    <n v="60000"/>
    <n v="21250"/>
    <n v="15182.400000000001"/>
    <n v="0"/>
    <n v="0"/>
    <n v="96432.4"/>
    <n v="129219.4"/>
  </r>
  <r>
    <n v="8032296239"/>
    <s v="Ellen"/>
    <s v="Kevis"/>
    <x v="493"/>
    <x v="1"/>
    <n v="50836"/>
    <n v="20"/>
    <x v="493"/>
    <n v="600000"/>
    <n v="750000"/>
    <n v="900000"/>
    <n v="1200000"/>
    <n v="1.0758816666666666"/>
    <s v="100-125%"/>
    <n v="78000"/>
    <n v="7739.93"/>
    <n v="0"/>
    <n v="0"/>
    <n v="0"/>
    <n v="85739.93"/>
    <n v="136575.93"/>
    <n v="90000"/>
    <n v="8195.2199999999993"/>
    <n v="0"/>
    <n v="0"/>
    <n v="0"/>
    <n v="98195.22"/>
    <n v="149031.22"/>
  </r>
  <r>
    <n v="9458901820"/>
    <s v="Moses"/>
    <s v="Keymar"/>
    <x v="494"/>
    <x v="0"/>
    <n v="64311"/>
    <n v="18"/>
    <x v="494"/>
    <n v="500000"/>
    <n v="625000"/>
    <n v="750000"/>
    <n v="1000000"/>
    <n v="1.140236"/>
    <s v="100-125%"/>
    <n v="50000"/>
    <n v="13322.42"/>
    <n v="0"/>
    <n v="0"/>
    <n v="0"/>
    <n v="63322.42"/>
    <n v="127633.42"/>
    <n v="60000"/>
    <n v="11920.060000000001"/>
    <n v="0"/>
    <n v="0"/>
    <n v="0"/>
    <n v="71920.06"/>
    <n v="136231.06"/>
  </r>
  <r>
    <n v="6837456032"/>
    <s v="Elwyn"/>
    <s v="Keyzman"/>
    <x v="495"/>
    <x v="0"/>
    <n v="51201"/>
    <n v="20"/>
    <x v="495"/>
    <n v="500000"/>
    <n v="625000"/>
    <n v="750000"/>
    <n v="1000000"/>
    <n v="1.4546520000000001"/>
    <s v="125-150%"/>
    <n v="50000"/>
    <n v="18750"/>
    <n v="18418.68"/>
    <n v="0"/>
    <n v="0"/>
    <n v="87168.68"/>
    <n v="138369.68"/>
    <n v="60000"/>
    <n v="21250"/>
    <n v="20465.2"/>
    <n v="0"/>
    <n v="0"/>
    <n v="101715.2"/>
    <n v="152916.20000000001"/>
  </r>
  <r>
    <n v="8694120054"/>
    <s v="Filmore"/>
    <s v="Kinvig"/>
    <x v="496"/>
    <x v="2"/>
    <n v="114348"/>
    <n v="22"/>
    <x v="496"/>
    <n v="750000"/>
    <n v="937500"/>
    <n v="1125000"/>
    <n v="1500000"/>
    <n v="1.0238719999999999"/>
    <s v="100-125%"/>
    <n v="112500"/>
    <n v="2685.6"/>
    <n v="0"/>
    <n v="0"/>
    <n v="0"/>
    <n v="115185.60000000001"/>
    <n v="229533.6"/>
    <n v="112500"/>
    <n v="3938.88"/>
    <n v="0"/>
    <n v="0"/>
    <n v="0"/>
    <n v="116438.88"/>
    <n v="230786.88"/>
  </r>
  <r>
    <n v="4290015026"/>
    <s v="Mallory"/>
    <s v="Kiss"/>
    <x v="497"/>
    <x v="0"/>
    <n v="50810"/>
    <n v="20"/>
    <x v="497"/>
    <n v="500000"/>
    <n v="625000"/>
    <n v="750000"/>
    <n v="1000000"/>
    <n v="1.2280040000000001"/>
    <s v="100-125%"/>
    <n v="50000"/>
    <n v="21660.38"/>
    <n v="0"/>
    <n v="0"/>
    <n v="0"/>
    <n v="71660.38"/>
    <n v="122470.38"/>
    <n v="60000"/>
    <n v="19380.34"/>
    <n v="0"/>
    <n v="0"/>
    <n v="0"/>
    <n v="79380.34"/>
    <n v="130190.34"/>
  </r>
  <r>
    <n v="6890491998"/>
    <s v="Ethyl"/>
    <s v="Klaff"/>
    <x v="498"/>
    <x v="2"/>
    <n v="114550"/>
    <n v="15"/>
    <x v="498"/>
    <n v="750000"/>
    <n v="937500"/>
    <n v="1125000"/>
    <n v="1500000"/>
    <n v="0.65206666666666668"/>
    <s v="0-100%"/>
    <n v="73357.5"/>
    <n v="0"/>
    <n v="0"/>
    <n v="0"/>
    <n v="0"/>
    <n v="73357.5"/>
    <n v="187907.5"/>
    <n v="73357.5"/>
    <n v="0"/>
    <n v="0"/>
    <n v="0"/>
    <n v="0"/>
    <n v="73357.5"/>
    <n v="187907.5"/>
  </r>
  <r>
    <n v="3127459866"/>
    <s v="Ivett"/>
    <s v="Klass"/>
    <x v="499"/>
    <x v="2"/>
    <n v="93001"/>
    <n v="24"/>
    <x v="499"/>
    <n v="750000"/>
    <n v="937500"/>
    <n v="1125000"/>
    <n v="1500000"/>
    <n v="1.0313893333333333"/>
    <s v="100-125%"/>
    <n v="112500"/>
    <n v="4002.1400000000003"/>
    <n v="0"/>
    <n v="0"/>
    <n v="0"/>
    <n v="116502.14"/>
    <n v="209503.14"/>
    <n v="112500"/>
    <n v="5179.24"/>
    <n v="0"/>
    <n v="0"/>
    <n v="0"/>
    <n v="117679.24"/>
    <n v="210680.24"/>
  </r>
  <r>
    <n v="2677632772"/>
    <s v="Devland"/>
    <s v="Kohter"/>
    <x v="500"/>
    <x v="0"/>
    <n v="42673"/>
    <n v="17"/>
    <x v="500"/>
    <n v="500000"/>
    <n v="625000"/>
    <n v="750000"/>
    <n v="1000000"/>
    <n v="1.189894"/>
    <s v="100-125%"/>
    <n v="50000"/>
    <n v="16140.990000000002"/>
    <n v="0"/>
    <n v="0"/>
    <n v="0"/>
    <n v="66140.990000000005"/>
    <n v="108813.99"/>
    <n v="60000"/>
    <n v="16140.990000000002"/>
    <n v="0"/>
    <n v="0"/>
    <n v="0"/>
    <n v="76140.990000000005"/>
    <n v="118813.99"/>
  </r>
  <r>
    <n v="3235176993"/>
    <s v="Adena"/>
    <s v="Kop"/>
    <x v="501"/>
    <x v="0"/>
    <n v="60549"/>
    <n v="15"/>
    <x v="501"/>
    <n v="500000"/>
    <n v="625000"/>
    <n v="750000"/>
    <n v="1000000"/>
    <n v="0.90200800000000003"/>
    <s v="0-100%"/>
    <n v="45100.4"/>
    <n v="0"/>
    <n v="0"/>
    <n v="0"/>
    <n v="0"/>
    <n v="45100.4"/>
    <n v="105649.4"/>
    <n v="54120.479999999996"/>
    <n v="0"/>
    <n v="0"/>
    <n v="0"/>
    <n v="0"/>
    <n v="54120.479999999996"/>
    <n v="114669.48"/>
  </r>
  <r>
    <n v="8568859739"/>
    <s v="Tim"/>
    <s v="Koschek"/>
    <x v="502"/>
    <x v="2"/>
    <n v="81228"/>
    <n v="14"/>
    <x v="502"/>
    <n v="750000"/>
    <n v="937500"/>
    <n v="1125000"/>
    <n v="1500000"/>
    <n v="0.68126533333333328"/>
    <s v="0-100%"/>
    <n v="76642.349999999991"/>
    <n v="0"/>
    <n v="0"/>
    <n v="0"/>
    <n v="0"/>
    <n v="76642.349999999991"/>
    <n v="157870.34999999998"/>
    <n v="76642.349999999991"/>
    <n v="0"/>
    <n v="0"/>
    <n v="0"/>
    <n v="0"/>
    <n v="76642.349999999991"/>
    <n v="157870.34999999998"/>
  </r>
  <r>
    <n v="2809344809"/>
    <s v="Maynard"/>
    <s v="Krebs"/>
    <x v="503"/>
    <x v="2"/>
    <n v="112707"/>
    <n v="25"/>
    <x v="503"/>
    <n v="750000"/>
    <n v="937500"/>
    <n v="1125000"/>
    <n v="1500000"/>
    <n v="1.1652173333333333"/>
    <s v="100-125%"/>
    <n v="112500"/>
    <n v="23543.47"/>
    <n v="0"/>
    <n v="0"/>
    <n v="0"/>
    <n v="136043.47"/>
    <n v="248750.47"/>
    <n v="112500"/>
    <n v="27260.86"/>
    <n v="0"/>
    <n v="0"/>
    <n v="0"/>
    <n v="139760.85999999999"/>
    <n v="252467.86"/>
  </r>
  <r>
    <n v="7191906499"/>
    <s v="Orelle"/>
    <s v="Krink"/>
    <x v="504"/>
    <x v="1"/>
    <n v="54226"/>
    <n v="15"/>
    <x v="504"/>
    <n v="600000"/>
    <n v="750000"/>
    <n v="900000"/>
    <n v="1200000"/>
    <n v="1.0316366666666668"/>
    <s v="100-125%"/>
    <n v="78000"/>
    <n v="3606.58"/>
    <n v="0"/>
    <n v="0"/>
    <n v="0"/>
    <n v="81606.58"/>
    <n v="135832.58000000002"/>
    <n v="90000"/>
    <n v="3416.7599999999998"/>
    <n v="0"/>
    <n v="0"/>
    <n v="0"/>
    <n v="93416.76"/>
    <n v="147642.76"/>
  </r>
  <r>
    <n v="515647594"/>
    <s v="Belita"/>
    <s v="Kroll"/>
    <x v="505"/>
    <x v="2"/>
    <n v="113453"/>
    <n v="20"/>
    <x v="505"/>
    <n v="750000"/>
    <n v="937500"/>
    <n v="1125000"/>
    <n v="1500000"/>
    <n v="0.98357866666666671"/>
    <s v="0-100%"/>
    <n v="110652.59999999999"/>
    <n v="0"/>
    <n v="0"/>
    <n v="0"/>
    <n v="0"/>
    <n v="110652.59999999999"/>
    <n v="224105.59999999998"/>
    <n v="110652.59999999999"/>
    <n v="0"/>
    <n v="0"/>
    <n v="0"/>
    <n v="0"/>
    <n v="110652.59999999999"/>
    <n v="224105.59999999998"/>
  </r>
  <r>
    <n v="1958063002"/>
    <s v="Keenan"/>
    <s v="Kruszelnicki"/>
    <x v="506"/>
    <x v="2"/>
    <n v="105993"/>
    <n v="24"/>
    <x v="506"/>
    <n v="750000"/>
    <n v="937500"/>
    <n v="1125000"/>
    <n v="1500000"/>
    <n v="1.2737706666666666"/>
    <s v="125-150%"/>
    <n v="112500"/>
    <n v="28125"/>
    <n v="3209.04"/>
    <n v="0"/>
    <n v="0"/>
    <n v="143834.04"/>
    <n v="249827.04"/>
    <n v="112500"/>
    <n v="41250"/>
    <n v="4457"/>
    <n v="0"/>
    <n v="0"/>
    <n v="158207"/>
    <n v="264200"/>
  </r>
  <r>
    <n v="6383978705"/>
    <s v="Bess"/>
    <s v="Kubelka"/>
    <x v="507"/>
    <x v="2"/>
    <n v="95027"/>
    <n v="18"/>
    <x v="507"/>
    <n v="750000"/>
    <n v="937500"/>
    <n v="1125000"/>
    <n v="1500000"/>
    <n v="0.9607026666666667"/>
    <s v="0-100%"/>
    <n v="108079.05"/>
    <n v="0"/>
    <n v="0"/>
    <n v="0"/>
    <n v="0"/>
    <n v="108079.05"/>
    <n v="203106.05"/>
    <n v="108079.05"/>
    <n v="0"/>
    <n v="0"/>
    <n v="0"/>
    <n v="0"/>
    <n v="108079.05"/>
    <n v="203106.05"/>
  </r>
  <r>
    <n v="2958692264"/>
    <s v="Reg"/>
    <s v="Kubista"/>
    <x v="508"/>
    <x v="0"/>
    <n v="43860"/>
    <n v="16"/>
    <x v="508"/>
    <n v="500000"/>
    <n v="625000"/>
    <n v="750000"/>
    <n v="1000000"/>
    <n v="1.0391900000000001"/>
    <s v="100-125%"/>
    <n v="50000"/>
    <n v="2939.25"/>
    <n v="0"/>
    <n v="0"/>
    <n v="0"/>
    <n v="52939.25"/>
    <n v="96799.25"/>
    <n v="60000"/>
    <n v="3331.15"/>
    <n v="0"/>
    <n v="0"/>
    <n v="0"/>
    <n v="63331.15"/>
    <n v="107191.15"/>
  </r>
  <r>
    <n v="7533163729"/>
    <s v="Osbourne"/>
    <s v="Kuhnke"/>
    <x v="509"/>
    <x v="2"/>
    <n v="94545"/>
    <n v="23"/>
    <x v="509"/>
    <n v="750000"/>
    <n v="937500"/>
    <n v="1125000"/>
    <n v="1500000"/>
    <n v="1.0257893333333334"/>
    <s v="100-125%"/>
    <n v="112500"/>
    <n v="3288.1400000000003"/>
    <n v="0"/>
    <n v="0"/>
    <n v="0"/>
    <n v="115788.14"/>
    <n v="210333.14"/>
    <n v="112500"/>
    <n v="4255.24"/>
    <n v="0"/>
    <n v="0"/>
    <n v="0"/>
    <n v="116755.24"/>
    <n v="211300.24"/>
  </r>
  <r>
    <n v="1729795870"/>
    <s v="Ezequiel"/>
    <s v="Kull"/>
    <x v="510"/>
    <x v="1"/>
    <n v="71506"/>
    <n v="18"/>
    <x v="510"/>
    <n v="600000"/>
    <n v="750000"/>
    <n v="900000"/>
    <n v="1200000"/>
    <n v="1.0703983333333333"/>
    <s v="100-125%"/>
    <n v="78000"/>
    <n v="6335.8499999999995"/>
    <n v="0"/>
    <n v="0"/>
    <n v="0"/>
    <n v="84335.85"/>
    <n v="155841.85"/>
    <n v="90000"/>
    <n v="7603.0199999999995"/>
    <n v="0"/>
    <n v="0"/>
    <n v="0"/>
    <n v="97603.02"/>
    <n v="169109.02000000002"/>
  </r>
  <r>
    <n v="8640079943"/>
    <s v="Talbot"/>
    <s v="Kynett"/>
    <x v="511"/>
    <x v="1"/>
    <n v="73941"/>
    <n v="25"/>
    <x v="511"/>
    <n v="600000"/>
    <n v="750000"/>
    <n v="900000"/>
    <n v="1200000"/>
    <n v="1.3223133333333332"/>
    <s v="125-150%"/>
    <n v="78000"/>
    <n v="22500"/>
    <n v="7809.84"/>
    <n v="0"/>
    <n v="0"/>
    <n v="108309.84"/>
    <n v="182250.84"/>
    <n v="90000"/>
    <n v="27000"/>
    <n v="10847"/>
    <n v="0"/>
    <n v="0"/>
    <n v="127847"/>
    <n v="201788"/>
  </r>
  <r>
    <n v="6894004730"/>
    <s v="Gill"/>
    <s v="Labrum"/>
    <x v="512"/>
    <x v="0"/>
    <n v="41307"/>
    <n v="20"/>
    <x v="512"/>
    <n v="500000"/>
    <n v="625000"/>
    <n v="750000"/>
    <n v="1000000"/>
    <n v="1.6442220000000001"/>
    <s v="150-200%"/>
    <n v="50000"/>
    <n v="18750"/>
    <n v="22500"/>
    <n v="15864.42"/>
    <n v="0"/>
    <n v="107114.42"/>
    <n v="148421.41999999998"/>
    <n v="60000"/>
    <n v="21250"/>
    <n v="25000"/>
    <n v="15864.42"/>
    <n v="0"/>
    <n v="122114.42"/>
    <n v="163421.41999999998"/>
  </r>
  <r>
    <n v="304906506"/>
    <s v="Trescha"/>
    <s v="Labusquiere"/>
    <x v="513"/>
    <x v="0"/>
    <n v="64753"/>
    <n v="25"/>
    <x v="513"/>
    <n v="500000"/>
    <n v="625000"/>
    <n v="750000"/>
    <n v="1000000"/>
    <n v="1.70543"/>
    <s v="150-200%"/>
    <n v="50000"/>
    <n v="21250"/>
    <n v="26250"/>
    <n v="26705.9"/>
    <n v="0"/>
    <n v="124205.9"/>
    <n v="188958.9"/>
    <n v="60000"/>
    <n v="21250"/>
    <n v="25000"/>
    <n v="22597.3"/>
    <n v="0"/>
    <n v="128847.3"/>
    <n v="193600.3"/>
  </r>
  <r>
    <n v="7892446737"/>
    <s v="Arden"/>
    <s v="Lackner"/>
    <x v="514"/>
    <x v="1"/>
    <n v="78253"/>
    <n v="27"/>
    <x v="514"/>
    <n v="600000"/>
    <n v="750000"/>
    <n v="900000"/>
    <n v="1200000"/>
    <n v="1.6564416666666666"/>
    <s v="150-200%"/>
    <n v="78000"/>
    <n v="25500.000000000004"/>
    <n v="31500"/>
    <n v="24404.9"/>
    <n v="0"/>
    <n v="159404.9"/>
    <n v="237657.9"/>
    <n v="90000"/>
    <n v="27000"/>
    <n v="37500"/>
    <n v="28159.5"/>
    <n v="0"/>
    <n v="182659.5"/>
    <n v="260912.5"/>
  </r>
  <r>
    <n v="4306425231"/>
    <s v="Fraze"/>
    <s v="Laing"/>
    <x v="515"/>
    <x v="0"/>
    <n v="44821"/>
    <n v="18"/>
    <x v="515"/>
    <n v="500000"/>
    <n v="625000"/>
    <n v="750000"/>
    <n v="1000000"/>
    <n v="1.342724"/>
    <s v="125-150%"/>
    <n v="50000"/>
    <n v="18750"/>
    <n v="8345.16"/>
    <n v="0"/>
    <n v="0"/>
    <n v="77095.16"/>
    <n v="121916.16"/>
    <n v="60000"/>
    <n v="21250"/>
    <n v="9272.4"/>
    <n v="0"/>
    <n v="0"/>
    <n v="90522.4"/>
    <n v="135343.4"/>
  </r>
  <r>
    <n v="1739513533"/>
    <s v="Gizela"/>
    <s v="Lalley"/>
    <x v="516"/>
    <x v="2"/>
    <n v="109848"/>
    <n v="28"/>
    <x v="516"/>
    <n v="750000"/>
    <n v="937500"/>
    <n v="1125000"/>
    <n v="1500000"/>
    <n v="1.1672106666666666"/>
    <s v="100-125%"/>
    <n v="112500"/>
    <n v="21319.360000000001"/>
    <n v="0"/>
    <n v="0"/>
    <n v="0"/>
    <n v="133819.35999999999"/>
    <n v="243667.36"/>
    <n v="112500"/>
    <n v="27589.759999999998"/>
    <n v="0"/>
    <n v="0"/>
    <n v="0"/>
    <n v="140089.76"/>
    <n v="249937.76"/>
  </r>
  <r>
    <n v="793441269"/>
    <s v="Hew"/>
    <s v="Lamborne"/>
    <x v="517"/>
    <x v="1"/>
    <n v="60498"/>
    <n v="15"/>
    <x v="517"/>
    <n v="600000"/>
    <n v="750000"/>
    <n v="900000"/>
    <n v="1200000"/>
    <n v="0.83307833333333337"/>
    <s v="0-100%"/>
    <n v="64980.11"/>
    <n v="0"/>
    <n v="0"/>
    <n v="0"/>
    <n v="0"/>
    <n v="64980.11"/>
    <n v="125478.11"/>
    <n v="74977.05"/>
    <n v="0"/>
    <n v="0"/>
    <n v="0"/>
    <n v="0"/>
    <n v="74977.05"/>
    <n v="135475.04999999999"/>
  </r>
  <r>
    <n v="2859931651"/>
    <s v="Garey"/>
    <s v="Lambregts"/>
    <x v="518"/>
    <x v="1"/>
    <n v="73783"/>
    <n v="18"/>
    <x v="518"/>
    <n v="600000"/>
    <n v="750000"/>
    <n v="900000"/>
    <n v="1200000"/>
    <n v="0.93512833333333334"/>
    <s v="0-100%"/>
    <n v="72940.010000000009"/>
    <n v="0"/>
    <n v="0"/>
    <n v="0"/>
    <n v="0"/>
    <n v="72940.010000000009"/>
    <n v="146723.01"/>
    <n v="84161.55"/>
    <n v="0"/>
    <n v="0"/>
    <n v="0"/>
    <n v="0"/>
    <n v="84161.55"/>
    <n v="157944.54999999999"/>
  </r>
  <r>
    <n v="509389570"/>
    <s v="Pierre"/>
    <s v="Lambshine"/>
    <x v="519"/>
    <x v="2"/>
    <n v="89634"/>
    <n v="12"/>
    <x v="519"/>
    <n v="750000"/>
    <n v="937500"/>
    <n v="1125000"/>
    <n v="1500000"/>
    <n v="0.58200133333333337"/>
    <s v="0-100%"/>
    <n v="65475.149999999994"/>
    <n v="0"/>
    <n v="0"/>
    <n v="0"/>
    <n v="0"/>
    <n v="65475.149999999994"/>
    <n v="155109.15"/>
    <n v="65475.149999999994"/>
    <n v="0"/>
    <n v="0"/>
    <n v="0"/>
    <n v="0"/>
    <n v="65475.149999999994"/>
    <n v="155109.15"/>
  </r>
  <r>
    <n v="7938954179"/>
    <s v="Darin"/>
    <s v="Landal"/>
    <x v="520"/>
    <x v="0"/>
    <n v="44924"/>
    <n v="15"/>
    <x v="520"/>
    <n v="500000"/>
    <n v="625000"/>
    <n v="750000"/>
    <n v="1000000"/>
    <n v="1.1777420000000001"/>
    <s v="100-125%"/>
    <n v="50000"/>
    <n v="15108.070000000002"/>
    <n v="0"/>
    <n v="0"/>
    <n v="0"/>
    <n v="65108.07"/>
    <n v="110032.07"/>
    <n v="60000"/>
    <n v="15108.070000000002"/>
    <n v="0"/>
    <n v="0"/>
    <n v="0"/>
    <n v="75108.070000000007"/>
    <n v="120032.07"/>
  </r>
  <r>
    <n v="3779559293"/>
    <s v="Winfield"/>
    <s v="Lansdowne"/>
    <x v="521"/>
    <x v="2"/>
    <n v="95894"/>
    <n v="27"/>
    <x v="521"/>
    <n v="750000"/>
    <n v="937500"/>
    <n v="1125000"/>
    <n v="1500000"/>
    <n v="1.261212"/>
    <s v="125-150%"/>
    <n v="112500"/>
    <n v="31875.000000000004"/>
    <n v="1765.8899999999999"/>
    <n v="0"/>
    <n v="0"/>
    <n v="146140.89000000001"/>
    <n v="242034.89"/>
    <n v="112500"/>
    <n v="41250"/>
    <n v="2102.25"/>
    <n v="0"/>
    <n v="0"/>
    <n v="155852.25"/>
    <n v="251746.25"/>
  </r>
  <r>
    <n v="7338728615"/>
    <s v="Tedmund"/>
    <s v="Lardeux"/>
    <x v="522"/>
    <x v="0"/>
    <n v="61730"/>
    <n v="27"/>
    <x v="522"/>
    <n v="500000"/>
    <n v="625000"/>
    <n v="750000"/>
    <n v="1000000"/>
    <n v="1.87948"/>
    <s v="150-200%"/>
    <n v="50000"/>
    <n v="21250"/>
    <n v="26250"/>
    <n v="49332.4"/>
    <n v="0"/>
    <n v="146832.4"/>
    <n v="208562.4"/>
    <n v="60000"/>
    <n v="21250"/>
    <n v="25000"/>
    <n v="41742.800000000003"/>
    <n v="0"/>
    <n v="147992.79999999999"/>
    <n v="209722.8"/>
  </r>
  <r>
    <n v="6510701464"/>
    <s v="Zachariah"/>
    <s v="Lared"/>
    <x v="523"/>
    <x v="0"/>
    <n v="45866"/>
    <n v="19"/>
    <x v="523"/>
    <n v="500000"/>
    <n v="625000"/>
    <n v="750000"/>
    <n v="1000000"/>
    <n v="1.3212600000000001"/>
    <s v="125-150%"/>
    <n v="50000"/>
    <n v="18750"/>
    <n v="6413.4"/>
    <n v="0"/>
    <n v="0"/>
    <n v="75163.399999999994"/>
    <n v="121029.4"/>
    <n v="60000"/>
    <n v="21250"/>
    <n v="7126"/>
    <n v="0"/>
    <n v="0"/>
    <n v="88376"/>
    <n v="134242"/>
  </r>
  <r>
    <n v="5975948169"/>
    <s v="Merell"/>
    <s v="Larose"/>
    <x v="524"/>
    <x v="2"/>
    <n v="122368"/>
    <n v="13"/>
    <x v="524"/>
    <n v="750000"/>
    <n v="937500"/>
    <n v="1125000"/>
    <n v="1500000"/>
    <n v="0.55586933333333333"/>
    <s v="0-100%"/>
    <n v="62535.299999999996"/>
    <n v="0"/>
    <n v="0"/>
    <n v="0"/>
    <n v="0"/>
    <n v="62535.299999999996"/>
    <n v="184903.3"/>
    <n v="62535.299999999996"/>
    <n v="0"/>
    <n v="0"/>
    <n v="0"/>
    <n v="0"/>
    <n v="62535.299999999996"/>
    <n v="184903.3"/>
  </r>
  <r>
    <n v="9815158015"/>
    <s v="Kiley"/>
    <s v="Lartice"/>
    <x v="525"/>
    <x v="0"/>
    <n v="64013"/>
    <n v="22"/>
    <x v="525"/>
    <n v="500000"/>
    <n v="625000"/>
    <n v="750000"/>
    <n v="1000000"/>
    <n v="1.577664"/>
    <s v="150-200%"/>
    <n v="50000"/>
    <n v="18750"/>
    <n v="22500"/>
    <n v="8543.0400000000009"/>
    <n v="0"/>
    <n v="99793.040000000008"/>
    <n v="163806.04"/>
    <n v="60000"/>
    <n v="21250"/>
    <n v="25000"/>
    <n v="8543.0400000000009"/>
    <n v="0"/>
    <n v="114793.04000000001"/>
    <n v="178806.04"/>
  </r>
  <r>
    <n v="5211527984"/>
    <s v="Derk"/>
    <s v="Latham"/>
    <x v="526"/>
    <x v="0"/>
    <n v="37869"/>
    <n v="26"/>
    <x v="526"/>
    <n v="500000"/>
    <n v="625000"/>
    <n v="750000"/>
    <n v="1000000"/>
    <n v="1.57789"/>
    <s v="150-200%"/>
    <n v="50000"/>
    <n v="23750"/>
    <n v="28750"/>
    <n v="11683.5"/>
    <n v="0"/>
    <n v="114183.5"/>
    <n v="152052.5"/>
    <n v="60000"/>
    <n v="21250"/>
    <n v="25000"/>
    <n v="8567.9"/>
    <n v="0"/>
    <n v="114817.9"/>
    <n v="152686.9"/>
  </r>
  <r>
    <n v="6148235056"/>
    <s v="Brandtr"/>
    <s v="Lathwood"/>
    <x v="527"/>
    <x v="2"/>
    <n v="117912"/>
    <n v="21"/>
    <x v="527"/>
    <n v="750000"/>
    <n v="937500"/>
    <n v="1125000"/>
    <n v="1500000"/>
    <n v="0.96593866666666661"/>
    <s v="0-100%"/>
    <n v="108668.09999999999"/>
    <n v="0"/>
    <n v="0"/>
    <n v="0"/>
    <n v="0"/>
    <n v="108668.09999999999"/>
    <n v="226580.09999999998"/>
    <n v="108668.09999999999"/>
    <n v="0"/>
    <n v="0"/>
    <n v="0"/>
    <n v="0"/>
    <n v="108668.09999999999"/>
    <n v="226580.09999999998"/>
  </r>
  <r>
    <n v="3075132195"/>
    <s v="Trumaine"/>
    <s v="Laundon"/>
    <x v="528"/>
    <x v="0"/>
    <n v="43870"/>
    <n v="15"/>
    <x v="528"/>
    <n v="500000"/>
    <n v="625000"/>
    <n v="750000"/>
    <n v="1000000"/>
    <n v="0.87896600000000003"/>
    <s v="0-100%"/>
    <n v="43948.3"/>
    <n v="0"/>
    <n v="0"/>
    <n v="0"/>
    <n v="0"/>
    <n v="43948.3"/>
    <n v="87818.3"/>
    <n v="52737.96"/>
    <n v="0"/>
    <n v="0"/>
    <n v="0"/>
    <n v="0"/>
    <n v="52737.96"/>
    <n v="96607.959999999992"/>
  </r>
  <r>
    <n v="7493076952"/>
    <s v="Jo ann"/>
    <s v="Laurand"/>
    <x v="529"/>
    <x v="1"/>
    <n v="57201"/>
    <n v="22"/>
    <x v="529"/>
    <n v="600000"/>
    <n v="750000"/>
    <n v="900000"/>
    <n v="1200000"/>
    <n v="1.2265866666666667"/>
    <s v="100-125%"/>
    <n v="78000"/>
    <n v="20392.8"/>
    <n v="0"/>
    <n v="0"/>
    <n v="0"/>
    <n v="98392.8"/>
    <n v="155593.79999999999"/>
    <n v="90000"/>
    <n v="24471.360000000001"/>
    <n v="0"/>
    <n v="0"/>
    <n v="0"/>
    <n v="114471.36"/>
    <n v="171672.36"/>
  </r>
  <r>
    <n v="5074304008"/>
    <s v="Constantin"/>
    <s v="Laurisch"/>
    <x v="530"/>
    <x v="1"/>
    <n v="62375"/>
    <n v="20"/>
    <x v="530"/>
    <n v="600000"/>
    <n v="750000"/>
    <n v="900000"/>
    <n v="1200000"/>
    <n v="1.40707"/>
    <s v="125-150%"/>
    <n v="78000"/>
    <n v="28500"/>
    <n v="21675.66"/>
    <n v="0"/>
    <n v="0"/>
    <n v="128175.66"/>
    <n v="190550.66"/>
    <n v="90000"/>
    <n v="27000"/>
    <n v="23560.5"/>
    <n v="0"/>
    <n v="0"/>
    <n v="140560.5"/>
    <n v="202935.5"/>
  </r>
  <r>
    <n v="2045928187"/>
    <s v="Keelby"/>
    <s v="Lawie"/>
    <x v="531"/>
    <x v="0"/>
    <n v="33035"/>
    <n v="11"/>
    <x v="531"/>
    <n v="500000"/>
    <n v="625000"/>
    <n v="750000"/>
    <n v="1000000"/>
    <n v="0.84728400000000004"/>
    <s v="0-100%"/>
    <n v="42364.200000000004"/>
    <n v="0"/>
    <n v="0"/>
    <n v="0"/>
    <n v="0"/>
    <n v="42364.200000000004"/>
    <n v="75399.200000000012"/>
    <n v="50837.04"/>
    <n v="0"/>
    <n v="0"/>
    <n v="0"/>
    <n v="0"/>
    <n v="50837.04"/>
    <n v="83872.040000000008"/>
  </r>
  <r>
    <n v="4011453366"/>
    <s v="Maryjo"/>
    <s v="Laxe"/>
    <x v="532"/>
    <x v="2"/>
    <n v="113851"/>
    <n v="20"/>
    <x v="532"/>
    <n v="750000"/>
    <n v="937500"/>
    <n v="1125000"/>
    <n v="1500000"/>
    <n v="0.89199600000000001"/>
    <s v="0-100%"/>
    <n v="100349.55"/>
    <n v="0"/>
    <n v="0"/>
    <n v="0"/>
    <n v="0"/>
    <n v="100349.55"/>
    <n v="214200.55"/>
    <n v="100349.55"/>
    <n v="0"/>
    <n v="0"/>
    <n v="0"/>
    <n v="0"/>
    <n v="100349.55"/>
    <n v="214200.55"/>
  </r>
  <r>
    <n v="4499766028"/>
    <s v="Augustine"/>
    <s v="Layne"/>
    <x v="533"/>
    <x v="0"/>
    <n v="53063"/>
    <n v="17"/>
    <x v="533"/>
    <n v="500000"/>
    <n v="625000"/>
    <n v="750000"/>
    <n v="1000000"/>
    <n v="1.227112"/>
    <s v="100-125%"/>
    <n v="50000"/>
    <n v="17033.399999999998"/>
    <n v="0"/>
    <n v="0"/>
    <n v="0"/>
    <n v="67033.399999999994"/>
    <n v="120096.4"/>
    <n v="60000"/>
    <n v="19304.52"/>
    <n v="0"/>
    <n v="0"/>
    <n v="0"/>
    <n v="79304.52"/>
    <n v="132367.52000000002"/>
  </r>
  <r>
    <n v="1425230725"/>
    <s v="Devland"/>
    <s v="Le Prevost"/>
    <x v="534"/>
    <x v="1"/>
    <n v="79469"/>
    <n v="18"/>
    <x v="534"/>
    <n v="600000"/>
    <n v="750000"/>
    <n v="900000"/>
    <n v="1200000"/>
    <n v="1.0772783333333333"/>
    <s v="100-125%"/>
    <n v="78000"/>
    <n v="7882.39"/>
    <n v="0"/>
    <n v="0"/>
    <n v="0"/>
    <n v="85882.39"/>
    <n v="165351.39000000001"/>
    <n v="90000"/>
    <n v="8346.06"/>
    <n v="0"/>
    <n v="0"/>
    <n v="0"/>
    <n v="98346.06"/>
    <n v="177815.06"/>
  </r>
  <r>
    <n v="2183763965"/>
    <s v="Garner"/>
    <s v="Leatherbarrow"/>
    <x v="535"/>
    <x v="2"/>
    <n v="90615"/>
    <n v="19"/>
    <x v="535"/>
    <n v="750000"/>
    <n v="937500"/>
    <n v="1125000"/>
    <n v="1500000"/>
    <n v="0.92104533333333338"/>
    <s v="0-100%"/>
    <n v="103617.59999999999"/>
    <n v="0"/>
    <n v="0"/>
    <n v="0"/>
    <n v="0"/>
    <n v="103617.59999999999"/>
    <n v="194232.59999999998"/>
    <n v="103617.59999999999"/>
    <n v="0"/>
    <n v="0"/>
    <n v="0"/>
    <n v="0"/>
    <n v="103617.59999999999"/>
    <n v="194232.59999999998"/>
  </r>
  <r>
    <n v="9795921177"/>
    <s v="Eugene"/>
    <s v="Lebourn"/>
    <x v="536"/>
    <x v="0"/>
    <n v="63015"/>
    <n v="20"/>
    <x v="536"/>
    <n v="500000"/>
    <n v="625000"/>
    <n v="750000"/>
    <n v="1000000"/>
    <n v="1.2079040000000001"/>
    <s v="100-125%"/>
    <n v="50000"/>
    <n v="17671.84"/>
    <n v="0"/>
    <n v="0"/>
    <n v="0"/>
    <n v="67671.839999999997"/>
    <n v="130686.84"/>
    <n v="60000"/>
    <n v="17671.84"/>
    <n v="0"/>
    <n v="0"/>
    <n v="0"/>
    <n v="77671.839999999997"/>
    <n v="140686.84"/>
  </r>
  <r>
    <n v="4188124377"/>
    <s v="Nicko"/>
    <s v="Ledington"/>
    <x v="537"/>
    <x v="0"/>
    <n v="42063"/>
    <n v="9"/>
    <x v="537"/>
    <n v="500000"/>
    <n v="625000"/>
    <n v="750000"/>
    <n v="1000000"/>
    <n v="0.56653799999999999"/>
    <s v="0-100%"/>
    <n v="28326.9"/>
    <n v="0"/>
    <n v="0"/>
    <n v="0"/>
    <n v="0"/>
    <n v="28326.9"/>
    <n v="70389.899999999994"/>
    <n v="33992.28"/>
    <n v="0"/>
    <n v="0"/>
    <n v="0"/>
    <n v="0"/>
    <n v="33992.28"/>
    <n v="76055.28"/>
  </r>
  <r>
    <n v="1743464649"/>
    <s v="Deena"/>
    <s v="Leeming"/>
    <x v="538"/>
    <x v="1"/>
    <n v="62983"/>
    <n v="21"/>
    <x v="538"/>
    <n v="600000"/>
    <n v="750000"/>
    <n v="900000"/>
    <n v="1200000"/>
    <n v="1.1484433333333333"/>
    <s v="100-125%"/>
    <n v="78000"/>
    <n v="15141.220000000001"/>
    <n v="0"/>
    <n v="0"/>
    <n v="0"/>
    <n v="93141.22"/>
    <n v="156124.22"/>
    <n v="90000"/>
    <n v="16031.88"/>
    <n v="0"/>
    <n v="0"/>
    <n v="0"/>
    <n v="106031.88"/>
    <n v="169014.88"/>
  </r>
  <r>
    <n v="1522190236"/>
    <s v="Hymie"/>
    <s v="LeEstut"/>
    <x v="539"/>
    <x v="0"/>
    <n v="58957"/>
    <n v="16"/>
    <x v="539"/>
    <n v="500000"/>
    <n v="625000"/>
    <n v="750000"/>
    <n v="1000000"/>
    <n v="1.25552"/>
    <s v="125-150%"/>
    <n v="50000"/>
    <n v="23750"/>
    <n v="634.80000000000007"/>
    <n v="0"/>
    <n v="0"/>
    <n v="74384.800000000003"/>
    <n v="133341.79999999999"/>
    <n v="60000"/>
    <n v="21250"/>
    <n v="552"/>
    <n v="0"/>
    <n v="0"/>
    <n v="81802"/>
    <n v="140759"/>
  </r>
  <r>
    <n v="5407735911"/>
    <s v="Bernard"/>
    <s v="Lefeuvre"/>
    <x v="540"/>
    <x v="0"/>
    <n v="38807"/>
    <n v="24"/>
    <x v="540"/>
    <n v="500000"/>
    <n v="625000"/>
    <n v="750000"/>
    <n v="1000000"/>
    <n v="1.479474"/>
    <s v="125-150%"/>
    <n v="50000"/>
    <n v="18750"/>
    <n v="20652.66"/>
    <n v="0"/>
    <n v="0"/>
    <n v="89402.66"/>
    <n v="128209.66"/>
    <n v="60000"/>
    <n v="21250"/>
    <n v="22947.4"/>
    <n v="0"/>
    <n v="0"/>
    <n v="104197.4"/>
    <n v="143004.4"/>
  </r>
  <r>
    <n v="6733929554"/>
    <s v="Benedikt"/>
    <s v="Leisk"/>
    <x v="541"/>
    <x v="1"/>
    <n v="74110"/>
    <n v="17"/>
    <x v="541"/>
    <n v="600000"/>
    <n v="750000"/>
    <n v="900000"/>
    <n v="1200000"/>
    <n v="0.96763166666666667"/>
    <s v="0-100%"/>
    <n v="75475.27"/>
    <n v="0"/>
    <n v="0"/>
    <n v="0"/>
    <n v="0"/>
    <n v="75475.27"/>
    <n v="149585.27000000002"/>
    <n v="87086.849999999991"/>
    <n v="0"/>
    <n v="0"/>
    <n v="0"/>
    <n v="0"/>
    <n v="87086.849999999991"/>
    <n v="161196.84999999998"/>
  </r>
  <r>
    <n v="9245659313"/>
    <s v="Rafe"/>
    <s v="Leman"/>
    <x v="542"/>
    <x v="1"/>
    <n v="64732"/>
    <n v="9"/>
    <x v="542"/>
    <n v="600000"/>
    <n v="750000"/>
    <n v="900000"/>
    <n v="1200000"/>
    <n v="0.42714333333333332"/>
    <s v="0-100%"/>
    <n v="33317.18"/>
    <n v="0"/>
    <n v="0"/>
    <n v="0"/>
    <n v="0"/>
    <n v="33317.18"/>
    <n v="98049.18"/>
    <n v="38442.9"/>
    <n v="0"/>
    <n v="0"/>
    <n v="0"/>
    <n v="0"/>
    <n v="38442.9"/>
    <n v="103174.9"/>
  </r>
  <r>
    <n v="8099854152"/>
    <s v="Elroy"/>
    <s v="Lenaghen"/>
    <x v="543"/>
    <x v="0"/>
    <n v="33576"/>
    <n v="20"/>
    <x v="543"/>
    <n v="500000"/>
    <n v="625000"/>
    <n v="750000"/>
    <n v="1000000"/>
    <n v="1.45953"/>
    <s v="125-150%"/>
    <n v="50000"/>
    <n v="18750"/>
    <n v="18857.7"/>
    <n v="0"/>
    <n v="0"/>
    <n v="87607.7"/>
    <n v="121183.7"/>
    <n v="60000"/>
    <n v="21250"/>
    <n v="20953"/>
    <n v="0"/>
    <n v="0"/>
    <n v="102203"/>
    <n v="135779"/>
  </r>
  <r>
    <n v="9561367408"/>
    <s v="Tammy"/>
    <s v="Lenden"/>
    <x v="544"/>
    <x v="1"/>
    <n v="62798"/>
    <n v="18"/>
    <x v="544"/>
    <n v="600000"/>
    <n v="750000"/>
    <n v="900000"/>
    <n v="1200000"/>
    <n v="1.0350266666666668"/>
    <s v="100-125%"/>
    <n v="78000"/>
    <n v="3993.04"/>
    <n v="0"/>
    <n v="0"/>
    <n v="0"/>
    <n v="81993.039999999994"/>
    <n v="144791.03999999998"/>
    <n v="90000"/>
    <n v="3782.8799999999997"/>
    <n v="0"/>
    <n v="0"/>
    <n v="0"/>
    <n v="93782.88"/>
    <n v="156580.88"/>
  </r>
  <r>
    <n v="6358114417"/>
    <s v="Abra"/>
    <s v="Lenney"/>
    <x v="545"/>
    <x v="1"/>
    <n v="51000"/>
    <n v="16"/>
    <x v="545"/>
    <n v="600000"/>
    <n v="750000"/>
    <n v="900000"/>
    <n v="1200000"/>
    <n v="0.82525999999999999"/>
    <s v="0-100%"/>
    <n v="64370.28"/>
    <n v="0"/>
    <n v="0"/>
    <n v="0"/>
    <n v="0"/>
    <n v="64370.28"/>
    <n v="115370.28"/>
    <n v="74273.399999999994"/>
    <n v="0"/>
    <n v="0"/>
    <n v="0"/>
    <n v="0"/>
    <n v="74273.399999999994"/>
    <n v="125273.4"/>
  </r>
  <r>
    <n v="4795089876"/>
    <s v="Vale"/>
    <s v="Lesek"/>
    <x v="546"/>
    <x v="1"/>
    <n v="74505"/>
    <n v="21"/>
    <x v="546"/>
    <n v="600000"/>
    <n v="750000"/>
    <n v="900000"/>
    <n v="1200000"/>
    <n v="1.3468850000000001"/>
    <s v="125-150%"/>
    <n v="78000"/>
    <n v="28500"/>
    <n v="13370.130000000001"/>
    <n v="0"/>
    <n v="0"/>
    <n v="119870.13"/>
    <n v="194375.13"/>
    <n v="90000"/>
    <n v="27000"/>
    <n v="14532.75"/>
    <n v="0"/>
    <n v="0"/>
    <n v="131532.75"/>
    <n v="206037.75"/>
  </r>
  <r>
    <n v="9305168396"/>
    <s v="Lesley"/>
    <s v="Letford"/>
    <x v="547"/>
    <x v="0"/>
    <n v="56397"/>
    <n v="19"/>
    <x v="547"/>
    <n v="500000"/>
    <n v="625000"/>
    <n v="750000"/>
    <n v="1000000"/>
    <n v="1.4983900000000001"/>
    <s v="125-150%"/>
    <n v="50000"/>
    <n v="21250"/>
    <n v="26080.95"/>
    <n v="0"/>
    <n v="0"/>
    <n v="97330.95"/>
    <n v="153727.95000000001"/>
    <n v="60000"/>
    <n v="21250"/>
    <n v="24839"/>
    <n v="0"/>
    <n v="0"/>
    <n v="106089"/>
    <n v="162486"/>
  </r>
  <r>
    <n v="3463222345"/>
    <s v="Currie"/>
    <s v="Lethbury"/>
    <x v="548"/>
    <x v="0"/>
    <n v="50537"/>
    <n v="20"/>
    <x v="548"/>
    <n v="500000"/>
    <n v="625000"/>
    <n v="750000"/>
    <n v="1000000"/>
    <n v="1.192034"/>
    <s v="100-125%"/>
    <n v="50000"/>
    <n v="16322.890000000001"/>
    <n v="0"/>
    <n v="0"/>
    <n v="0"/>
    <n v="66322.89"/>
    <n v="116859.89"/>
    <n v="60000"/>
    <n v="16322.890000000001"/>
    <n v="0"/>
    <n v="0"/>
    <n v="0"/>
    <n v="76322.89"/>
    <n v="126859.89"/>
  </r>
  <r>
    <n v="8256403403"/>
    <s v="Scot"/>
    <s v="Lethem"/>
    <x v="549"/>
    <x v="2"/>
    <n v="116569"/>
    <n v="31"/>
    <x v="549"/>
    <n v="750000"/>
    <n v="937500"/>
    <n v="1125000"/>
    <n v="1500000"/>
    <n v="1.6322760000000001"/>
    <s v="150-200%"/>
    <n v="112500"/>
    <n v="31875.000000000004"/>
    <n v="39375"/>
    <n v="25793.82"/>
    <n v="0"/>
    <n v="209543.82"/>
    <n v="326112.82"/>
    <n v="112500"/>
    <n v="41250"/>
    <n v="46875"/>
    <n v="32738.31"/>
    <n v="0"/>
    <n v="233363.31"/>
    <n v="349932.31"/>
  </r>
  <r>
    <n v="5603002824"/>
    <s v="Friederike"/>
    <s v="Leve"/>
    <x v="550"/>
    <x v="1"/>
    <n v="71120"/>
    <n v="19"/>
    <x v="550"/>
    <n v="600000"/>
    <n v="750000"/>
    <n v="900000"/>
    <n v="1200000"/>
    <n v="1.2299216666666666"/>
    <s v="100-125%"/>
    <n v="78000"/>
    <n v="23452.010000000002"/>
    <n v="0"/>
    <n v="0"/>
    <n v="0"/>
    <n v="101452.01000000001"/>
    <n v="172572.01"/>
    <n v="90000"/>
    <n v="24831.54"/>
    <n v="0"/>
    <n v="0"/>
    <n v="0"/>
    <n v="114831.54000000001"/>
    <n v="185951.54"/>
  </r>
  <r>
    <n v="1279282711"/>
    <s v="Merilee"/>
    <s v="Leverich"/>
    <x v="551"/>
    <x v="1"/>
    <n v="64256"/>
    <n v="9"/>
    <x v="551"/>
    <n v="600000"/>
    <n v="750000"/>
    <n v="900000"/>
    <n v="1200000"/>
    <n v="0.57919833333333337"/>
    <s v="0-100%"/>
    <n v="45177.47"/>
    <n v="0"/>
    <n v="0"/>
    <n v="0"/>
    <n v="0"/>
    <n v="45177.47"/>
    <n v="109433.47"/>
    <n v="52127.85"/>
    <n v="0"/>
    <n v="0"/>
    <n v="0"/>
    <n v="0"/>
    <n v="52127.85"/>
    <n v="116383.85"/>
  </r>
  <r>
    <n v="3145010581"/>
    <s v="Granger"/>
    <s v="Lewin"/>
    <x v="552"/>
    <x v="1"/>
    <n v="65220"/>
    <n v="18"/>
    <x v="552"/>
    <n v="600000"/>
    <n v="750000"/>
    <n v="900000"/>
    <n v="1200000"/>
    <n v="1.1002216666666667"/>
    <s v="100-125%"/>
    <n v="78000"/>
    <n v="10222.61"/>
    <n v="0"/>
    <n v="0"/>
    <n v="0"/>
    <n v="88222.61"/>
    <n v="153442.60999999999"/>
    <n v="90000"/>
    <n v="10823.939999999999"/>
    <n v="0"/>
    <n v="0"/>
    <n v="0"/>
    <n v="100823.94"/>
    <n v="166043.94"/>
  </r>
  <r>
    <n v="5623178685"/>
    <s v="Zebedee"/>
    <s v="Lewzey"/>
    <x v="553"/>
    <x v="1"/>
    <n v="51223"/>
    <n v="21"/>
    <x v="553"/>
    <n v="600000"/>
    <n v="750000"/>
    <n v="900000"/>
    <n v="1200000"/>
    <n v="1.1036233333333334"/>
    <s v="100-125%"/>
    <n v="78000"/>
    <n v="10569.58"/>
    <n v="0"/>
    <n v="0"/>
    <n v="0"/>
    <n v="88569.58"/>
    <n v="139792.58000000002"/>
    <n v="90000"/>
    <n v="11191.32"/>
    <n v="0"/>
    <n v="0"/>
    <n v="0"/>
    <n v="101191.32"/>
    <n v="152414.32"/>
  </r>
  <r>
    <n v="3381164996"/>
    <s v="Doralynne"/>
    <s v="Lexa"/>
    <x v="554"/>
    <x v="2"/>
    <n v="75882"/>
    <n v="22"/>
    <x v="554"/>
    <n v="750000"/>
    <n v="937500"/>
    <n v="1125000"/>
    <n v="1500000"/>
    <n v="0.97885866666666665"/>
    <s v="0-100%"/>
    <n v="110121.59999999999"/>
    <n v="0"/>
    <n v="0"/>
    <n v="0"/>
    <n v="0"/>
    <n v="110121.59999999999"/>
    <n v="186003.59999999998"/>
    <n v="110121.59999999999"/>
    <n v="0"/>
    <n v="0"/>
    <n v="0"/>
    <n v="0"/>
    <n v="110121.59999999999"/>
    <n v="186003.59999999998"/>
  </r>
  <r>
    <n v="8705788102"/>
    <s v="Dion"/>
    <s v="Liccardi"/>
    <x v="555"/>
    <x v="0"/>
    <n v="61019"/>
    <n v="18"/>
    <x v="555"/>
    <n v="500000"/>
    <n v="625000"/>
    <n v="750000"/>
    <n v="1000000"/>
    <n v="1.275806"/>
    <s v="125-150%"/>
    <n v="50000"/>
    <n v="21250"/>
    <n v="2709.63"/>
    <n v="0"/>
    <n v="0"/>
    <n v="73959.63"/>
    <n v="134978.63"/>
    <n v="60000"/>
    <n v="21250"/>
    <n v="2580.6000000000004"/>
    <n v="0"/>
    <n v="0"/>
    <n v="83830.600000000006"/>
    <n v="144849.60000000001"/>
  </r>
  <r>
    <n v="7837437543"/>
    <s v="Doria"/>
    <s v="Lidgertwood"/>
    <x v="556"/>
    <x v="0"/>
    <n v="60633"/>
    <n v="17"/>
    <x v="556"/>
    <n v="500000"/>
    <n v="625000"/>
    <n v="750000"/>
    <n v="1000000"/>
    <n v="0.99307199999999995"/>
    <s v="0-100%"/>
    <n v="49653.600000000006"/>
    <n v="0"/>
    <n v="0"/>
    <n v="0"/>
    <n v="0"/>
    <n v="49653.600000000006"/>
    <n v="110286.6"/>
    <n v="59584.32"/>
    <n v="0"/>
    <n v="0"/>
    <n v="0"/>
    <n v="0"/>
    <n v="59584.32"/>
    <n v="120217.32"/>
  </r>
  <r>
    <n v="4958503722"/>
    <s v="Vincenz"/>
    <s v="Lillford"/>
    <x v="557"/>
    <x v="1"/>
    <n v="65536"/>
    <n v="14"/>
    <x v="557"/>
    <n v="600000"/>
    <n v="750000"/>
    <n v="900000"/>
    <n v="1200000"/>
    <n v="0.91916666666666669"/>
    <s v="0-100%"/>
    <n v="71695"/>
    <n v="0"/>
    <n v="0"/>
    <n v="0"/>
    <n v="0"/>
    <n v="71695"/>
    <n v="137231"/>
    <n v="82725"/>
    <n v="0"/>
    <n v="0"/>
    <n v="0"/>
    <n v="0"/>
    <n v="82725"/>
    <n v="148261"/>
  </r>
  <r>
    <n v="9128677390"/>
    <s v="Trude"/>
    <s v="Lindenbluth"/>
    <x v="558"/>
    <x v="2"/>
    <n v="87419"/>
    <n v="23"/>
    <x v="558"/>
    <n v="750000"/>
    <n v="937500"/>
    <n v="1125000"/>
    <n v="1500000"/>
    <n v="1.085888"/>
    <s v="100-125%"/>
    <n v="112500"/>
    <n v="12239.04"/>
    <n v="0"/>
    <n v="0"/>
    <n v="0"/>
    <n v="124739.04000000001"/>
    <n v="212158.04"/>
    <n v="112500"/>
    <n v="14171.52"/>
    <n v="0"/>
    <n v="0"/>
    <n v="0"/>
    <n v="126671.52"/>
    <n v="214090.52000000002"/>
  </r>
  <r>
    <n v="7866715386"/>
    <s v="Marjory"/>
    <s v="Lindman"/>
    <x v="559"/>
    <x v="1"/>
    <n v="62143"/>
    <n v="27"/>
    <x v="559"/>
    <n v="600000"/>
    <n v="750000"/>
    <n v="900000"/>
    <n v="1200000"/>
    <n v="1.6359616666666668"/>
    <s v="150-200%"/>
    <n v="78000"/>
    <n v="28500"/>
    <n v="34500"/>
    <n v="24473.1"/>
    <n v="0"/>
    <n v="165473.1"/>
    <n v="227616.1"/>
    <n v="90000"/>
    <n v="27000"/>
    <n v="37500"/>
    <n v="24473.1"/>
    <n v="0"/>
    <n v="178973.1"/>
    <n v="241116.1"/>
  </r>
  <r>
    <n v="1549399640"/>
    <s v="Pansie"/>
    <s v="Lingley"/>
    <x v="560"/>
    <x v="0"/>
    <n v="31856"/>
    <n v="28"/>
    <x v="560"/>
    <n v="500000"/>
    <n v="625000"/>
    <n v="750000"/>
    <n v="1000000"/>
    <n v="1.976156"/>
    <s v="150-200%"/>
    <n v="50000"/>
    <n v="18750"/>
    <n v="22500"/>
    <n v="52377.16"/>
    <n v="0"/>
    <n v="143627.16"/>
    <n v="175483.16"/>
    <n v="60000"/>
    <n v="21250"/>
    <n v="25000"/>
    <n v="52377.16"/>
    <n v="0"/>
    <n v="158627.16"/>
    <n v="190483.16"/>
  </r>
  <r>
    <n v="4191160419"/>
    <s v="Marleah"/>
    <s v="Lingner"/>
    <x v="561"/>
    <x v="0"/>
    <n v="39616"/>
    <n v="15"/>
    <x v="561"/>
    <n v="500000"/>
    <n v="625000"/>
    <n v="750000"/>
    <n v="1000000"/>
    <n v="1.2821119999999999"/>
    <s v="125-150%"/>
    <n v="50000"/>
    <n v="18750"/>
    <n v="2890.08"/>
    <n v="0"/>
    <n v="0"/>
    <n v="71640.08"/>
    <n v="111256.08"/>
    <n v="60000"/>
    <n v="21250"/>
    <n v="3211.2000000000003"/>
    <n v="0"/>
    <n v="0"/>
    <n v="84461.2"/>
    <n v="124077.2"/>
  </r>
  <r>
    <n v="3145039288"/>
    <s v="Jaimie"/>
    <s v="Lisimore"/>
    <x v="562"/>
    <x v="0"/>
    <n v="43162"/>
    <n v="21"/>
    <x v="562"/>
    <n v="500000"/>
    <n v="625000"/>
    <n v="750000"/>
    <n v="1000000"/>
    <n v="1.4598"/>
    <s v="125-150%"/>
    <n v="50000"/>
    <n v="23750"/>
    <n v="24127"/>
    <n v="0"/>
    <n v="0"/>
    <n v="97877"/>
    <n v="141039"/>
    <n v="60000"/>
    <n v="21250"/>
    <n v="20980"/>
    <n v="0"/>
    <n v="0"/>
    <n v="102230"/>
    <n v="145392"/>
  </r>
  <r>
    <n v="4969679754"/>
    <s v="Cecilia"/>
    <s v="Livingstone"/>
    <x v="563"/>
    <x v="1"/>
    <n v="54602"/>
    <n v="28"/>
    <x v="563"/>
    <n v="600000"/>
    <n v="750000"/>
    <n v="900000"/>
    <n v="1200000"/>
    <n v="1.7624566666666666"/>
    <s v="150-200%"/>
    <n v="78000"/>
    <n v="28500"/>
    <n v="34500"/>
    <n v="47242.2"/>
    <n v="0"/>
    <n v="188242.2"/>
    <n v="242844.2"/>
    <n v="90000"/>
    <n v="27000"/>
    <n v="37500"/>
    <n v="47242.2"/>
    <n v="0"/>
    <n v="201742.2"/>
    <n v="256344.2"/>
  </r>
  <r>
    <n v="3933561566"/>
    <s v="Kristien"/>
    <s v="Llewelly"/>
    <x v="564"/>
    <x v="0"/>
    <n v="39956"/>
    <n v="20"/>
    <x v="564"/>
    <n v="500000"/>
    <n v="625000"/>
    <n v="750000"/>
    <n v="1000000"/>
    <n v="1.26078"/>
    <s v="125-150%"/>
    <n v="50000"/>
    <n v="18750"/>
    <n v="970.19999999999993"/>
    <n v="0"/>
    <n v="0"/>
    <n v="69720.2"/>
    <n v="109676.2"/>
    <n v="60000"/>
    <n v="21250"/>
    <n v="1078"/>
    <n v="0"/>
    <n v="0"/>
    <n v="82328"/>
    <n v="122284"/>
  </r>
  <r>
    <n v="6487054410"/>
    <s v="Jonah"/>
    <s v="Lobb"/>
    <x v="565"/>
    <x v="1"/>
    <n v="64256"/>
    <n v="17"/>
    <x v="565"/>
    <n v="600000"/>
    <n v="750000"/>
    <n v="900000"/>
    <n v="1200000"/>
    <n v="0.95041833333333336"/>
    <s v="0-100%"/>
    <n v="74132.63"/>
    <n v="0"/>
    <n v="0"/>
    <n v="0"/>
    <n v="0"/>
    <n v="74132.63"/>
    <n v="138388.63"/>
    <n v="85537.65"/>
    <n v="0"/>
    <n v="0"/>
    <n v="0"/>
    <n v="0"/>
    <n v="85537.65"/>
    <n v="149793.65"/>
  </r>
  <r>
    <n v="1888252693"/>
    <s v="Barbara"/>
    <s v="Locker"/>
    <x v="566"/>
    <x v="1"/>
    <n v="65975"/>
    <n v="24"/>
    <x v="566"/>
    <n v="600000"/>
    <n v="750000"/>
    <n v="900000"/>
    <n v="1200000"/>
    <n v="1.5336083333333332"/>
    <s v="150-200%"/>
    <n v="78000"/>
    <n v="22500"/>
    <n v="27000"/>
    <n v="4436.3"/>
    <n v="0"/>
    <n v="131936.29999999999"/>
    <n v="197911.3"/>
    <n v="90000"/>
    <n v="27000"/>
    <n v="37500"/>
    <n v="6049.5"/>
    <n v="0"/>
    <n v="160549.5"/>
    <n v="226524.5"/>
  </r>
  <r>
    <n v="9317454674"/>
    <s v="Prentiss"/>
    <s v="Lockery"/>
    <x v="567"/>
    <x v="0"/>
    <n v="33116"/>
    <n v="15"/>
    <x v="567"/>
    <n v="500000"/>
    <n v="625000"/>
    <n v="750000"/>
    <n v="1000000"/>
    <n v="1.0869420000000001"/>
    <s v="100-125%"/>
    <n v="50000"/>
    <n v="8259.49"/>
    <n v="0"/>
    <n v="0"/>
    <n v="0"/>
    <n v="58259.49"/>
    <n v="91375.489999999991"/>
    <n v="60000"/>
    <n v="7390.0700000000006"/>
    <n v="0"/>
    <n v="0"/>
    <n v="0"/>
    <n v="67390.070000000007"/>
    <n v="100506.07"/>
  </r>
  <r>
    <n v="8685064791"/>
    <s v="Amalle"/>
    <s v="Lodo"/>
    <x v="568"/>
    <x v="1"/>
    <n v="74711"/>
    <n v="24"/>
    <x v="568"/>
    <n v="600000"/>
    <n v="750000"/>
    <n v="900000"/>
    <n v="1200000"/>
    <n v="1.0926783333333334"/>
    <s v="100-125%"/>
    <n v="78000"/>
    <n v="8341.0499999999993"/>
    <n v="0"/>
    <n v="0"/>
    <n v="0"/>
    <n v="86341.05"/>
    <n v="161052.04999999999"/>
    <n v="90000"/>
    <n v="10009.26"/>
    <n v="0"/>
    <n v="0"/>
    <n v="0"/>
    <n v="100009.26"/>
    <n v="174720.26"/>
  </r>
  <r>
    <n v="303831626"/>
    <s v="Emmerich"/>
    <s v="Longmuir"/>
    <x v="569"/>
    <x v="0"/>
    <n v="44015"/>
    <n v="19"/>
    <x v="569"/>
    <n v="500000"/>
    <n v="625000"/>
    <n v="750000"/>
    <n v="1000000"/>
    <n v="1.5771820000000001"/>
    <s v="150-200%"/>
    <n v="50000"/>
    <n v="21250"/>
    <n v="26250"/>
    <n v="10033.66"/>
    <n v="0"/>
    <n v="107533.66"/>
    <n v="151548.66"/>
    <n v="60000"/>
    <n v="21250"/>
    <n v="25000"/>
    <n v="8490.02"/>
    <n v="0"/>
    <n v="114740.02"/>
    <n v="158755.02000000002"/>
  </r>
  <r>
    <n v="4097160079"/>
    <s v="Robinia"/>
    <s v="Losseljong"/>
    <x v="570"/>
    <x v="2"/>
    <n v="93493"/>
    <n v="21"/>
    <x v="570"/>
    <n v="750000"/>
    <n v="937500"/>
    <n v="1125000"/>
    <n v="1500000"/>
    <n v="1.0247893333333333"/>
    <s v="100-125%"/>
    <n v="112500"/>
    <n v="3160.6400000000003"/>
    <n v="0"/>
    <n v="0"/>
    <n v="0"/>
    <n v="115660.64"/>
    <n v="209153.64"/>
    <n v="112500"/>
    <n v="4090.2400000000002"/>
    <n v="0"/>
    <n v="0"/>
    <n v="0"/>
    <n v="116590.24"/>
    <n v="210083.24"/>
  </r>
  <r>
    <n v="5948190226"/>
    <s v="Joletta"/>
    <s v="Lounds"/>
    <x v="571"/>
    <x v="0"/>
    <n v="41088"/>
    <n v="22"/>
    <x v="571"/>
    <n v="500000"/>
    <n v="625000"/>
    <n v="750000"/>
    <n v="1000000"/>
    <n v="1.399856"/>
    <s v="125-150%"/>
    <n v="50000"/>
    <n v="21250"/>
    <n v="15734.88"/>
    <n v="0"/>
    <n v="0"/>
    <n v="86984.88"/>
    <n v="128072.88"/>
    <n v="60000"/>
    <n v="21250"/>
    <n v="14985.6"/>
    <n v="0"/>
    <n v="0"/>
    <n v="96235.6"/>
    <n v="137323.6"/>
  </r>
  <r>
    <n v="6842797632"/>
    <s v="Jacky"/>
    <s v="Lovat"/>
    <x v="572"/>
    <x v="0"/>
    <n v="56368"/>
    <n v="16"/>
    <x v="572"/>
    <n v="500000"/>
    <n v="625000"/>
    <n v="750000"/>
    <n v="1000000"/>
    <n v="1.032802"/>
    <s v="100-125%"/>
    <n v="50000"/>
    <n v="2788.17"/>
    <n v="0"/>
    <n v="0"/>
    <n v="0"/>
    <n v="52788.17"/>
    <n v="109156.17"/>
    <n v="60000"/>
    <n v="2788.17"/>
    <n v="0"/>
    <n v="0"/>
    <n v="0"/>
    <n v="62788.17"/>
    <n v="119156.17"/>
  </r>
  <r>
    <n v="1545110042"/>
    <s v="Cairistiona"/>
    <s v="Lyver"/>
    <x v="573"/>
    <x v="1"/>
    <n v="79134"/>
    <n v="20"/>
    <x v="573"/>
    <n v="600000"/>
    <n v="750000"/>
    <n v="900000"/>
    <n v="1200000"/>
    <n v="1.2597133333333332"/>
    <s v="125-150%"/>
    <n v="78000"/>
    <n v="28500"/>
    <n v="1340.44"/>
    <n v="0"/>
    <n v="0"/>
    <n v="107840.44"/>
    <n v="186974.44"/>
    <n v="90000"/>
    <n v="27000"/>
    <n v="1457"/>
    <n v="0"/>
    <n v="0"/>
    <n v="118457"/>
    <n v="197591"/>
  </r>
  <r>
    <n v="357531329"/>
    <s v="Leyla"/>
    <s v="MacAree"/>
    <x v="574"/>
    <x v="0"/>
    <n v="45512"/>
    <n v="21"/>
    <x v="574"/>
    <n v="500000"/>
    <n v="625000"/>
    <n v="750000"/>
    <n v="1000000"/>
    <n v="1.501768"/>
    <s v="150-200%"/>
    <n v="50000"/>
    <n v="23750"/>
    <n v="28750"/>
    <n v="265.2"/>
    <n v="0"/>
    <n v="102765.2"/>
    <n v="148277.20000000001"/>
    <n v="60000"/>
    <n v="21250"/>
    <n v="25000"/>
    <n v="194.48"/>
    <n v="0"/>
    <n v="106444.48"/>
    <n v="151956.47999999998"/>
  </r>
  <r>
    <n v="8501525324"/>
    <s v="Kean"/>
    <s v="MacCrann"/>
    <x v="575"/>
    <x v="2"/>
    <n v="92754"/>
    <n v="26"/>
    <x v="575"/>
    <n v="750000"/>
    <n v="937500"/>
    <n v="1125000"/>
    <n v="1500000"/>
    <n v="1.2219720000000001"/>
    <s v="100-125%"/>
    <n v="112500"/>
    <n v="31631.010000000002"/>
    <n v="0"/>
    <n v="0"/>
    <n v="0"/>
    <n v="144131.01"/>
    <n v="236885.01"/>
    <n v="112500"/>
    <n v="36625.379999999997"/>
    <n v="0"/>
    <n v="0"/>
    <n v="0"/>
    <n v="149125.38"/>
    <n v="241879.38"/>
  </r>
  <r>
    <n v="7054972058"/>
    <s v="Boycey"/>
    <s v="MacDermott"/>
    <x v="576"/>
    <x v="1"/>
    <n v="75430"/>
    <n v="16"/>
    <x v="576"/>
    <n v="600000"/>
    <n v="750000"/>
    <n v="900000"/>
    <n v="1200000"/>
    <n v="0.7632983333333333"/>
    <s v="0-100%"/>
    <n v="59537.270000000004"/>
    <n v="0"/>
    <n v="0"/>
    <n v="0"/>
    <n v="0"/>
    <n v="59537.270000000004"/>
    <n v="134967.27000000002"/>
    <n v="68696.849999999991"/>
    <n v="0"/>
    <n v="0"/>
    <n v="0"/>
    <n v="0"/>
    <n v="68696.849999999991"/>
    <n v="144126.84999999998"/>
  </r>
  <r>
    <n v="5837501576"/>
    <s v="Camila"/>
    <s v="MacGillespie"/>
    <x v="577"/>
    <x v="0"/>
    <n v="52489"/>
    <n v="29"/>
    <x v="577"/>
    <n v="500000"/>
    <n v="625000"/>
    <n v="750000"/>
    <n v="1000000"/>
    <n v="1.94858"/>
    <s v="150-200%"/>
    <n v="50000"/>
    <n v="23750"/>
    <n v="28750"/>
    <n v="67287"/>
    <n v="0"/>
    <n v="169787"/>
    <n v="222276"/>
    <n v="60000"/>
    <n v="21250"/>
    <n v="25000"/>
    <n v="49343.8"/>
    <n v="0"/>
    <n v="155593.79999999999"/>
    <n v="208082.8"/>
  </r>
  <r>
    <n v="3227873028"/>
    <s v="Sophie"/>
    <s v="MacLoughlin"/>
    <x v="578"/>
    <x v="1"/>
    <n v="66623"/>
    <n v="24"/>
    <x v="578"/>
    <n v="600000"/>
    <n v="750000"/>
    <n v="900000"/>
    <n v="1200000"/>
    <n v="1.389335"/>
    <s v="125-150%"/>
    <n v="78000"/>
    <n v="28500"/>
    <n v="19228.23"/>
    <n v="0"/>
    <n v="0"/>
    <n v="125728.23"/>
    <n v="192351.22999999998"/>
    <n v="90000"/>
    <n v="27000"/>
    <n v="20900.25"/>
    <n v="0"/>
    <n v="0"/>
    <n v="137900.25"/>
    <n v="204523.25"/>
  </r>
  <r>
    <n v="4579641655"/>
    <s v="Karney"/>
    <s v="MacMillan"/>
    <x v="579"/>
    <x v="1"/>
    <n v="58990"/>
    <n v="16"/>
    <x v="579"/>
    <n v="600000"/>
    <n v="750000"/>
    <n v="900000"/>
    <n v="1200000"/>
    <n v="0.95957833333333331"/>
    <s v="0-100%"/>
    <n v="74847.11"/>
    <n v="0"/>
    <n v="0"/>
    <n v="0"/>
    <n v="0"/>
    <n v="74847.11"/>
    <n v="133837.10999999999"/>
    <n v="86362.05"/>
    <n v="0"/>
    <n v="0"/>
    <n v="0"/>
    <n v="0"/>
    <n v="86362.05"/>
    <n v="145352.04999999999"/>
  </r>
  <r>
    <n v="3569619966"/>
    <s v="Beatrice"/>
    <s v="MacRorie"/>
    <x v="580"/>
    <x v="2"/>
    <n v="93357"/>
    <n v="18"/>
    <x v="580"/>
    <n v="750000"/>
    <n v="937500"/>
    <n v="1125000"/>
    <n v="1500000"/>
    <n v="0.79468266666666665"/>
    <s v="0-100%"/>
    <n v="89401.8"/>
    <n v="0"/>
    <n v="0"/>
    <n v="0"/>
    <n v="0"/>
    <n v="89401.8"/>
    <n v="182758.8"/>
    <n v="89401.8"/>
    <n v="0"/>
    <n v="0"/>
    <n v="0"/>
    <n v="0"/>
    <n v="89401.8"/>
    <n v="182758.8"/>
  </r>
  <r>
    <n v="9684187432"/>
    <s v="Rutter"/>
    <s v="Maddams"/>
    <x v="581"/>
    <x v="1"/>
    <n v="61998"/>
    <n v="21"/>
    <x v="581"/>
    <n v="600000"/>
    <n v="750000"/>
    <n v="900000"/>
    <n v="1200000"/>
    <n v="1.1325183333333333"/>
    <s v="100-125%"/>
    <n v="78000"/>
    <n v="11926.65"/>
    <n v="0"/>
    <n v="0"/>
    <n v="0"/>
    <n v="89926.65"/>
    <n v="151924.65"/>
    <n v="90000"/>
    <n v="14311.98"/>
    <n v="0"/>
    <n v="0"/>
    <n v="0"/>
    <n v="104311.98"/>
    <n v="166309.97999999998"/>
  </r>
  <r>
    <n v="5913755731"/>
    <s v="Minetta"/>
    <s v="Maden"/>
    <x v="582"/>
    <x v="1"/>
    <n v="51706"/>
    <n v="20"/>
    <x v="582"/>
    <n v="600000"/>
    <n v="750000"/>
    <n v="900000"/>
    <n v="1200000"/>
    <n v="0.94747166666666671"/>
    <s v="0-100%"/>
    <n v="73902.790000000008"/>
    <n v="0"/>
    <n v="0"/>
    <n v="0"/>
    <n v="0"/>
    <n v="73902.790000000008"/>
    <n v="125608.79000000001"/>
    <n v="85272.45"/>
    <n v="0"/>
    <n v="0"/>
    <n v="0"/>
    <n v="0"/>
    <n v="85272.45"/>
    <n v="136978.45000000001"/>
  </r>
  <r>
    <n v="3156820482"/>
    <s v="Kimberlyn"/>
    <s v="Maffia"/>
    <x v="583"/>
    <x v="2"/>
    <n v="121894"/>
    <n v="24"/>
    <x v="583"/>
    <n v="750000"/>
    <n v="937500"/>
    <n v="1125000"/>
    <n v="1500000"/>
    <n v="1.0203173333333333"/>
    <s v="100-125%"/>
    <n v="112500"/>
    <n v="2285.6999999999998"/>
    <n v="0"/>
    <n v="0"/>
    <n v="0"/>
    <n v="114785.7"/>
    <n v="236679.7"/>
    <n v="112500"/>
    <n v="3352.36"/>
    <n v="0"/>
    <n v="0"/>
    <n v="0"/>
    <n v="115852.36"/>
    <n v="237746.36"/>
  </r>
  <r>
    <n v="7188904251"/>
    <s v="Vail"/>
    <s v="Mailey"/>
    <x v="584"/>
    <x v="2"/>
    <n v="123195"/>
    <n v="21"/>
    <x v="584"/>
    <n v="750000"/>
    <n v="937500"/>
    <n v="1125000"/>
    <n v="1500000"/>
    <n v="1.0776613333333334"/>
    <s v="100-125%"/>
    <n v="112500"/>
    <n v="11066.74"/>
    <n v="0"/>
    <n v="0"/>
    <n v="0"/>
    <n v="123566.74"/>
    <n v="246761.74"/>
    <n v="112500"/>
    <n v="12814.12"/>
    <n v="0"/>
    <n v="0"/>
    <n v="0"/>
    <n v="125314.12"/>
    <n v="248509.12"/>
  </r>
  <r>
    <n v="2191930824"/>
    <s v="Franny"/>
    <s v="Malarkey"/>
    <x v="585"/>
    <x v="1"/>
    <n v="69316"/>
    <n v="16"/>
    <x v="585"/>
    <n v="600000"/>
    <n v="750000"/>
    <n v="900000"/>
    <n v="1200000"/>
    <n v="0.88122833333333328"/>
    <s v="0-100%"/>
    <n v="68735.81"/>
    <n v="0"/>
    <n v="0"/>
    <n v="0"/>
    <n v="0"/>
    <n v="68735.81"/>
    <n v="138051.81"/>
    <n v="79310.55"/>
    <n v="0"/>
    <n v="0"/>
    <n v="0"/>
    <n v="0"/>
    <n v="79310.55"/>
    <n v="148626.54999999999"/>
  </r>
  <r>
    <n v="4184483038"/>
    <s v="Ward"/>
    <s v="Mance"/>
    <x v="586"/>
    <x v="1"/>
    <n v="77207"/>
    <n v="22"/>
    <x v="586"/>
    <n v="600000"/>
    <n v="750000"/>
    <n v="900000"/>
    <n v="1200000"/>
    <n v="1.0978483333333333"/>
    <s v="100-125%"/>
    <n v="78000"/>
    <n v="9980.5300000000007"/>
    <n v="0"/>
    <n v="0"/>
    <n v="0"/>
    <n v="87980.53"/>
    <n v="165187.53"/>
    <n v="90000"/>
    <n v="10567.619999999999"/>
    <n v="0"/>
    <n v="0"/>
    <n v="0"/>
    <n v="100567.62"/>
    <n v="177774.62"/>
  </r>
  <r>
    <n v="3213290963"/>
    <s v="Colette"/>
    <s v="Mangon"/>
    <x v="587"/>
    <x v="1"/>
    <n v="55737"/>
    <n v="28"/>
    <x v="587"/>
    <n v="600000"/>
    <n v="750000"/>
    <n v="900000"/>
    <n v="1200000"/>
    <n v="1.8785700000000001"/>
    <s v="150-200%"/>
    <n v="78000"/>
    <n v="22500"/>
    <n v="27000"/>
    <n v="49971.24"/>
    <n v="0"/>
    <n v="177471.24"/>
    <n v="233208.24"/>
    <n v="90000"/>
    <n v="27000"/>
    <n v="37500"/>
    <n v="68142.599999999991"/>
    <n v="0"/>
    <n v="222642.59999999998"/>
    <n v="278379.59999999998"/>
  </r>
  <r>
    <n v="8533410514"/>
    <s v="Xylia"/>
    <s v="Manshaw"/>
    <x v="588"/>
    <x v="1"/>
    <n v="60161"/>
    <n v="26"/>
    <x v="588"/>
    <n v="600000"/>
    <n v="750000"/>
    <n v="900000"/>
    <n v="1200000"/>
    <n v="1.6531516666666666"/>
    <s v="150-200%"/>
    <n v="78000"/>
    <n v="28500"/>
    <n v="34500"/>
    <n v="27567.3"/>
    <n v="0"/>
    <n v="168567.3"/>
    <n v="228728.3"/>
    <n v="90000"/>
    <n v="27000"/>
    <n v="37500"/>
    <n v="27567.3"/>
    <n v="0"/>
    <n v="182067.3"/>
    <n v="242228.3"/>
  </r>
  <r>
    <n v="9229113786"/>
    <s v="Chas"/>
    <s v="Manthorpe"/>
    <x v="589"/>
    <x v="0"/>
    <n v="64025"/>
    <n v="11"/>
    <x v="589"/>
    <n v="500000"/>
    <n v="625000"/>
    <n v="750000"/>
    <n v="1000000"/>
    <n v="0.74739"/>
    <s v="0-100%"/>
    <n v="37369.5"/>
    <n v="0"/>
    <n v="0"/>
    <n v="0"/>
    <n v="0"/>
    <n v="37369.5"/>
    <n v="101394.5"/>
    <n v="44843.4"/>
    <n v="0"/>
    <n v="0"/>
    <n v="0"/>
    <n v="0"/>
    <n v="44843.4"/>
    <n v="108868.4"/>
  </r>
  <r>
    <n v="8462409454"/>
    <s v="Jesus"/>
    <s v="Mantle"/>
    <x v="590"/>
    <x v="1"/>
    <n v="78799"/>
    <n v="17"/>
    <x v="590"/>
    <n v="600000"/>
    <n v="750000"/>
    <n v="900000"/>
    <n v="1200000"/>
    <n v="1.0374766666666666"/>
    <s v="100-125%"/>
    <n v="78000"/>
    <n v="4272.34"/>
    <n v="0"/>
    <n v="0"/>
    <n v="0"/>
    <n v="82272.34"/>
    <n v="161071.34"/>
    <n v="90000"/>
    <n v="4047.48"/>
    <n v="0"/>
    <n v="0"/>
    <n v="0"/>
    <n v="94047.48"/>
    <n v="172846.47999999998"/>
  </r>
  <r>
    <n v="8904404991"/>
    <s v="Quintin"/>
    <s v="Marc"/>
    <x v="591"/>
    <x v="1"/>
    <n v="79473"/>
    <n v="20"/>
    <x v="591"/>
    <n v="600000"/>
    <n v="750000"/>
    <n v="900000"/>
    <n v="1200000"/>
    <n v="1.3479216666666667"/>
    <s v="125-150%"/>
    <n v="78000"/>
    <n v="22500"/>
    <n v="10575.539999999999"/>
    <n v="0"/>
    <n v="0"/>
    <n v="111075.54"/>
    <n v="190548.53999999998"/>
    <n v="90000"/>
    <n v="27000"/>
    <n v="14688.25"/>
    <n v="0"/>
    <n v="0"/>
    <n v="131688.25"/>
    <n v="211161.25"/>
  </r>
  <r>
    <n v="9727426344"/>
    <s v="Kendra"/>
    <s v="March"/>
    <x v="592"/>
    <x v="2"/>
    <n v="78393"/>
    <n v="10"/>
    <x v="592"/>
    <n v="750000"/>
    <n v="937500"/>
    <n v="1125000"/>
    <n v="1500000"/>
    <n v="0.46868533333333334"/>
    <s v="0-100%"/>
    <n v="52727.1"/>
    <n v="0"/>
    <n v="0"/>
    <n v="0"/>
    <n v="0"/>
    <n v="52727.1"/>
    <n v="131120.1"/>
    <n v="52727.1"/>
    <n v="0"/>
    <n v="0"/>
    <n v="0"/>
    <n v="0"/>
    <n v="52727.1"/>
    <n v="131120.1"/>
  </r>
  <r>
    <n v="5907724676"/>
    <s v="Laird"/>
    <s v="Margiotta"/>
    <x v="593"/>
    <x v="1"/>
    <n v="75197"/>
    <n v="19"/>
    <x v="593"/>
    <n v="600000"/>
    <n v="750000"/>
    <n v="900000"/>
    <n v="1200000"/>
    <n v="1.1224099999999999"/>
    <s v="100-125%"/>
    <n v="78000"/>
    <n v="11016.9"/>
    <n v="0"/>
    <n v="0"/>
    <n v="0"/>
    <n v="89016.9"/>
    <n v="164213.9"/>
    <n v="90000"/>
    <n v="13220.279999999999"/>
    <n v="0"/>
    <n v="0"/>
    <n v="0"/>
    <n v="103220.28"/>
    <n v="178417.28"/>
  </r>
  <r>
    <n v="7585281072"/>
    <s v="Marie-jeanne"/>
    <s v="Marrow"/>
    <x v="594"/>
    <x v="0"/>
    <n v="48015"/>
    <n v="16"/>
    <x v="594"/>
    <n v="500000"/>
    <n v="625000"/>
    <n v="750000"/>
    <n v="1000000"/>
    <n v="0.98577199999999998"/>
    <s v="0-100%"/>
    <n v="49288.600000000006"/>
    <n v="0"/>
    <n v="0"/>
    <n v="0"/>
    <n v="0"/>
    <n v="49288.600000000006"/>
    <n v="97303.6"/>
    <n v="59146.32"/>
    <n v="0"/>
    <n v="0"/>
    <n v="0"/>
    <n v="0"/>
    <n v="59146.32"/>
    <n v="107161.32"/>
  </r>
  <r>
    <n v="8945564357"/>
    <s v="Brendis"/>
    <s v="Marsie"/>
    <x v="595"/>
    <x v="2"/>
    <n v="123875"/>
    <n v="20"/>
    <x v="595"/>
    <n v="750000"/>
    <n v="937500"/>
    <n v="1125000"/>
    <n v="1500000"/>
    <n v="1.1452933333333333"/>
    <s v="100-125%"/>
    <n v="112500"/>
    <n v="20704.3"/>
    <n v="0"/>
    <n v="0"/>
    <n v="0"/>
    <n v="133204.29999999999"/>
    <n v="257079.3"/>
    <n v="112500"/>
    <n v="23973.4"/>
    <n v="0"/>
    <n v="0"/>
    <n v="0"/>
    <n v="136473.4"/>
    <n v="260348.4"/>
  </r>
  <r>
    <n v="4920920075"/>
    <s v="Boycie"/>
    <s v="Marten"/>
    <x v="596"/>
    <x v="0"/>
    <n v="54277"/>
    <n v="21"/>
    <x v="596"/>
    <n v="500000"/>
    <n v="625000"/>
    <n v="750000"/>
    <n v="1000000"/>
    <n v="1.465306"/>
    <s v="125-150%"/>
    <n v="50000"/>
    <n v="21250"/>
    <n v="22607.129999999997"/>
    <n v="0"/>
    <n v="0"/>
    <n v="93857.13"/>
    <n v="148134.13"/>
    <n v="60000"/>
    <n v="21250"/>
    <n v="21530.600000000002"/>
    <n v="0"/>
    <n v="0"/>
    <n v="102780.6"/>
    <n v="157057.60000000001"/>
  </r>
  <r>
    <n v="1969484233"/>
    <s v="Elisabetta"/>
    <s v="Martinec"/>
    <x v="597"/>
    <x v="0"/>
    <n v="40510"/>
    <n v="9"/>
    <x v="597"/>
    <n v="500000"/>
    <n v="625000"/>
    <n v="750000"/>
    <n v="1000000"/>
    <n v="0.66172799999999998"/>
    <s v="0-100%"/>
    <n v="33086.400000000001"/>
    <n v="0"/>
    <n v="0"/>
    <n v="0"/>
    <n v="0"/>
    <n v="33086.400000000001"/>
    <n v="73596.399999999994"/>
    <n v="39703.68"/>
    <n v="0"/>
    <n v="0"/>
    <n v="0"/>
    <n v="0"/>
    <n v="39703.68"/>
    <n v="80213.679999999993"/>
  </r>
  <r>
    <n v="7628323464"/>
    <s v="Jess"/>
    <s v="Martini"/>
    <x v="598"/>
    <x v="1"/>
    <n v="79758"/>
    <n v="19"/>
    <x v="598"/>
    <n v="600000"/>
    <n v="750000"/>
    <n v="900000"/>
    <n v="1200000"/>
    <n v="1.1570750000000001"/>
    <s v="100-125%"/>
    <n v="78000"/>
    <n v="16021.650000000001"/>
    <n v="0"/>
    <n v="0"/>
    <n v="0"/>
    <n v="94021.65"/>
    <n v="173779.65"/>
    <n v="90000"/>
    <n v="16964.099999999999"/>
    <n v="0"/>
    <n v="0"/>
    <n v="0"/>
    <n v="106964.1"/>
    <n v="186722.1"/>
  </r>
  <r>
    <n v="2158895349"/>
    <s v="Nickolai"/>
    <s v="Martins"/>
    <x v="599"/>
    <x v="0"/>
    <n v="35359"/>
    <n v="14"/>
    <x v="599"/>
    <n v="500000"/>
    <n v="625000"/>
    <n v="750000"/>
    <n v="1000000"/>
    <n v="0.86009800000000003"/>
    <s v="0-100%"/>
    <n v="43004.9"/>
    <n v="0"/>
    <n v="0"/>
    <n v="0"/>
    <n v="0"/>
    <n v="43004.9"/>
    <n v="78363.899999999994"/>
    <n v="51605.88"/>
    <n v="0"/>
    <n v="0"/>
    <n v="0"/>
    <n v="0"/>
    <n v="51605.88"/>
    <n v="86964.88"/>
  </r>
  <r>
    <n v="8875305560"/>
    <s v="Mab"/>
    <s v="Marxsen"/>
    <x v="600"/>
    <x v="1"/>
    <n v="71613"/>
    <n v="31"/>
    <x v="600"/>
    <n v="600000"/>
    <n v="750000"/>
    <n v="900000"/>
    <n v="1200000"/>
    <n v="1.7100983333333333"/>
    <s v="150-200%"/>
    <n v="78000"/>
    <n v="22500"/>
    <n v="27000"/>
    <n v="27732.98"/>
    <n v="0"/>
    <n v="155232.98000000001"/>
    <n v="226845.98"/>
    <n v="90000"/>
    <n v="27000"/>
    <n v="37500"/>
    <n v="37817.699999999997"/>
    <n v="0"/>
    <n v="192317.7"/>
    <n v="263930.7"/>
  </r>
  <r>
    <n v="8788824691"/>
    <s v="Hamlin"/>
    <s v="Matchitt"/>
    <x v="601"/>
    <x v="0"/>
    <n v="36801"/>
    <n v="15"/>
    <x v="601"/>
    <n v="500000"/>
    <n v="625000"/>
    <n v="750000"/>
    <n v="1000000"/>
    <n v="1.110414"/>
    <s v="100-125%"/>
    <n v="50000"/>
    <n v="9385.19"/>
    <n v="0"/>
    <n v="0"/>
    <n v="0"/>
    <n v="59385.19"/>
    <n v="96186.19"/>
    <n v="60000"/>
    <n v="9385.19"/>
    <n v="0"/>
    <n v="0"/>
    <n v="0"/>
    <n v="69385.19"/>
    <n v="106186.19"/>
  </r>
  <r>
    <n v="8175279842"/>
    <s v="Nicolette"/>
    <s v="Matityahu"/>
    <x v="602"/>
    <x v="1"/>
    <n v="50337"/>
    <n v="16"/>
    <x v="602"/>
    <n v="600000"/>
    <n v="750000"/>
    <n v="900000"/>
    <n v="1200000"/>
    <n v="0.89331000000000005"/>
    <s v="0-100%"/>
    <n v="69678.180000000008"/>
    <n v="0"/>
    <n v="0"/>
    <n v="0"/>
    <n v="0"/>
    <n v="69678.180000000008"/>
    <n v="120015.18000000001"/>
    <n v="80397.899999999994"/>
    <n v="0"/>
    <n v="0"/>
    <n v="0"/>
    <n v="0"/>
    <n v="80397.899999999994"/>
    <n v="130734.9"/>
  </r>
  <r>
    <n v="2130919499"/>
    <s v="Odell"/>
    <s v="Matterdace"/>
    <x v="603"/>
    <x v="1"/>
    <n v="76111"/>
    <n v="13"/>
    <x v="603"/>
    <n v="600000"/>
    <n v="750000"/>
    <n v="900000"/>
    <n v="1200000"/>
    <n v="0.87294833333333333"/>
    <s v="0-100%"/>
    <n v="68089.97"/>
    <n v="0"/>
    <n v="0"/>
    <n v="0"/>
    <n v="0"/>
    <n v="68089.97"/>
    <n v="144200.97"/>
    <n v="78565.349999999991"/>
    <n v="0"/>
    <n v="0"/>
    <n v="0"/>
    <n v="0"/>
    <n v="78565.349999999991"/>
    <n v="154676.34999999998"/>
  </r>
  <r>
    <n v="689661541"/>
    <s v="Barbi"/>
    <s v="Matysiak"/>
    <x v="604"/>
    <x v="1"/>
    <n v="64134"/>
    <n v="18"/>
    <x v="604"/>
    <n v="600000"/>
    <n v="750000"/>
    <n v="900000"/>
    <n v="1200000"/>
    <n v="1.0038533333333333"/>
    <s v="100-125%"/>
    <n v="78000"/>
    <n v="393.04"/>
    <n v="0"/>
    <n v="0"/>
    <n v="0"/>
    <n v="78393.039999999994"/>
    <n v="142527.03999999998"/>
    <n v="90000"/>
    <n v="416.15999999999997"/>
    <n v="0"/>
    <n v="0"/>
    <n v="0"/>
    <n v="90416.16"/>
    <n v="154550.16"/>
  </r>
  <r>
    <n v="1462119603"/>
    <s v="Carce"/>
    <s v="Maund"/>
    <x v="605"/>
    <x v="2"/>
    <n v="101235"/>
    <n v="20"/>
    <x v="605"/>
    <n v="750000"/>
    <n v="937500"/>
    <n v="1125000"/>
    <n v="1500000"/>
    <n v="0.87188266666666669"/>
    <s v="0-100%"/>
    <n v="98086.8"/>
    <n v="0"/>
    <n v="0"/>
    <n v="0"/>
    <n v="0"/>
    <n v="98086.8"/>
    <n v="199321.8"/>
    <n v="98086.8"/>
    <n v="0"/>
    <n v="0"/>
    <n v="0"/>
    <n v="0"/>
    <n v="98086.8"/>
    <n v="199321.8"/>
  </r>
  <r>
    <n v="1081492333"/>
    <s v="Barnabe"/>
    <s v="McCaighey"/>
    <x v="606"/>
    <x v="2"/>
    <n v="115135"/>
    <n v="32"/>
    <x v="606"/>
    <n v="750000"/>
    <n v="937500"/>
    <n v="1125000"/>
    <n v="1500000"/>
    <n v="1.5636319999999999"/>
    <s v="150-200%"/>
    <n v="112500"/>
    <n v="35625"/>
    <n v="43125"/>
    <n v="14317.199999999999"/>
    <n v="0"/>
    <n v="205567.2"/>
    <n v="320702.2"/>
    <n v="112500"/>
    <n v="41250"/>
    <n v="46875"/>
    <n v="15748.92"/>
    <n v="0"/>
    <n v="216373.92"/>
    <n v="331508.92000000004"/>
  </r>
  <r>
    <n v="8507800106"/>
    <s v="Nisse"/>
    <s v="McCauley"/>
    <x v="607"/>
    <x v="0"/>
    <n v="48566"/>
    <n v="23"/>
    <x v="607"/>
    <n v="500000"/>
    <n v="625000"/>
    <n v="750000"/>
    <n v="1000000"/>
    <n v="1.45299"/>
    <s v="125-150%"/>
    <n v="50000"/>
    <n v="21250"/>
    <n v="21313.95"/>
    <n v="0"/>
    <n v="0"/>
    <n v="92563.95"/>
    <n v="141129.95000000001"/>
    <n v="60000"/>
    <n v="21250"/>
    <n v="20299"/>
    <n v="0"/>
    <n v="0"/>
    <n v="101549"/>
    <n v="150115"/>
  </r>
  <r>
    <n v="7263964236"/>
    <s v="Chev"/>
    <s v="McConnal"/>
    <x v="608"/>
    <x v="2"/>
    <n v="93512"/>
    <n v="15"/>
    <x v="608"/>
    <n v="750000"/>
    <n v="937500"/>
    <n v="1125000"/>
    <n v="1500000"/>
    <n v="0.53414133333333336"/>
    <s v="0-100%"/>
    <n v="60090.899999999994"/>
    <n v="0"/>
    <n v="0"/>
    <n v="0"/>
    <n v="0"/>
    <n v="60090.899999999994"/>
    <n v="153602.9"/>
    <n v="60090.899999999994"/>
    <n v="0"/>
    <n v="0"/>
    <n v="0"/>
    <n v="0"/>
    <n v="60090.899999999994"/>
    <n v="153602.9"/>
  </r>
  <r>
    <n v="4372257910"/>
    <s v="Heddi"/>
    <s v="McCurley"/>
    <x v="609"/>
    <x v="1"/>
    <n v="58343"/>
    <n v="16"/>
    <x v="609"/>
    <n v="600000"/>
    <n v="750000"/>
    <n v="900000"/>
    <n v="1200000"/>
    <n v="1.0749116666666667"/>
    <s v="100-125%"/>
    <n v="78000"/>
    <n v="8539.93"/>
    <n v="0"/>
    <n v="0"/>
    <n v="0"/>
    <n v="86539.93"/>
    <n v="144882.93"/>
    <n v="90000"/>
    <n v="8090.46"/>
    <n v="0"/>
    <n v="0"/>
    <n v="0"/>
    <n v="98090.46"/>
    <n v="156433.46000000002"/>
  </r>
  <r>
    <n v="4656574848"/>
    <s v="Kathrine"/>
    <s v="McDougald"/>
    <x v="610"/>
    <x v="0"/>
    <n v="62869"/>
    <n v="17"/>
    <x v="610"/>
    <n v="500000"/>
    <n v="625000"/>
    <n v="750000"/>
    <n v="1000000"/>
    <n v="1.10259"/>
    <s v="100-125%"/>
    <n v="50000"/>
    <n v="8720.1500000000015"/>
    <n v="0"/>
    <n v="0"/>
    <n v="0"/>
    <n v="58720.15"/>
    <n v="121589.15"/>
    <n v="60000"/>
    <n v="8720.1500000000015"/>
    <n v="0"/>
    <n v="0"/>
    <n v="0"/>
    <n v="68720.149999999994"/>
    <n v="131589.15"/>
  </r>
  <r>
    <n v="5861892008"/>
    <s v="Massimo"/>
    <s v="McDougle"/>
    <x v="611"/>
    <x v="2"/>
    <n v="98780"/>
    <n v="22"/>
    <x v="611"/>
    <n v="750000"/>
    <n v="937500"/>
    <n v="1125000"/>
    <n v="1500000"/>
    <n v="1.052756"/>
    <s v="100-125%"/>
    <n v="112500"/>
    <n v="6726.39"/>
    <n v="0"/>
    <n v="0"/>
    <n v="0"/>
    <n v="119226.39"/>
    <n v="218006.39"/>
    <n v="112500"/>
    <n v="8704.74"/>
    <n v="0"/>
    <n v="0"/>
    <n v="0"/>
    <n v="121204.74"/>
    <n v="219984.74"/>
  </r>
  <r>
    <n v="7914395587"/>
    <s v="Amandie"/>
    <s v="McDyer"/>
    <x v="612"/>
    <x v="1"/>
    <n v="69724"/>
    <n v="21"/>
    <x v="612"/>
    <n v="600000"/>
    <n v="750000"/>
    <n v="900000"/>
    <n v="1200000"/>
    <n v="1.3998383333333333"/>
    <s v="125-150%"/>
    <n v="78000"/>
    <n v="28500"/>
    <n v="20677.690000000002"/>
    <n v="0"/>
    <n v="0"/>
    <n v="127177.69"/>
    <n v="196901.69"/>
    <n v="90000"/>
    <n v="27000"/>
    <n v="22475.75"/>
    <n v="0"/>
    <n v="0"/>
    <n v="139475.75"/>
    <n v="209199.75"/>
  </r>
  <r>
    <n v="9483290694"/>
    <s v="Barth"/>
    <s v="McGifford"/>
    <x v="613"/>
    <x v="0"/>
    <n v="41287"/>
    <n v="26"/>
    <x v="613"/>
    <n v="500000"/>
    <n v="625000"/>
    <n v="750000"/>
    <n v="1000000"/>
    <n v="1.875364"/>
    <s v="150-200%"/>
    <n v="50000"/>
    <n v="18750"/>
    <n v="22500"/>
    <n v="41290.04"/>
    <n v="0"/>
    <n v="132540.04"/>
    <n v="173827.04"/>
    <n v="60000"/>
    <n v="21250"/>
    <n v="25000"/>
    <n v="41290.04"/>
    <n v="0"/>
    <n v="147540.04"/>
    <n v="188827.04"/>
  </r>
  <r>
    <n v="6019132307"/>
    <s v="Veriee"/>
    <s v="McGillacoell"/>
    <x v="614"/>
    <x v="1"/>
    <n v="72064"/>
    <n v="19"/>
    <x v="614"/>
    <n v="600000"/>
    <n v="750000"/>
    <n v="900000"/>
    <n v="1200000"/>
    <n v="1.1290966666666666"/>
    <s v="100-125%"/>
    <n v="78000"/>
    <n v="14717.02"/>
    <n v="0"/>
    <n v="0"/>
    <n v="0"/>
    <n v="92717.02"/>
    <n v="164781.02000000002"/>
    <n v="90000"/>
    <n v="13942.439999999999"/>
    <n v="0"/>
    <n v="0"/>
    <n v="0"/>
    <n v="103942.44"/>
    <n v="176006.44"/>
  </r>
  <r>
    <n v="6854809452"/>
    <s v="Sayer"/>
    <s v="McGonagle"/>
    <x v="615"/>
    <x v="2"/>
    <n v="88836"/>
    <n v="24"/>
    <x v="615"/>
    <n v="750000"/>
    <n v="937500"/>
    <n v="1125000"/>
    <n v="1500000"/>
    <n v="1.1243186666666667"/>
    <s v="100-125%"/>
    <n v="112500"/>
    <n v="15850.630000000001"/>
    <n v="0"/>
    <n v="0"/>
    <n v="0"/>
    <n v="128350.63"/>
    <n v="217186.63"/>
    <n v="112500"/>
    <n v="20512.580000000002"/>
    <n v="0"/>
    <n v="0"/>
    <n v="0"/>
    <n v="133012.58000000002"/>
    <n v="221848.58000000002"/>
  </r>
  <r>
    <n v="7979647432"/>
    <s v="Arabella"/>
    <s v="McGriffin"/>
    <x v="616"/>
    <x v="2"/>
    <n v="85383"/>
    <n v="19"/>
    <x v="616"/>
    <n v="750000"/>
    <n v="937500"/>
    <n v="1125000"/>
    <n v="1500000"/>
    <n v="0.9092986666666667"/>
    <s v="0-100%"/>
    <n v="102296.09999999999"/>
    <n v="0"/>
    <n v="0"/>
    <n v="0"/>
    <n v="0"/>
    <n v="102296.09999999999"/>
    <n v="187679.09999999998"/>
    <n v="102296.09999999999"/>
    <n v="0"/>
    <n v="0"/>
    <n v="0"/>
    <n v="0"/>
    <n v="102296.09999999999"/>
    <n v="187679.09999999998"/>
  </r>
  <r>
    <n v="3509620267"/>
    <s v="Henka"/>
    <s v="McInulty"/>
    <x v="617"/>
    <x v="2"/>
    <n v="87823"/>
    <n v="17"/>
    <x v="617"/>
    <n v="750000"/>
    <n v="937500"/>
    <n v="1125000"/>
    <n v="1500000"/>
    <n v="1.0551520000000001"/>
    <s v="100-125%"/>
    <n v="112500"/>
    <n v="7859.16"/>
    <n v="0"/>
    <n v="0"/>
    <n v="0"/>
    <n v="120359.16"/>
    <n v="208182.16"/>
    <n v="112500"/>
    <n v="9100.08"/>
    <n v="0"/>
    <n v="0"/>
    <n v="0"/>
    <n v="121600.08"/>
    <n v="209423.08000000002"/>
  </r>
  <r>
    <n v="1855604000"/>
    <s v="Massimiliano"/>
    <s v="McIver"/>
    <x v="618"/>
    <x v="2"/>
    <n v="102711"/>
    <n v="18"/>
    <x v="618"/>
    <n v="750000"/>
    <n v="937500"/>
    <n v="1125000"/>
    <n v="1500000"/>
    <n v="0.87936800000000004"/>
    <s v="0-100%"/>
    <n v="98928.9"/>
    <n v="0"/>
    <n v="0"/>
    <n v="0"/>
    <n v="0"/>
    <n v="98928.9"/>
    <n v="201639.9"/>
    <n v="98928.9"/>
    <n v="0"/>
    <n v="0"/>
    <n v="0"/>
    <n v="0"/>
    <n v="98928.9"/>
    <n v="201639.9"/>
  </r>
  <r>
    <n v="7326611955"/>
    <s v="Sanders"/>
    <s v="McKinstry"/>
    <x v="619"/>
    <x v="0"/>
    <n v="52116"/>
    <n v="23"/>
    <x v="619"/>
    <n v="500000"/>
    <n v="625000"/>
    <n v="750000"/>
    <n v="1000000"/>
    <n v="1.6157060000000001"/>
    <s v="150-200%"/>
    <n v="50000"/>
    <n v="23750"/>
    <n v="28750"/>
    <n v="17355.899999999998"/>
    <n v="0"/>
    <n v="119855.9"/>
    <n v="171971.9"/>
    <n v="60000"/>
    <n v="21250"/>
    <n v="25000"/>
    <n v="12727.66"/>
    <n v="0"/>
    <n v="118977.66"/>
    <n v="171093.66"/>
  </r>
  <r>
    <n v="7521557441"/>
    <s v="Daniela"/>
    <s v="McMichael"/>
    <x v="620"/>
    <x v="2"/>
    <n v="91279"/>
    <n v="15"/>
    <x v="620"/>
    <n v="750000"/>
    <n v="937500"/>
    <n v="1125000"/>
    <n v="1500000"/>
    <n v="0.58346799999999999"/>
    <s v="0-100%"/>
    <n v="65640.149999999994"/>
    <n v="0"/>
    <n v="0"/>
    <n v="0"/>
    <n v="0"/>
    <n v="65640.149999999994"/>
    <n v="156919.15"/>
    <n v="65640.149999999994"/>
    <n v="0"/>
    <n v="0"/>
    <n v="0"/>
    <n v="0"/>
    <n v="65640.149999999994"/>
    <n v="156919.15"/>
  </r>
  <r>
    <n v="4639895275"/>
    <s v="Alric"/>
    <s v="McNaught"/>
    <x v="621"/>
    <x v="2"/>
    <n v="80883"/>
    <n v="18"/>
    <x v="621"/>
    <n v="750000"/>
    <n v="937500"/>
    <n v="1125000"/>
    <n v="1500000"/>
    <n v="0.82968666666666668"/>
    <s v="0-100%"/>
    <n v="93339.75"/>
    <n v="0"/>
    <n v="0"/>
    <n v="0"/>
    <n v="0"/>
    <n v="93339.75"/>
    <n v="174222.75"/>
    <n v="93339.75"/>
    <n v="0"/>
    <n v="0"/>
    <n v="0"/>
    <n v="0"/>
    <n v="93339.75"/>
    <n v="174222.75"/>
  </r>
  <r>
    <n v="7659816853"/>
    <s v="Anthe"/>
    <s v="McNish"/>
    <x v="622"/>
    <x v="1"/>
    <n v="75955"/>
    <n v="21"/>
    <x v="622"/>
    <n v="600000"/>
    <n v="750000"/>
    <n v="900000"/>
    <n v="1200000"/>
    <n v="1.2668216666666667"/>
    <s v="125-150%"/>
    <n v="78000"/>
    <n v="22500"/>
    <n v="1816.74"/>
    <n v="0"/>
    <n v="0"/>
    <n v="102316.74"/>
    <n v="178271.74"/>
    <n v="90000"/>
    <n v="27000"/>
    <n v="2523.25"/>
    <n v="0"/>
    <n v="0"/>
    <n v="119523.25"/>
    <n v="195478.25"/>
  </r>
  <r>
    <n v="7098438871"/>
    <s v="Jammal"/>
    <s v="McPhee"/>
    <x v="623"/>
    <x v="1"/>
    <n v="57781"/>
    <n v="23"/>
    <x v="623"/>
    <n v="600000"/>
    <n v="750000"/>
    <n v="900000"/>
    <n v="1200000"/>
    <n v="1.0991783333333334"/>
    <s v="100-125%"/>
    <n v="78000"/>
    <n v="11306.33"/>
    <n v="0"/>
    <n v="0"/>
    <n v="0"/>
    <n v="89306.33"/>
    <n v="147087.33000000002"/>
    <n v="90000"/>
    <n v="10711.26"/>
    <n v="0"/>
    <n v="0"/>
    <n v="0"/>
    <n v="100711.26"/>
    <n v="158492.26"/>
  </r>
  <r>
    <n v="9373778889"/>
    <s v="Helyn"/>
    <s v="McQuaker"/>
    <x v="624"/>
    <x v="2"/>
    <n v="82655"/>
    <n v="11"/>
    <x v="624"/>
    <n v="750000"/>
    <n v="937500"/>
    <n v="1125000"/>
    <n v="1500000"/>
    <n v="0.60933199999999998"/>
    <s v="0-100%"/>
    <n v="68549.849999999991"/>
    <n v="0"/>
    <n v="0"/>
    <n v="0"/>
    <n v="0"/>
    <n v="68549.849999999991"/>
    <n v="151204.84999999998"/>
    <n v="68549.849999999991"/>
    <n v="0"/>
    <n v="0"/>
    <n v="0"/>
    <n v="0"/>
    <n v="68549.849999999991"/>
    <n v="151204.84999999998"/>
  </r>
  <r>
    <n v="8115985503"/>
    <s v="Troy"/>
    <s v="McQuarrie"/>
    <x v="625"/>
    <x v="1"/>
    <n v="72028"/>
    <n v="19"/>
    <x v="625"/>
    <n v="600000"/>
    <n v="750000"/>
    <n v="900000"/>
    <n v="1200000"/>
    <n v="1.0412083333333333"/>
    <s v="100-125%"/>
    <n v="78000"/>
    <n v="4203.25"/>
    <n v="0"/>
    <n v="0"/>
    <n v="0"/>
    <n v="82203.25"/>
    <n v="154231.25"/>
    <n v="90000"/>
    <n v="4450.5"/>
    <n v="0"/>
    <n v="0"/>
    <n v="0"/>
    <n v="94450.5"/>
    <n v="166478.5"/>
  </r>
  <r>
    <n v="7560031153"/>
    <s v="Gabriela"/>
    <s v="McVicker"/>
    <x v="626"/>
    <x v="2"/>
    <n v="94464"/>
    <n v="14"/>
    <x v="626"/>
    <n v="750000"/>
    <n v="937500"/>
    <n v="1125000"/>
    <n v="1500000"/>
    <n v="0.56691999999999998"/>
    <s v="0-100%"/>
    <n v="63778.5"/>
    <n v="0"/>
    <n v="0"/>
    <n v="0"/>
    <n v="0"/>
    <n v="63778.5"/>
    <n v="158242.5"/>
    <n v="63778.5"/>
    <n v="0"/>
    <n v="0"/>
    <n v="0"/>
    <n v="0"/>
    <n v="63778.5"/>
    <n v="158242.5"/>
  </r>
  <r>
    <n v="8419732141"/>
    <s v="Ulrike"/>
    <s v="Meagher"/>
    <x v="627"/>
    <x v="1"/>
    <n v="63701"/>
    <n v="20"/>
    <x v="627"/>
    <n v="600000"/>
    <n v="750000"/>
    <n v="900000"/>
    <n v="1200000"/>
    <n v="1.0122633333333333"/>
    <s v="100-125%"/>
    <n v="78000"/>
    <n v="1250.8600000000001"/>
    <n v="0"/>
    <n v="0"/>
    <n v="0"/>
    <n v="79250.86"/>
    <n v="142951.85999999999"/>
    <n v="90000"/>
    <n v="1324.44"/>
    <n v="0"/>
    <n v="0"/>
    <n v="0"/>
    <n v="91324.44"/>
    <n v="155025.44"/>
  </r>
  <r>
    <n v="2257563263"/>
    <s v="Rance"/>
    <s v="Medwell"/>
    <x v="628"/>
    <x v="1"/>
    <n v="79120"/>
    <n v="17"/>
    <x v="628"/>
    <n v="600000"/>
    <n v="750000"/>
    <n v="900000"/>
    <n v="1200000"/>
    <n v="1.1334783333333334"/>
    <s v="100-125%"/>
    <n v="78000"/>
    <n v="15216.53"/>
    <n v="0"/>
    <n v="0"/>
    <n v="0"/>
    <n v="93216.53"/>
    <n v="172336.53"/>
    <n v="90000"/>
    <n v="14415.66"/>
    <n v="0"/>
    <n v="0"/>
    <n v="0"/>
    <n v="104415.66"/>
    <n v="183535.66"/>
  </r>
  <r>
    <n v="3516592710"/>
    <s v="Harlan"/>
    <s v="Mein"/>
    <x v="629"/>
    <x v="0"/>
    <n v="38904"/>
    <n v="22"/>
    <x v="629"/>
    <n v="500000"/>
    <n v="625000"/>
    <n v="750000"/>
    <n v="1000000"/>
    <n v="1.5888880000000001"/>
    <s v="150-200%"/>
    <n v="50000"/>
    <n v="23750"/>
    <n v="28750"/>
    <n v="13333.199999999999"/>
    <n v="0"/>
    <n v="115833.2"/>
    <n v="154737.20000000001"/>
    <n v="60000"/>
    <n v="21250"/>
    <n v="25000"/>
    <n v="9777.68"/>
    <n v="0"/>
    <n v="116027.68"/>
    <n v="154931.68"/>
  </r>
  <r>
    <n v="4286367630"/>
    <s v="Felita"/>
    <s v="Melpuss"/>
    <x v="630"/>
    <x v="1"/>
    <n v="60653"/>
    <n v="15"/>
    <x v="630"/>
    <n v="600000"/>
    <n v="750000"/>
    <n v="900000"/>
    <n v="1200000"/>
    <n v="0.83240000000000003"/>
    <s v="0-100%"/>
    <n v="64927.200000000004"/>
    <n v="0"/>
    <n v="0"/>
    <n v="0"/>
    <n v="0"/>
    <n v="64927.200000000004"/>
    <n v="125580.20000000001"/>
    <n v="74916"/>
    <n v="0"/>
    <n v="0"/>
    <n v="0"/>
    <n v="0"/>
    <n v="74916"/>
    <n v="135569"/>
  </r>
  <r>
    <n v="1079691642"/>
    <s v="Raff"/>
    <s v="Menichini"/>
    <x v="631"/>
    <x v="2"/>
    <n v="113680"/>
    <n v="19"/>
    <x v="631"/>
    <n v="750000"/>
    <n v="937500"/>
    <n v="1125000"/>
    <n v="1500000"/>
    <n v="0.86440399999999995"/>
    <s v="0-100%"/>
    <n v="97245.45"/>
    <n v="0"/>
    <n v="0"/>
    <n v="0"/>
    <n v="0"/>
    <n v="97245.45"/>
    <n v="210925.45"/>
    <n v="97245.45"/>
    <n v="0"/>
    <n v="0"/>
    <n v="0"/>
    <n v="0"/>
    <n v="97245.45"/>
    <n v="210925.45"/>
  </r>
  <r>
    <n v="4773306254"/>
    <s v="Joye"/>
    <s v="Mepham"/>
    <x v="632"/>
    <x v="1"/>
    <n v="58452"/>
    <n v="20"/>
    <x v="632"/>
    <n v="600000"/>
    <n v="750000"/>
    <n v="900000"/>
    <n v="1200000"/>
    <n v="0.99765499999999996"/>
    <s v="0-100%"/>
    <n v="77817.09"/>
    <n v="0"/>
    <n v="0"/>
    <n v="0"/>
    <n v="0"/>
    <n v="77817.09"/>
    <n v="136269.09"/>
    <n v="89788.95"/>
    <n v="0"/>
    <n v="0"/>
    <n v="0"/>
    <n v="0"/>
    <n v="89788.95"/>
    <n v="148240.95000000001"/>
  </r>
  <r>
    <n v="4698538416"/>
    <s v="Greer"/>
    <s v="Mercey"/>
    <x v="633"/>
    <x v="1"/>
    <n v="53655"/>
    <n v="23"/>
    <x v="633"/>
    <n v="600000"/>
    <n v="750000"/>
    <n v="900000"/>
    <n v="1200000"/>
    <n v="1.3136616666666667"/>
    <s v="125-150%"/>
    <n v="78000"/>
    <n v="25500.000000000004"/>
    <n v="8021.37"/>
    <n v="0"/>
    <n v="0"/>
    <n v="111521.37"/>
    <n v="165176.37"/>
    <n v="90000"/>
    <n v="27000"/>
    <n v="9549.25"/>
    <n v="0"/>
    <n v="0"/>
    <n v="126549.25"/>
    <n v="180204.25"/>
  </r>
  <r>
    <n v="4752702681"/>
    <s v="Elfrieda"/>
    <s v="Merington"/>
    <x v="634"/>
    <x v="2"/>
    <n v="93722"/>
    <n v="15"/>
    <x v="634"/>
    <n v="750000"/>
    <n v="937500"/>
    <n v="1125000"/>
    <n v="1500000"/>
    <n v="0.76563333333333339"/>
    <s v="0-100%"/>
    <n v="86133.75"/>
    <n v="0"/>
    <n v="0"/>
    <n v="0"/>
    <n v="0"/>
    <n v="86133.75"/>
    <n v="179855.75"/>
    <n v="86133.75"/>
    <n v="0"/>
    <n v="0"/>
    <n v="0"/>
    <n v="0"/>
    <n v="86133.75"/>
    <n v="179855.75"/>
  </r>
  <r>
    <n v="6720857681"/>
    <s v="Cecilius"/>
    <s v="Messam"/>
    <x v="635"/>
    <x v="1"/>
    <n v="73093"/>
    <n v="22"/>
    <x v="635"/>
    <n v="600000"/>
    <n v="750000"/>
    <n v="900000"/>
    <n v="1200000"/>
    <n v="1.3335683333333332"/>
    <s v="125-150%"/>
    <n v="78000"/>
    <n v="25500.000000000004"/>
    <n v="10529.609999999999"/>
    <n v="0"/>
    <n v="0"/>
    <n v="114029.61"/>
    <n v="187122.61"/>
    <n v="90000"/>
    <n v="27000"/>
    <n v="12535.25"/>
    <n v="0"/>
    <n v="0"/>
    <n v="129535.25"/>
    <n v="202628.25"/>
  </r>
  <r>
    <n v="471886378"/>
    <s v="Damaris"/>
    <s v="Metson"/>
    <x v="636"/>
    <x v="1"/>
    <n v="65588"/>
    <n v="21"/>
    <x v="636"/>
    <n v="600000"/>
    <n v="750000"/>
    <n v="900000"/>
    <n v="1200000"/>
    <n v="1.2032833333333333"/>
    <s v="100-125%"/>
    <n v="78000"/>
    <n v="20734.900000000001"/>
    <n v="0"/>
    <n v="0"/>
    <n v="0"/>
    <n v="98734.9"/>
    <n v="164322.9"/>
    <n v="90000"/>
    <n v="21954.6"/>
    <n v="0"/>
    <n v="0"/>
    <n v="0"/>
    <n v="111954.6"/>
    <n v="177542.6"/>
  </r>
  <r>
    <n v="7462961601"/>
    <s v="Laurice"/>
    <s v="Miall"/>
    <x v="637"/>
    <x v="0"/>
    <n v="39503"/>
    <n v="26"/>
    <x v="637"/>
    <n v="500000"/>
    <n v="625000"/>
    <n v="750000"/>
    <n v="1000000"/>
    <n v="2.0083519999999999"/>
    <s v="&gt;200%"/>
    <n v="50000"/>
    <n v="23750"/>
    <n v="28750"/>
    <n v="75000"/>
    <n v="626.4"/>
    <n v="178126.4"/>
    <n v="217629.4"/>
    <n v="60000"/>
    <n v="21250"/>
    <n v="25000"/>
    <n v="55000"/>
    <n v="417.6"/>
    <n v="161667.6"/>
    <n v="201170.6"/>
  </r>
  <r>
    <n v="1573192775"/>
    <s v="Chloette"/>
    <s v="Millard"/>
    <x v="638"/>
    <x v="1"/>
    <n v="70723"/>
    <n v="28"/>
    <x v="638"/>
    <n v="600000"/>
    <n v="750000"/>
    <n v="900000"/>
    <n v="1200000"/>
    <n v="1.4598116666666667"/>
    <s v="125-150%"/>
    <n v="78000"/>
    <n v="28500"/>
    <n v="28954.010000000002"/>
    <n v="0"/>
    <n v="0"/>
    <n v="135454.01"/>
    <n v="206177.01"/>
    <n v="90000"/>
    <n v="27000"/>
    <n v="31471.75"/>
    <n v="0"/>
    <n v="0"/>
    <n v="148471.75"/>
    <n v="219194.75"/>
  </r>
  <r>
    <n v="6322781804"/>
    <s v="Shayne"/>
    <s v="Millin"/>
    <x v="639"/>
    <x v="2"/>
    <n v="124518"/>
    <n v="23"/>
    <x v="639"/>
    <n v="750000"/>
    <n v="937500"/>
    <n v="1125000"/>
    <n v="1500000"/>
    <n v="1.1918546666666667"/>
    <s v="100-125%"/>
    <n v="112500"/>
    <n v="24461.47"/>
    <n v="0"/>
    <n v="0"/>
    <n v="0"/>
    <n v="136961.47"/>
    <n v="261479.47"/>
    <n v="112500"/>
    <n v="31656.02"/>
    <n v="0"/>
    <n v="0"/>
    <n v="0"/>
    <n v="144156.01999999999"/>
    <n v="268674.02"/>
  </r>
  <r>
    <n v="6275593709"/>
    <s v="Rodina"/>
    <s v="Minchin"/>
    <x v="640"/>
    <x v="2"/>
    <n v="121384"/>
    <n v="14"/>
    <x v="640"/>
    <n v="750000"/>
    <n v="937500"/>
    <n v="1125000"/>
    <n v="1500000"/>
    <n v="0.70596400000000004"/>
    <s v="0-100%"/>
    <n v="79420.95"/>
    <n v="0"/>
    <n v="0"/>
    <n v="0"/>
    <n v="0"/>
    <n v="79420.95"/>
    <n v="200804.95"/>
    <n v="79420.95"/>
    <n v="0"/>
    <n v="0"/>
    <n v="0"/>
    <n v="0"/>
    <n v="79420.95"/>
    <n v="200804.95"/>
  </r>
  <r>
    <n v="7637608875"/>
    <s v="Lawrence"/>
    <s v="Minchindon"/>
    <x v="641"/>
    <x v="0"/>
    <n v="49539"/>
    <n v="20"/>
    <x v="641"/>
    <n v="500000"/>
    <n v="625000"/>
    <n v="750000"/>
    <n v="1000000"/>
    <n v="1.4258599999999999"/>
    <s v="125-150%"/>
    <n v="50000"/>
    <n v="18750"/>
    <n v="15827.4"/>
    <n v="0"/>
    <n v="0"/>
    <n v="84577.4"/>
    <n v="134116.4"/>
    <n v="60000"/>
    <n v="21250"/>
    <n v="17586"/>
    <n v="0"/>
    <n v="0"/>
    <n v="98836"/>
    <n v="148375"/>
  </r>
  <r>
    <n v="3016741628"/>
    <s v="Carleen"/>
    <s v="Mingus"/>
    <x v="642"/>
    <x v="2"/>
    <n v="122851"/>
    <n v="22"/>
    <x v="642"/>
    <n v="750000"/>
    <n v="937500"/>
    <n v="1125000"/>
    <n v="1500000"/>
    <n v="1.1394546666666667"/>
    <s v="100-125%"/>
    <n v="112500"/>
    <n v="19872.29"/>
    <n v="0"/>
    <n v="0"/>
    <n v="0"/>
    <n v="132372.29"/>
    <n v="255223.29"/>
    <n v="112500"/>
    <n v="23010.02"/>
    <n v="0"/>
    <n v="0"/>
    <n v="0"/>
    <n v="135510.01999999999"/>
    <n v="258361.02"/>
  </r>
  <r>
    <n v="9621571960"/>
    <s v="Nicki"/>
    <s v="Minnock"/>
    <x v="643"/>
    <x v="1"/>
    <n v="65646"/>
    <n v="22"/>
    <x v="643"/>
    <n v="600000"/>
    <n v="750000"/>
    <n v="900000"/>
    <n v="1200000"/>
    <n v="1.1462033333333332"/>
    <s v="100-125%"/>
    <n v="78000"/>
    <n v="13158.3"/>
    <n v="0"/>
    <n v="0"/>
    <n v="0"/>
    <n v="91158.3"/>
    <n v="156804.29999999999"/>
    <n v="90000"/>
    <n v="15789.96"/>
    <n v="0"/>
    <n v="0"/>
    <n v="0"/>
    <n v="105789.95999999999"/>
    <n v="171435.96"/>
  </r>
  <r>
    <n v="5988565948"/>
    <s v="Kyle"/>
    <s v="Molan"/>
    <x v="644"/>
    <x v="0"/>
    <n v="33660"/>
    <n v="20"/>
    <x v="644"/>
    <n v="500000"/>
    <n v="625000"/>
    <n v="750000"/>
    <n v="1000000"/>
    <n v="1.3672820000000001"/>
    <s v="125-150%"/>
    <n v="50000"/>
    <n v="23750"/>
    <n v="13487.43"/>
    <n v="0"/>
    <n v="0"/>
    <n v="87237.43"/>
    <n v="120897.43"/>
    <n v="60000"/>
    <n v="21250"/>
    <n v="11728.2"/>
    <n v="0"/>
    <n v="0"/>
    <n v="92978.2"/>
    <n v="126638.2"/>
  </r>
  <r>
    <n v="9726873223"/>
    <s v="Shaine"/>
    <s v="Monsey"/>
    <x v="645"/>
    <x v="2"/>
    <n v="119583"/>
    <n v="17"/>
    <x v="645"/>
    <n v="750000"/>
    <n v="937500"/>
    <n v="1125000"/>
    <n v="1500000"/>
    <n v="0.74863733333333338"/>
    <s v="0-100%"/>
    <n v="84221.7"/>
    <n v="0"/>
    <n v="0"/>
    <n v="0"/>
    <n v="0"/>
    <n v="84221.7"/>
    <n v="203804.7"/>
    <n v="84221.7"/>
    <n v="0"/>
    <n v="0"/>
    <n v="0"/>
    <n v="0"/>
    <n v="84221.7"/>
    <n v="203804.7"/>
  </r>
  <r>
    <n v="3609467622"/>
    <s v="Alberto"/>
    <s v="Morgan"/>
    <x v="646"/>
    <x v="0"/>
    <n v="45564"/>
    <n v="17"/>
    <x v="646"/>
    <n v="500000"/>
    <n v="625000"/>
    <n v="750000"/>
    <n v="1000000"/>
    <n v="0.94234600000000002"/>
    <s v="0-100%"/>
    <n v="47117.3"/>
    <n v="0"/>
    <n v="0"/>
    <n v="0"/>
    <n v="0"/>
    <n v="47117.3"/>
    <n v="92681.3"/>
    <n v="56540.759999999995"/>
    <n v="0"/>
    <n v="0"/>
    <n v="0"/>
    <n v="0"/>
    <n v="56540.759999999995"/>
    <n v="102104.76"/>
  </r>
  <r>
    <n v="6788593582"/>
    <s v="Tab"/>
    <s v="Morter"/>
    <x v="647"/>
    <x v="1"/>
    <n v="52481"/>
    <n v="32"/>
    <x v="647"/>
    <n v="600000"/>
    <n v="750000"/>
    <n v="900000"/>
    <n v="1200000"/>
    <n v="2.0234983333333334"/>
    <s v="&gt;200%"/>
    <n v="78000"/>
    <n v="22500"/>
    <n v="27000"/>
    <n v="66000"/>
    <n v="1409.9"/>
    <n v="194909.9"/>
    <n v="247390.9"/>
    <n v="90000"/>
    <n v="27000"/>
    <n v="37500"/>
    <n v="90000"/>
    <n v="1832.8700000000001"/>
    <n v="246332.87"/>
    <n v="298813.87"/>
  </r>
  <r>
    <n v="1382734301"/>
    <s v="Hugo"/>
    <s v="Mowbray"/>
    <x v="648"/>
    <x v="2"/>
    <n v="108483"/>
    <n v="19"/>
    <x v="648"/>
    <n v="750000"/>
    <n v="937500"/>
    <n v="1125000"/>
    <n v="1500000"/>
    <n v="0.8256053333333333"/>
    <s v="0-100%"/>
    <n v="92880.599999999991"/>
    <n v="0"/>
    <n v="0"/>
    <n v="0"/>
    <n v="0"/>
    <n v="92880.599999999991"/>
    <n v="201363.59999999998"/>
    <n v="92880.599999999991"/>
    <n v="0"/>
    <n v="0"/>
    <n v="0"/>
    <n v="0"/>
    <n v="92880.599999999991"/>
    <n v="201363.59999999998"/>
  </r>
  <r>
    <n v="9369490930"/>
    <s v="Gar"/>
    <s v="Mueller"/>
    <x v="649"/>
    <x v="0"/>
    <n v="47086"/>
    <n v="14"/>
    <x v="649"/>
    <n v="500000"/>
    <n v="625000"/>
    <n v="750000"/>
    <n v="1000000"/>
    <n v="0.89167200000000002"/>
    <s v="0-100%"/>
    <n v="44583.600000000006"/>
    <n v="0"/>
    <n v="0"/>
    <n v="0"/>
    <n v="0"/>
    <n v="44583.600000000006"/>
    <n v="91669.6"/>
    <n v="53500.32"/>
    <n v="0"/>
    <n v="0"/>
    <n v="0"/>
    <n v="0"/>
    <n v="53500.32"/>
    <n v="100586.32"/>
  </r>
  <r>
    <n v="3060876401"/>
    <s v="Tuckie"/>
    <s v="Mullenger"/>
    <x v="650"/>
    <x v="0"/>
    <n v="41863"/>
    <n v="25"/>
    <x v="650"/>
    <n v="500000"/>
    <n v="625000"/>
    <n v="750000"/>
    <n v="1000000"/>
    <n v="1.5516019999999999"/>
    <s v="150-200%"/>
    <n v="50000"/>
    <n v="18750"/>
    <n v="22500"/>
    <n v="5676.22"/>
    <n v="0"/>
    <n v="96926.22"/>
    <n v="138789.22"/>
    <n v="60000"/>
    <n v="21250"/>
    <n v="25000"/>
    <n v="5676.22"/>
    <n v="0"/>
    <n v="111926.22"/>
    <n v="153789.22"/>
  </r>
  <r>
    <n v="8617243198"/>
    <s v="Hobie"/>
    <s v="Munnis"/>
    <x v="651"/>
    <x v="2"/>
    <n v="75707"/>
    <n v="21"/>
    <x v="651"/>
    <n v="750000"/>
    <n v="937500"/>
    <n v="1125000"/>
    <n v="1500000"/>
    <n v="1.0418626666666666"/>
    <s v="100-125%"/>
    <n v="112500"/>
    <n v="5965.43"/>
    <n v="0"/>
    <n v="0"/>
    <n v="0"/>
    <n v="118465.43"/>
    <n v="194172.43"/>
    <n v="112500"/>
    <n v="6907.34"/>
    <n v="0"/>
    <n v="0"/>
    <n v="0"/>
    <n v="119407.34"/>
    <n v="195114.34"/>
  </r>
  <r>
    <n v="3513651333"/>
    <s v="Estele"/>
    <s v="Murcott"/>
    <x v="652"/>
    <x v="1"/>
    <n v="61705"/>
    <n v="13"/>
    <x v="652"/>
    <n v="600000"/>
    <n v="750000"/>
    <n v="900000"/>
    <n v="1200000"/>
    <n v="0.66229166666666661"/>
    <s v="0-100%"/>
    <n v="51658.75"/>
    <n v="0"/>
    <n v="0"/>
    <n v="0"/>
    <n v="0"/>
    <n v="51658.75"/>
    <n v="113363.75"/>
    <n v="59606.25"/>
    <n v="0"/>
    <n v="0"/>
    <n v="0"/>
    <n v="0"/>
    <n v="59606.25"/>
    <n v="121311.25"/>
  </r>
  <r>
    <n v="7160109333"/>
    <s v="Titus"/>
    <s v="Murray"/>
    <x v="653"/>
    <x v="2"/>
    <n v="116881"/>
    <n v="25"/>
    <x v="653"/>
    <n v="750000"/>
    <n v="937500"/>
    <n v="1125000"/>
    <n v="1500000"/>
    <n v="1.1010826666666667"/>
    <s v="100-125%"/>
    <n v="112500"/>
    <n v="12888.04"/>
    <n v="0"/>
    <n v="0"/>
    <n v="0"/>
    <n v="125388.04000000001"/>
    <n v="242269.04"/>
    <n v="112500"/>
    <n v="16678.64"/>
    <n v="0"/>
    <n v="0"/>
    <n v="0"/>
    <n v="129178.64"/>
    <n v="246059.64"/>
  </r>
  <r>
    <n v="5998486889"/>
    <s v="Amalea"/>
    <s v="Murty"/>
    <x v="654"/>
    <x v="0"/>
    <n v="57024"/>
    <n v="21"/>
    <x v="654"/>
    <n v="500000"/>
    <n v="625000"/>
    <n v="750000"/>
    <n v="1000000"/>
    <n v="1.309274"/>
    <s v="125-150%"/>
    <n v="50000"/>
    <n v="18750"/>
    <n v="5334.66"/>
    <n v="0"/>
    <n v="0"/>
    <n v="74084.66"/>
    <n v="131108.66"/>
    <n v="60000"/>
    <n v="21250"/>
    <n v="5927.4000000000005"/>
    <n v="0"/>
    <n v="0"/>
    <n v="87177.4"/>
    <n v="144201.4"/>
  </r>
  <r>
    <n v="5149710571"/>
    <s v="Read"/>
    <s v="Muxworthy"/>
    <x v="655"/>
    <x v="2"/>
    <n v="119624"/>
    <n v="14"/>
    <x v="655"/>
    <n v="750000"/>
    <n v="937500"/>
    <n v="1125000"/>
    <n v="1500000"/>
    <n v="0.63218399999999997"/>
    <s v="0-100%"/>
    <n v="71120.7"/>
    <n v="0"/>
    <n v="0"/>
    <n v="0"/>
    <n v="0"/>
    <n v="71120.7"/>
    <n v="190744.7"/>
    <n v="71120.7"/>
    <n v="0"/>
    <n v="0"/>
    <n v="0"/>
    <n v="0"/>
    <n v="71120.7"/>
    <n v="190744.7"/>
  </r>
  <r>
    <n v="5759255762"/>
    <s v="Corrie"/>
    <s v="Naldrett"/>
    <x v="656"/>
    <x v="1"/>
    <n v="71656"/>
    <n v="24"/>
    <x v="656"/>
    <n v="600000"/>
    <n v="750000"/>
    <n v="900000"/>
    <n v="1200000"/>
    <n v="1.3014616666666667"/>
    <s v="125-150%"/>
    <n v="78000"/>
    <n v="25500.000000000004"/>
    <n v="6484.17"/>
    <n v="0"/>
    <n v="0"/>
    <n v="109984.17"/>
    <n v="181640.16999999998"/>
    <n v="90000"/>
    <n v="27000"/>
    <n v="7719.25"/>
    <n v="0"/>
    <n v="0"/>
    <n v="124719.25"/>
    <n v="196375.25"/>
  </r>
  <r>
    <n v="3259018638"/>
    <s v="Vladimir"/>
    <s v="Nassy"/>
    <x v="657"/>
    <x v="0"/>
    <n v="60364"/>
    <n v="11"/>
    <x v="657"/>
    <n v="500000"/>
    <n v="625000"/>
    <n v="750000"/>
    <n v="1000000"/>
    <n v="0.62728399999999995"/>
    <s v="0-100%"/>
    <n v="31364.2"/>
    <n v="0"/>
    <n v="0"/>
    <n v="0"/>
    <n v="0"/>
    <n v="31364.2"/>
    <n v="91728.2"/>
    <n v="37637.040000000001"/>
    <n v="0"/>
    <n v="0"/>
    <n v="0"/>
    <n v="0"/>
    <n v="37637.040000000001"/>
    <n v="98001.040000000008"/>
  </r>
  <r>
    <n v="5687748091"/>
    <s v="Beitris"/>
    <s v="Naulty"/>
    <x v="658"/>
    <x v="1"/>
    <n v="53594"/>
    <n v="24"/>
    <x v="658"/>
    <n v="600000"/>
    <n v="750000"/>
    <n v="900000"/>
    <n v="1200000"/>
    <n v="1.4148566666666667"/>
    <s v="125-150%"/>
    <n v="78000"/>
    <n v="28500"/>
    <n v="22750.22"/>
    <n v="0"/>
    <n v="0"/>
    <n v="129250.22"/>
    <n v="182844.22"/>
    <n v="90000"/>
    <n v="27000"/>
    <n v="24728.5"/>
    <n v="0"/>
    <n v="0"/>
    <n v="141728.5"/>
    <n v="195322.5"/>
  </r>
  <r>
    <n v="6183510505"/>
    <s v="Rafaela"/>
    <s v="Neagle"/>
    <x v="659"/>
    <x v="2"/>
    <n v="97468"/>
    <n v="32"/>
    <x v="659"/>
    <n v="750000"/>
    <n v="937500"/>
    <n v="1125000"/>
    <n v="1500000"/>
    <n v="1.4880493333333333"/>
    <s v="125-150%"/>
    <n v="112500"/>
    <n v="35625"/>
    <n v="41063.51"/>
    <n v="0"/>
    <n v="0"/>
    <n v="189188.51"/>
    <n v="286656.51"/>
    <n v="112500"/>
    <n v="41250"/>
    <n v="44634.25"/>
    <n v="0"/>
    <n v="0"/>
    <n v="198384.25"/>
    <n v="295852.25"/>
  </r>
  <r>
    <n v="2551917727"/>
    <s v="Lark"/>
    <s v="Nelmes"/>
    <x v="660"/>
    <x v="0"/>
    <n v="56237"/>
    <n v="25"/>
    <x v="660"/>
    <n v="500000"/>
    <n v="625000"/>
    <n v="750000"/>
    <n v="1000000"/>
    <n v="1.524008"/>
    <s v="150-200%"/>
    <n v="50000"/>
    <n v="23750"/>
    <n v="28750"/>
    <n v="3601.2"/>
    <n v="0"/>
    <n v="106101.2"/>
    <n v="162338.20000000001"/>
    <n v="60000"/>
    <n v="21250"/>
    <n v="25000"/>
    <n v="2640.88"/>
    <n v="0"/>
    <n v="108890.88"/>
    <n v="165127.88"/>
  </r>
  <r>
    <n v="1252810490"/>
    <s v="Travers"/>
    <s v="Nequest"/>
    <x v="661"/>
    <x v="2"/>
    <n v="89013"/>
    <n v="11"/>
    <x v="661"/>
    <n v="750000"/>
    <n v="937500"/>
    <n v="1125000"/>
    <n v="1500000"/>
    <n v="0.50836533333333334"/>
    <s v="0-100%"/>
    <n v="57191.1"/>
    <n v="0"/>
    <n v="0"/>
    <n v="0"/>
    <n v="0"/>
    <n v="57191.1"/>
    <n v="146204.1"/>
    <n v="57191.1"/>
    <n v="0"/>
    <n v="0"/>
    <n v="0"/>
    <n v="0"/>
    <n v="57191.1"/>
    <n v="146204.1"/>
  </r>
  <r>
    <n v="2012142672"/>
    <s v="Izak"/>
    <s v="Newbigging"/>
    <x v="662"/>
    <x v="1"/>
    <n v="55915"/>
    <n v="23"/>
    <x v="662"/>
    <n v="600000"/>
    <n v="750000"/>
    <n v="900000"/>
    <n v="1200000"/>
    <n v="1.4476883333333332"/>
    <s v="125-150%"/>
    <n v="78000"/>
    <n v="22500"/>
    <n v="21350.34"/>
    <n v="0"/>
    <n v="0"/>
    <n v="121850.34"/>
    <n v="177765.34"/>
    <n v="90000"/>
    <n v="27000"/>
    <n v="29653.25"/>
    <n v="0"/>
    <n v="0"/>
    <n v="146653.25"/>
    <n v="202568.25"/>
  </r>
  <r>
    <n v="6842911427"/>
    <s v="Moishe"/>
    <s v="Nicely"/>
    <x v="663"/>
    <x v="1"/>
    <n v="54689"/>
    <n v="23"/>
    <x v="663"/>
    <n v="600000"/>
    <n v="750000"/>
    <n v="900000"/>
    <n v="1200000"/>
    <n v="1.5229250000000001"/>
    <s v="150-200%"/>
    <n v="78000"/>
    <n v="28500"/>
    <n v="34500"/>
    <n v="4126.5"/>
    <n v="0"/>
    <n v="145126.5"/>
    <n v="199815.5"/>
    <n v="90000"/>
    <n v="27000"/>
    <n v="37500"/>
    <n v="4126.5"/>
    <n v="0"/>
    <n v="158626.5"/>
    <n v="213315.5"/>
  </r>
  <r>
    <n v="6750554423"/>
    <s v="Carley"/>
    <s v="Niemetz"/>
    <x v="664"/>
    <x v="2"/>
    <n v="91978"/>
    <n v="16"/>
    <x v="664"/>
    <n v="750000"/>
    <n v="937500"/>
    <n v="1125000"/>
    <n v="1500000"/>
    <n v="0.84751066666666663"/>
    <s v="0-100%"/>
    <n v="95344.95"/>
    <n v="0"/>
    <n v="0"/>
    <n v="0"/>
    <n v="0"/>
    <n v="95344.95"/>
    <n v="187322.95"/>
    <n v="95344.95"/>
    <n v="0"/>
    <n v="0"/>
    <n v="0"/>
    <n v="0"/>
    <n v="95344.95"/>
    <n v="187322.95"/>
  </r>
  <r>
    <n v="7374898193"/>
    <s v="Nealson"/>
    <s v="Niezen"/>
    <x v="665"/>
    <x v="1"/>
    <n v="50715"/>
    <n v="22"/>
    <x v="665"/>
    <n v="600000"/>
    <n v="750000"/>
    <n v="900000"/>
    <n v="1200000"/>
    <n v="1.1317433333333333"/>
    <s v="100-125%"/>
    <n v="78000"/>
    <n v="15018.74"/>
    <n v="0"/>
    <n v="0"/>
    <n v="0"/>
    <n v="93018.74"/>
    <n v="143733.74"/>
    <n v="90000"/>
    <n v="14228.279999999999"/>
    <n v="0"/>
    <n v="0"/>
    <n v="0"/>
    <n v="104228.28"/>
    <n v="154943.28"/>
  </r>
  <r>
    <n v="2060025532"/>
    <s v="Petronille"/>
    <s v="Niles"/>
    <x v="666"/>
    <x v="1"/>
    <n v="53096"/>
    <n v="19"/>
    <x v="666"/>
    <n v="600000"/>
    <n v="750000"/>
    <n v="900000"/>
    <n v="1200000"/>
    <n v="0.98138999999999998"/>
    <s v="0-100%"/>
    <n v="76548.42"/>
    <n v="0"/>
    <n v="0"/>
    <n v="0"/>
    <n v="0"/>
    <n v="76548.42"/>
    <n v="129644.42"/>
    <n v="88325.099999999991"/>
    <n v="0"/>
    <n v="0"/>
    <n v="0"/>
    <n v="0"/>
    <n v="88325.099999999991"/>
    <n v="141421.09999999998"/>
  </r>
  <r>
    <n v="6973806759"/>
    <s v="Baudoin"/>
    <s v="Normanville"/>
    <x v="667"/>
    <x v="0"/>
    <n v="45164"/>
    <n v="19"/>
    <x v="667"/>
    <n v="500000"/>
    <n v="625000"/>
    <n v="750000"/>
    <n v="1000000"/>
    <n v="1.27417"/>
    <s v="125-150%"/>
    <n v="50000"/>
    <n v="23750"/>
    <n v="2779.55"/>
    <n v="0"/>
    <n v="0"/>
    <n v="76529.55"/>
    <n v="121693.55"/>
    <n v="60000"/>
    <n v="21250"/>
    <n v="2417"/>
    <n v="0"/>
    <n v="0"/>
    <n v="83667"/>
    <n v="128831"/>
  </r>
  <r>
    <n v="9892583027"/>
    <s v="Granger"/>
    <s v="Norsworthy"/>
    <x v="668"/>
    <x v="2"/>
    <n v="96592"/>
    <n v="21"/>
    <x v="668"/>
    <n v="750000"/>
    <n v="937500"/>
    <n v="1125000"/>
    <n v="1500000"/>
    <n v="1.04674"/>
    <s v="100-125%"/>
    <n v="112500"/>
    <n v="5959.35"/>
    <n v="0"/>
    <n v="0"/>
    <n v="0"/>
    <n v="118459.35"/>
    <n v="215051.35"/>
    <n v="112500"/>
    <n v="7712.1"/>
    <n v="0"/>
    <n v="0"/>
    <n v="0"/>
    <n v="120212.1"/>
    <n v="216804.1"/>
  </r>
  <r>
    <n v="7492341709"/>
    <s v="Terri"/>
    <s v="Novic"/>
    <x v="669"/>
    <x v="0"/>
    <n v="35089"/>
    <n v="14"/>
    <x v="669"/>
    <n v="500000"/>
    <n v="625000"/>
    <n v="750000"/>
    <n v="1000000"/>
    <n v="0.85687000000000002"/>
    <s v="0-100%"/>
    <n v="42843.5"/>
    <n v="0"/>
    <n v="0"/>
    <n v="0"/>
    <n v="0"/>
    <n v="42843.5"/>
    <n v="77932.5"/>
    <n v="51412.2"/>
    <n v="0"/>
    <n v="0"/>
    <n v="0"/>
    <n v="0"/>
    <n v="51412.2"/>
    <n v="86501.2"/>
  </r>
  <r>
    <n v="3133221701"/>
    <s v="Bernice"/>
    <s v="Nucci"/>
    <x v="670"/>
    <x v="1"/>
    <n v="71686"/>
    <n v="14"/>
    <x v="670"/>
    <n v="600000"/>
    <n v="750000"/>
    <n v="900000"/>
    <n v="1200000"/>
    <n v="0.90342833333333339"/>
    <s v="0-100%"/>
    <n v="70467.41"/>
    <n v="0"/>
    <n v="0"/>
    <n v="0"/>
    <n v="0"/>
    <n v="70467.41"/>
    <n v="142153.41"/>
    <n v="81308.55"/>
    <n v="0"/>
    <n v="0"/>
    <n v="0"/>
    <n v="0"/>
    <n v="81308.55"/>
    <n v="152994.54999999999"/>
  </r>
  <r>
    <n v="8346855079"/>
    <s v="Georgiana"/>
    <s v="Nutten"/>
    <x v="671"/>
    <x v="0"/>
    <n v="37411"/>
    <n v="23"/>
    <x v="671"/>
    <n v="500000"/>
    <n v="625000"/>
    <n v="750000"/>
    <n v="1000000"/>
    <n v="1.289744"/>
    <s v="125-150%"/>
    <n v="50000"/>
    <n v="21250"/>
    <n v="4173.12"/>
    <n v="0"/>
    <n v="0"/>
    <n v="75423.12"/>
    <n v="112834.12"/>
    <n v="60000"/>
    <n v="21250"/>
    <n v="3974.4"/>
    <n v="0"/>
    <n v="0"/>
    <n v="85224.4"/>
    <n v="122635.4"/>
  </r>
  <r>
    <n v="1155371844"/>
    <s v="Deloris"/>
    <s v="Nuzzti"/>
    <x v="672"/>
    <x v="1"/>
    <n v="55343"/>
    <n v="24"/>
    <x v="672"/>
    <n v="600000"/>
    <n v="750000"/>
    <n v="900000"/>
    <n v="1200000"/>
    <n v="1.2872033333333333"/>
    <s v="125-150%"/>
    <n v="78000"/>
    <n v="22500"/>
    <n v="4017.96"/>
    <n v="0"/>
    <n v="0"/>
    <n v="104517.96"/>
    <n v="159860.96000000002"/>
    <n v="90000"/>
    <n v="27000"/>
    <n v="5580.5"/>
    <n v="0"/>
    <n v="0"/>
    <n v="122580.5"/>
    <n v="177923.5"/>
  </r>
  <r>
    <n v="9590888275"/>
    <s v="Hoyt"/>
    <s v="O' Loughran"/>
    <x v="673"/>
    <x v="1"/>
    <n v="53899"/>
    <n v="18"/>
    <x v="673"/>
    <n v="600000"/>
    <n v="750000"/>
    <n v="900000"/>
    <n v="1200000"/>
    <n v="1.1697249999999999"/>
    <s v="100-125%"/>
    <n v="78000"/>
    <n v="19348.650000000001"/>
    <n v="0"/>
    <n v="0"/>
    <n v="0"/>
    <n v="97348.65"/>
    <n v="151247.65"/>
    <n v="90000"/>
    <n v="18330.3"/>
    <n v="0"/>
    <n v="0"/>
    <n v="0"/>
    <n v="108330.3"/>
    <n v="162229.29999999999"/>
  </r>
  <r>
    <n v="5629875752"/>
    <s v="Joane"/>
    <s v="O' Mulderrig"/>
    <x v="674"/>
    <x v="2"/>
    <n v="107750"/>
    <n v="17"/>
    <x v="674"/>
    <n v="750000"/>
    <n v="937500"/>
    <n v="1125000"/>
    <n v="1500000"/>
    <n v="0.78183199999999997"/>
    <s v="0-100%"/>
    <n v="87956.099999999991"/>
    <n v="0"/>
    <n v="0"/>
    <n v="0"/>
    <n v="0"/>
    <n v="87956.099999999991"/>
    <n v="195706.09999999998"/>
    <n v="87956.099999999991"/>
    <n v="0"/>
    <n v="0"/>
    <n v="0"/>
    <n v="0"/>
    <n v="87956.099999999991"/>
    <n v="195706.09999999998"/>
  </r>
  <r>
    <n v="6364724701"/>
    <s v="Petronella"/>
    <s v="O' Ronan"/>
    <x v="675"/>
    <x v="0"/>
    <n v="30640"/>
    <n v="18"/>
    <x v="675"/>
    <n v="500000"/>
    <n v="625000"/>
    <n v="750000"/>
    <n v="1000000"/>
    <n v="1.230424"/>
    <s v="100-125%"/>
    <n v="50000"/>
    <n v="21890.28"/>
    <n v="0"/>
    <n v="0"/>
    <n v="0"/>
    <n v="71890.28"/>
    <n v="102530.28"/>
    <n v="60000"/>
    <n v="19586.04"/>
    <n v="0"/>
    <n v="0"/>
    <n v="0"/>
    <n v="79586.040000000008"/>
    <n v="110226.04000000001"/>
  </r>
  <r>
    <n v="3538909016"/>
    <s v="Cassaundra"/>
    <s v="Offield"/>
    <x v="676"/>
    <x v="0"/>
    <n v="57718"/>
    <n v="18"/>
    <x v="676"/>
    <n v="500000"/>
    <n v="625000"/>
    <n v="750000"/>
    <n v="1000000"/>
    <n v="1.162536"/>
    <s v="100-125%"/>
    <n v="50000"/>
    <n v="13815.560000000001"/>
    <n v="0"/>
    <n v="0"/>
    <n v="0"/>
    <n v="63815.56"/>
    <n v="121533.56"/>
    <n v="60000"/>
    <n v="13815.560000000001"/>
    <n v="0"/>
    <n v="0"/>
    <n v="0"/>
    <n v="73815.56"/>
    <n v="131533.56"/>
  </r>
  <r>
    <n v="6637560367"/>
    <s v="Jermayne"/>
    <s v="O'Grady"/>
    <x v="677"/>
    <x v="0"/>
    <n v="56008"/>
    <n v="20"/>
    <x v="677"/>
    <n v="500000"/>
    <n v="625000"/>
    <n v="750000"/>
    <n v="1000000"/>
    <n v="1.330408"/>
    <s v="125-150%"/>
    <n v="50000"/>
    <n v="23750"/>
    <n v="9246.92"/>
    <n v="0"/>
    <n v="0"/>
    <n v="82996.92"/>
    <n v="139004.91999999998"/>
    <n v="60000"/>
    <n v="21250"/>
    <n v="8040.8"/>
    <n v="0"/>
    <n v="0"/>
    <n v="89290.8"/>
    <n v="145298.79999999999"/>
  </r>
  <r>
    <n v="3269054114"/>
    <s v="Skipper"/>
    <s v="Ohm"/>
    <x v="678"/>
    <x v="1"/>
    <n v="73223"/>
    <n v="22"/>
    <x v="678"/>
    <n v="600000"/>
    <n v="750000"/>
    <n v="900000"/>
    <n v="1200000"/>
    <n v="1.2514149999999999"/>
    <s v="125-150%"/>
    <n v="78000"/>
    <n v="28500"/>
    <n v="195.27"/>
    <n v="0"/>
    <n v="0"/>
    <n v="106695.27"/>
    <n v="179918.27000000002"/>
    <n v="90000"/>
    <n v="27000"/>
    <n v="212.25"/>
    <n v="0"/>
    <n v="0"/>
    <n v="117212.25"/>
    <n v="190435.25"/>
  </r>
  <r>
    <n v="7865341539"/>
    <s v="Farand"/>
    <s v="Okie"/>
    <x v="679"/>
    <x v="0"/>
    <n v="64631"/>
    <n v="13"/>
    <x v="679"/>
    <n v="500000"/>
    <n v="625000"/>
    <n v="750000"/>
    <n v="1000000"/>
    <n v="1.1543000000000001"/>
    <s v="100-125%"/>
    <n v="50000"/>
    <n v="11572.5"/>
    <n v="0"/>
    <n v="0"/>
    <n v="0"/>
    <n v="61572.5"/>
    <n v="126203.5"/>
    <n v="60000"/>
    <n v="13115.500000000002"/>
    <n v="0"/>
    <n v="0"/>
    <n v="0"/>
    <n v="73115.5"/>
    <n v="137746.5"/>
  </r>
  <r>
    <n v="2763158331"/>
    <s v="Bear"/>
    <s v="Olczyk"/>
    <x v="680"/>
    <x v="0"/>
    <n v="63815"/>
    <n v="30"/>
    <x v="680"/>
    <n v="500000"/>
    <n v="625000"/>
    <n v="750000"/>
    <n v="1000000"/>
    <n v="2.0517880000000002"/>
    <s v="&gt;200%"/>
    <n v="50000"/>
    <n v="18750"/>
    <n v="22500"/>
    <n v="55000"/>
    <n v="2589.4"/>
    <n v="148839.4"/>
    <n v="212654.4"/>
    <n v="60000"/>
    <n v="21250"/>
    <n v="25000"/>
    <n v="55000"/>
    <n v="2589.4"/>
    <n v="163839.4"/>
    <n v="227654.39999999999"/>
  </r>
  <r>
    <n v="784224471"/>
    <s v="Malachi"/>
    <s v="Oldknow"/>
    <x v="681"/>
    <x v="2"/>
    <n v="122759"/>
    <n v="25"/>
    <x v="681"/>
    <n v="750000"/>
    <n v="937500"/>
    <n v="1125000"/>
    <n v="1500000"/>
    <n v="1.0867960000000001"/>
    <s v="100-125%"/>
    <n v="112500"/>
    <n v="12368.43"/>
    <n v="0"/>
    <n v="0"/>
    <n v="0"/>
    <n v="124868.43"/>
    <n v="247627.43"/>
    <n v="112500"/>
    <n v="14321.34"/>
    <n v="0"/>
    <n v="0"/>
    <n v="0"/>
    <n v="126821.34"/>
    <n v="249580.34"/>
  </r>
  <r>
    <n v="3288836432"/>
    <s v="Glenn"/>
    <s v="O'Murtagh"/>
    <x v="682"/>
    <x v="2"/>
    <n v="102601"/>
    <n v="13"/>
    <x v="682"/>
    <n v="750000"/>
    <n v="937500"/>
    <n v="1125000"/>
    <n v="1500000"/>
    <n v="0.66642133333333331"/>
    <s v="0-100%"/>
    <n v="74972.399999999994"/>
    <n v="0"/>
    <n v="0"/>
    <n v="0"/>
    <n v="0"/>
    <n v="74972.399999999994"/>
    <n v="177573.4"/>
    <n v="74972.399999999994"/>
    <n v="0"/>
    <n v="0"/>
    <n v="0"/>
    <n v="0"/>
    <n v="74972.399999999994"/>
    <n v="177573.4"/>
  </r>
  <r>
    <n v="6260817967"/>
    <s v="Colline"/>
    <s v="Openshaw"/>
    <x v="683"/>
    <x v="0"/>
    <n v="37016"/>
    <n v="22"/>
    <x v="683"/>
    <n v="500000"/>
    <n v="625000"/>
    <n v="750000"/>
    <n v="1000000"/>
    <n v="1.720326"/>
    <s v="150-200%"/>
    <n v="50000"/>
    <n v="21250"/>
    <n v="26250"/>
    <n v="28642.38"/>
    <n v="0"/>
    <n v="126142.38"/>
    <n v="163158.38"/>
    <n v="60000"/>
    <n v="21250"/>
    <n v="25000"/>
    <n v="24235.86"/>
    <n v="0"/>
    <n v="130485.86"/>
    <n v="167501.85999999999"/>
  </r>
  <r>
    <n v="7132417177"/>
    <s v="Manya"/>
    <s v="Orbell"/>
    <x v="684"/>
    <x v="0"/>
    <n v="52665"/>
    <n v="18"/>
    <x v="684"/>
    <n v="500000"/>
    <n v="625000"/>
    <n v="750000"/>
    <n v="1000000"/>
    <n v="1.1231180000000001"/>
    <s v="100-125%"/>
    <n v="50000"/>
    <n v="11696.210000000001"/>
    <n v="0"/>
    <n v="0"/>
    <n v="0"/>
    <n v="61696.21"/>
    <n v="114361.20999999999"/>
    <n v="60000"/>
    <n v="10465.030000000001"/>
    <n v="0"/>
    <n v="0"/>
    <n v="0"/>
    <n v="70465.03"/>
    <n v="123130.03"/>
  </r>
  <r>
    <n v="2908560011"/>
    <s v="Barr"/>
    <s v="Orring"/>
    <x v="685"/>
    <x v="2"/>
    <n v="103276"/>
    <n v="28"/>
    <x v="685"/>
    <n v="750000"/>
    <n v="937500"/>
    <n v="1125000"/>
    <n v="1500000"/>
    <n v="1.2405413333333333"/>
    <s v="100-125%"/>
    <n v="112500"/>
    <n v="30669.02"/>
    <n v="0"/>
    <n v="0"/>
    <n v="0"/>
    <n v="143169.01999999999"/>
    <n v="246445.02"/>
    <n v="112500"/>
    <n v="39689.32"/>
    <n v="0"/>
    <n v="0"/>
    <n v="0"/>
    <n v="152189.32"/>
    <n v="255465.32"/>
  </r>
  <r>
    <n v="2792499575"/>
    <s v="Broderic"/>
    <s v="Osbourne"/>
    <x v="686"/>
    <x v="2"/>
    <n v="103988"/>
    <n v="10"/>
    <x v="686"/>
    <n v="750000"/>
    <n v="937500"/>
    <n v="1125000"/>
    <n v="1500000"/>
    <n v="0.49691466666666667"/>
    <s v="0-100%"/>
    <n v="55902.9"/>
    <n v="0"/>
    <n v="0"/>
    <n v="0"/>
    <n v="0"/>
    <n v="55902.9"/>
    <n v="159890.9"/>
    <n v="55902.9"/>
    <n v="0"/>
    <n v="0"/>
    <n v="0"/>
    <n v="0"/>
    <n v="55902.9"/>
    <n v="159890.9"/>
  </r>
  <r>
    <n v="992720575"/>
    <s v="Brice"/>
    <s v="O'Sheeryne"/>
    <x v="687"/>
    <x v="0"/>
    <n v="49548"/>
    <n v="25"/>
    <x v="687"/>
    <n v="500000"/>
    <n v="625000"/>
    <n v="750000"/>
    <n v="1000000"/>
    <n v="1.5565439999999999"/>
    <s v="150-200%"/>
    <n v="50000"/>
    <n v="21250"/>
    <n v="26250"/>
    <n v="7350.72"/>
    <n v="0"/>
    <n v="104850.72"/>
    <n v="154398.72"/>
    <n v="60000"/>
    <n v="21250"/>
    <n v="25000"/>
    <n v="6219.84"/>
    <n v="0"/>
    <n v="112469.84"/>
    <n v="162017.84"/>
  </r>
  <r>
    <n v="1313434965"/>
    <s v="Elsey"/>
    <s v="O'Shevlin"/>
    <x v="688"/>
    <x v="1"/>
    <n v="72359"/>
    <n v="20"/>
    <x v="688"/>
    <n v="600000"/>
    <n v="750000"/>
    <n v="900000"/>
    <n v="1200000"/>
    <n v="0.95924333333333334"/>
    <s v="0-100%"/>
    <n v="74820.98"/>
    <n v="0"/>
    <n v="0"/>
    <n v="0"/>
    <n v="0"/>
    <n v="74820.98"/>
    <n v="147179.97999999998"/>
    <n v="86331.9"/>
    <n v="0"/>
    <n v="0"/>
    <n v="0"/>
    <n v="0"/>
    <n v="86331.9"/>
    <n v="158690.9"/>
  </r>
  <r>
    <n v="2423731264"/>
    <s v="Bonny"/>
    <s v="Oxteby"/>
    <x v="689"/>
    <x v="2"/>
    <n v="124700"/>
    <n v="15"/>
    <x v="689"/>
    <n v="750000"/>
    <n v="937500"/>
    <n v="1125000"/>
    <n v="1500000"/>
    <n v="0.78509066666666671"/>
    <s v="0-100%"/>
    <n v="88322.7"/>
    <n v="0"/>
    <n v="0"/>
    <n v="0"/>
    <n v="0"/>
    <n v="88322.7"/>
    <n v="213022.7"/>
    <n v="88322.7"/>
    <n v="0"/>
    <n v="0"/>
    <n v="0"/>
    <n v="0"/>
    <n v="88322.7"/>
    <n v="213022.7"/>
  </r>
  <r>
    <n v="2456061896"/>
    <s v="Craggie"/>
    <s v="Paradin"/>
    <x v="690"/>
    <x v="0"/>
    <n v="32384"/>
    <n v="15"/>
    <x v="690"/>
    <n v="500000"/>
    <n v="625000"/>
    <n v="750000"/>
    <n v="1000000"/>
    <n v="0.91767600000000005"/>
    <s v="0-100%"/>
    <n v="45883.8"/>
    <n v="0"/>
    <n v="0"/>
    <n v="0"/>
    <n v="0"/>
    <n v="45883.8"/>
    <n v="78267.8"/>
    <n v="55060.56"/>
    <n v="0"/>
    <n v="0"/>
    <n v="0"/>
    <n v="0"/>
    <n v="55060.56"/>
    <n v="87444.56"/>
  </r>
  <r>
    <n v="1442784075"/>
    <s v="Anselma"/>
    <s v="Paradise"/>
    <x v="691"/>
    <x v="2"/>
    <n v="102948"/>
    <n v="24"/>
    <x v="691"/>
    <n v="750000"/>
    <n v="937500"/>
    <n v="1125000"/>
    <n v="1500000"/>
    <n v="1.0733533333333334"/>
    <s v="100-125%"/>
    <n v="112500"/>
    <n v="8252.25"/>
    <n v="0"/>
    <n v="0"/>
    <n v="0"/>
    <n v="120752.25"/>
    <n v="223700.25"/>
    <n v="112500"/>
    <n v="12103.3"/>
    <n v="0"/>
    <n v="0"/>
    <n v="0"/>
    <n v="124603.3"/>
    <n v="227551.3"/>
  </r>
  <r>
    <n v="8162941088"/>
    <s v="Zebadiah"/>
    <s v="Parham"/>
    <x v="692"/>
    <x v="0"/>
    <n v="30769"/>
    <n v="29"/>
    <x v="692"/>
    <n v="500000"/>
    <n v="625000"/>
    <n v="750000"/>
    <n v="1000000"/>
    <n v="1.7388859999999999"/>
    <s v="150-200%"/>
    <n v="50000"/>
    <n v="18750"/>
    <n v="22500"/>
    <n v="26277.46"/>
    <n v="0"/>
    <n v="117527.45999999999"/>
    <n v="148296.46"/>
    <n v="60000"/>
    <n v="21250"/>
    <n v="25000"/>
    <n v="26277.46"/>
    <n v="0"/>
    <n v="132527.46"/>
    <n v="163296.46"/>
  </r>
  <r>
    <n v="7286297414"/>
    <s v="Luisa"/>
    <s v="Parradice"/>
    <x v="693"/>
    <x v="0"/>
    <n v="47678"/>
    <n v="23"/>
    <x v="693"/>
    <n v="500000"/>
    <n v="625000"/>
    <n v="750000"/>
    <n v="1000000"/>
    <n v="1.6713180000000001"/>
    <s v="150-200%"/>
    <n v="50000"/>
    <n v="18750"/>
    <n v="22500"/>
    <n v="18844.98"/>
    <n v="0"/>
    <n v="110094.98"/>
    <n v="157772.97999999998"/>
    <n v="60000"/>
    <n v="21250"/>
    <n v="25000"/>
    <n v="18844.98"/>
    <n v="0"/>
    <n v="125094.98"/>
    <n v="172772.97999999998"/>
  </r>
  <r>
    <n v="8718856853"/>
    <s v="Jourdain"/>
    <s v="Patience"/>
    <x v="694"/>
    <x v="1"/>
    <n v="71243"/>
    <n v="19"/>
    <x v="694"/>
    <n v="600000"/>
    <n v="750000"/>
    <n v="900000"/>
    <n v="1200000"/>
    <n v="1.1351183333333332"/>
    <s v="100-125%"/>
    <n v="78000"/>
    <n v="12160.65"/>
    <n v="0"/>
    <n v="0"/>
    <n v="0"/>
    <n v="90160.65"/>
    <n v="161403.65"/>
    <n v="90000"/>
    <n v="14592.779999999999"/>
    <n v="0"/>
    <n v="0"/>
    <n v="0"/>
    <n v="104592.78"/>
    <n v="175835.78"/>
  </r>
  <r>
    <n v="8895721314"/>
    <s v="Noami"/>
    <s v="Pauletti"/>
    <x v="695"/>
    <x v="1"/>
    <n v="55660"/>
    <n v="23"/>
    <x v="695"/>
    <n v="600000"/>
    <n v="750000"/>
    <n v="900000"/>
    <n v="1200000"/>
    <n v="1.4122533333333334"/>
    <s v="125-150%"/>
    <n v="78000"/>
    <n v="28500"/>
    <n v="22390.960000000003"/>
    <n v="0"/>
    <n v="0"/>
    <n v="128890.96"/>
    <n v="184550.96000000002"/>
    <n v="90000"/>
    <n v="27000"/>
    <n v="24338"/>
    <n v="0"/>
    <n v="0"/>
    <n v="141338"/>
    <n v="196998"/>
  </r>
  <r>
    <n v="5000631609"/>
    <s v="Kathe"/>
    <s v="Pauly"/>
    <x v="696"/>
    <x v="0"/>
    <n v="59055"/>
    <n v="23"/>
    <x v="696"/>
    <n v="500000"/>
    <n v="625000"/>
    <n v="750000"/>
    <n v="1000000"/>
    <n v="1.668434"/>
    <s v="150-200%"/>
    <n v="50000"/>
    <n v="21250"/>
    <n v="26250"/>
    <n v="21896.420000000002"/>
    <n v="0"/>
    <n v="119396.42"/>
    <n v="178451.41999999998"/>
    <n v="60000"/>
    <n v="21250"/>
    <n v="25000"/>
    <n v="18527.740000000002"/>
    <n v="0"/>
    <n v="124777.74"/>
    <n v="183832.74"/>
  </r>
  <r>
    <n v="453763030"/>
    <s v="Wenona"/>
    <s v="Pawlik"/>
    <x v="697"/>
    <x v="1"/>
    <n v="65782"/>
    <n v="22"/>
    <x v="697"/>
    <n v="600000"/>
    <n v="750000"/>
    <n v="900000"/>
    <n v="1200000"/>
    <n v="1.1860550000000001"/>
    <s v="100-125%"/>
    <n v="78000"/>
    <n v="16744.95"/>
    <n v="0"/>
    <n v="0"/>
    <n v="0"/>
    <n v="94744.95"/>
    <n v="160526.95000000001"/>
    <n v="90000"/>
    <n v="20093.939999999999"/>
    <n v="0"/>
    <n v="0"/>
    <n v="0"/>
    <n v="110093.94"/>
    <n v="175875.94"/>
  </r>
  <r>
    <n v="4878156686"/>
    <s v="Maighdiln"/>
    <s v="Payfoot"/>
    <x v="698"/>
    <x v="0"/>
    <n v="38736"/>
    <n v="20"/>
    <x v="698"/>
    <n v="500000"/>
    <n v="625000"/>
    <n v="750000"/>
    <n v="1000000"/>
    <n v="1.3006819999999999"/>
    <s v="125-150%"/>
    <n v="50000"/>
    <n v="23750"/>
    <n v="5828.43"/>
    <n v="0"/>
    <n v="0"/>
    <n v="79578.429999999993"/>
    <n v="118314.43"/>
    <n v="60000"/>
    <n v="21250"/>
    <n v="5068.2000000000007"/>
    <n v="0"/>
    <n v="0"/>
    <n v="86318.2"/>
    <n v="125054.2"/>
  </r>
  <r>
    <n v="6695538166"/>
    <s v="Jessie"/>
    <s v="Peabody"/>
    <x v="699"/>
    <x v="1"/>
    <n v="72309"/>
    <n v="22"/>
    <x v="699"/>
    <n v="600000"/>
    <n v="750000"/>
    <n v="900000"/>
    <n v="1200000"/>
    <n v="1.3045316666666666"/>
    <s v="125-150%"/>
    <n v="78000"/>
    <n v="25500.000000000004"/>
    <n v="6870.99"/>
    <n v="0"/>
    <n v="0"/>
    <n v="110370.99"/>
    <n v="182679.99"/>
    <n v="90000"/>
    <n v="27000"/>
    <n v="8179.75"/>
    <n v="0"/>
    <n v="0"/>
    <n v="125179.75"/>
    <n v="197488.75"/>
  </r>
  <r>
    <n v="3524504531"/>
    <s v="Winston"/>
    <s v="Pech"/>
    <x v="700"/>
    <x v="2"/>
    <n v="106058"/>
    <n v="21"/>
    <x v="700"/>
    <n v="750000"/>
    <n v="937500"/>
    <n v="1125000"/>
    <n v="1500000"/>
    <n v="0.9552586666666667"/>
    <s v="0-100%"/>
    <n v="107466.59999999999"/>
    <n v="0"/>
    <n v="0"/>
    <n v="0"/>
    <n v="0"/>
    <n v="107466.59999999999"/>
    <n v="213524.59999999998"/>
    <n v="107466.59999999999"/>
    <n v="0"/>
    <n v="0"/>
    <n v="0"/>
    <n v="0"/>
    <n v="107466.59999999999"/>
    <n v="213524.59999999998"/>
  </r>
  <r>
    <n v="4900475084"/>
    <s v="Fidelia"/>
    <s v="Pedrocco"/>
    <x v="701"/>
    <x v="1"/>
    <n v="62855"/>
    <n v="22"/>
    <x v="701"/>
    <n v="600000"/>
    <n v="750000"/>
    <n v="900000"/>
    <n v="1200000"/>
    <n v="1.3129716666666666"/>
    <s v="125-150%"/>
    <n v="78000"/>
    <n v="25500.000000000004"/>
    <n v="7934.4299999999994"/>
    <n v="0"/>
    <n v="0"/>
    <n v="111434.43"/>
    <n v="174289.43"/>
    <n v="90000"/>
    <n v="27000"/>
    <n v="9445.75"/>
    <n v="0"/>
    <n v="0"/>
    <n v="126445.75"/>
    <n v="189300.75"/>
  </r>
  <r>
    <n v="4670832530"/>
    <s v="Lindy"/>
    <s v="Pember"/>
    <x v="702"/>
    <x v="2"/>
    <n v="99389"/>
    <n v="23"/>
    <x v="702"/>
    <n v="750000"/>
    <n v="937500"/>
    <n v="1125000"/>
    <n v="1500000"/>
    <n v="1.1956386666666667"/>
    <s v="100-125%"/>
    <n v="112500"/>
    <n v="22009.35"/>
    <n v="0"/>
    <n v="0"/>
    <n v="0"/>
    <n v="134509.35"/>
    <n v="233898.35"/>
    <n v="112500"/>
    <n v="32280.38"/>
    <n v="0"/>
    <n v="0"/>
    <n v="0"/>
    <n v="144780.38"/>
    <n v="244169.38"/>
  </r>
  <r>
    <n v="8664054479"/>
    <s v="Obadias"/>
    <s v="Penelli"/>
    <x v="703"/>
    <x v="2"/>
    <n v="121781"/>
    <n v="16"/>
    <x v="703"/>
    <n v="750000"/>
    <n v="937500"/>
    <n v="1125000"/>
    <n v="1500000"/>
    <n v="0.75729599999999997"/>
    <s v="0-100%"/>
    <n v="85195.8"/>
    <n v="0"/>
    <n v="0"/>
    <n v="0"/>
    <n v="0"/>
    <n v="85195.8"/>
    <n v="206976.8"/>
    <n v="85195.8"/>
    <n v="0"/>
    <n v="0"/>
    <n v="0"/>
    <n v="0"/>
    <n v="85195.8"/>
    <n v="206976.8"/>
  </r>
  <r>
    <n v="4192443678"/>
    <s v="Cindy"/>
    <s v="Pentecost"/>
    <x v="704"/>
    <x v="1"/>
    <n v="75878"/>
    <n v="24"/>
    <x v="704"/>
    <n v="600000"/>
    <n v="750000"/>
    <n v="900000"/>
    <n v="1200000"/>
    <n v="1.6184866666666666"/>
    <s v="150-200%"/>
    <n v="78000"/>
    <n v="28500"/>
    <n v="34500"/>
    <n v="21327.599999999999"/>
    <n v="0"/>
    <n v="162327.6"/>
    <n v="238205.6"/>
    <n v="90000"/>
    <n v="27000"/>
    <n v="37500"/>
    <n v="21327.599999999999"/>
    <n v="0"/>
    <n v="175827.6"/>
    <n v="251705.60000000001"/>
  </r>
  <r>
    <n v="7436398989"/>
    <s v="Josiah"/>
    <s v="Pepi"/>
    <x v="705"/>
    <x v="2"/>
    <n v="117196"/>
    <n v="14"/>
    <x v="705"/>
    <n v="750000"/>
    <n v="937500"/>
    <n v="1125000"/>
    <n v="1500000"/>
    <n v="0.79347599999999996"/>
    <s v="0-100%"/>
    <n v="89266.05"/>
    <n v="0"/>
    <n v="0"/>
    <n v="0"/>
    <n v="0"/>
    <n v="89266.05"/>
    <n v="206462.05"/>
    <n v="89266.05"/>
    <n v="0"/>
    <n v="0"/>
    <n v="0"/>
    <n v="0"/>
    <n v="89266.05"/>
    <n v="206462.05"/>
  </r>
  <r>
    <n v="1149008652"/>
    <s v="Jethro"/>
    <s v="Percifer"/>
    <x v="706"/>
    <x v="2"/>
    <n v="78714"/>
    <n v="18"/>
    <x v="706"/>
    <n v="750000"/>
    <n v="937500"/>
    <n v="1125000"/>
    <n v="1500000"/>
    <n v="0.72527066666666662"/>
    <s v="0-100%"/>
    <n v="81592.95"/>
    <n v="0"/>
    <n v="0"/>
    <n v="0"/>
    <n v="0"/>
    <n v="81592.95"/>
    <n v="160306.95000000001"/>
    <n v="81592.95"/>
    <n v="0"/>
    <n v="0"/>
    <n v="0"/>
    <n v="0"/>
    <n v="81592.95"/>
    <n v="160306.95000000001"/>
  </r>
  <r>
    <n v="879297433"/>
    <s v="Kevon"/>
    <s v="Perl"/>
    <x v="707"/>
    <x v="0"/>
    <n v="44360"/>
    <n v="19"/>
    <x v="707"/>
    <n v="500000"/>
    <n v="625000"/>
    <n v="750000"/>
    <n v="1000000"/>
    <n v="1.4064319999999999"/>
    <s v="125-150%"/>
    <n v="50000"/>
    <n v="21250"/>
    <n v="16425.36"/>
    <n v="0"/>
    <n v="0"/>
    <n v="87675.36"/>
    <n v="132035.35999999999"/>
    <n v="60000"/>
    <n v="21250"/>
    <n v="15643.2"/>
    <n v="0"/>
    <n v="0"/>
    <n v="96893.2"/>
    <n v="141253.20000000001"/>
  </r>
  <r>
    <n v="6172549286"/>
    <s v="Neil"/>
    <s v="Perritt"/>
    <x v="708"/>
    <x v="1"/>
    <n v="67585"/>
    <n v="22"/>
    <x v="708"/>
    <n v="600000"/>
    <n v="750000"/>
    <n v="900000"/>
    <n v="1200000"/>
    <n v="1.2215083333333334"/>
    <s v="100-125%"/>
    <n v="78000"/>
    <n v="19935.75"/>
    <n v="0"/>
    <n v="0"/>
    <n v="0"/>
    <n v="97935.75"/>
    <n v="165520.75"/>
    <n v="90000"/>
    <n v="23922.899999999998"/>
    <n v="0"/>
    <n v="0"/>
    <n v="0"/>
    <n v="113922.9"/>
    <n v="181507.9"/>
  </r>
  <r>
    <n v="715518151"/>
    <s v="Stanislas"/>
    <s v="Pessolt"/>
    <x v="709"/>
    <x v="2"/>
    <n v="113739"/>
    <n v="22"/>
    <x v="709"/>
    <n v="750000"/>
    <n v="937500"/>
    <n v="1125000"/>
    <n v="1500000"/>
    <n v="1.052"/>
    <s v="100-125%"/>
    <n v="112500"/>
    <n v="7410"/>
    <n v="0"/>
    <n v="0"/>
    <n v="0"/>
    <n v="119910"/>
    <n v="233649"/>
    <n v="112500"/>
    <n v="8580"/>
    <n v="0"/>
    <n v="0"/>
    <n v="0"/>
    <n v="121080"/>
    <n v="234819"/>
  </r>
  <r>
    <n v="9312128221"/>
    <s v="Chuck"/>
    <s v="Petkov"/>
    <x v="710"/>
    <x v="0"/>
    <n v="49598"/>
    <n v="15"/>
    <x v="710"/>
    <n v="500000"/>
    <n v="625000"/>
    <n v="750000"/>
    <n v="1000000"/>
    <n v="1.0369699999999999"/>
    <s v="100-125%"/>
    <n v="50000"/>
    <n v="3512.15"/>
    <n v="0"/>
    <n v="0"/>
    <n v="0"/>
    <n v="53512.15"/>
    <n v="103110.15"/>
    <n v="60000"/>
    <n v="3142.4500000000003"/>
    <n v="0"/>
    <n v="0"/>
    <n v="0"/>
    <n v="63142.45"/>
    <n v="112740.45"/>
  </r>
  <r>
    <n v="7269614199"/>
    <s v="Elroy"/>
    <s v="Petrasso"/>
    <x v="711"/>
    <x v="0"/>
    <n v="49250"/>
    <n v="14"/>
    <x v="711"/>
    <n v="500000"/>
    <n v="625000"/>
    <n v="750000"/>
    <n v="1000000"/>
    <n v="0.82889999999999997"/>
    <s v="0-100%"/>
    <n v="41445"/>
    <n v="0"/>
    <n v="0"/>
    <n v="0"/>
    <n v="0"/>
    <n v="41445"/>
    <n v="90695"/>
    <n v="49734"/>
    <n v="0"/>
    <n v="0"/>
    <n v="0"/>
    <n v="0"/>
    <n v="49734"/>
    <n v="98984"/>
  </r>
  <r>
    <n v="6375014751"/>
    <s v="Archy"/>
    <s v="Petri"/>
    <x v="712"/>
    <x v="0"/>
    <n v="56888"/>
    <n v="17"/>
    <x v="712"/>
    <n v="500000"/>
    <n v="625000"/>
    <n v="750000"/>
    <n v="1000000"/>
    <n v="1.0564359999999999"/>
    <s v="100-125%"/>
    <n v="50000"/>
    <n v="5361.42"/>
    <n v="0"/>
    <n v="0"/>
    <n v="0"/>
    <n v="55361.42"/>
    <n v="112249.42"/>
    <n v="60000"/>
    <n v="4797.0600000000004"/>
    <n v="0"/>
    <n v="0"/>
    <n v="0"/>
    <n v="64797.06"/>
    <n v="121685.06"/>
  </r>
  <r>
    <n v="1074899180"/>
    <s v="Agretha"/>
    <s v="Pevreal"/>
    <x v="713"/>
    <x v="2"/>
    <n v="84090"/>
    <n v="19"/>
    <x v="713"/>
    <n v="750000"/>
    <n v="937500"/>
    <n v="1125000"/>
    <n v="1500000"/>
    <n v="0.78983333333333339"/>
    <s v="0-100%"/>
    <n v="88856.25"/>
    <n v="0"/>
    <n v="0"/>
    <n v="0"/>
    <n v="0"/>
    <n v="88856.25"/>
    <n v="172946.25"/>
    <n v="88856.25"/>
    <n v="0"/>
    <n v="0"/>
    <n v="0"/>
    <n v="0"/>
    <n v="88856.25"/>
    <n v="172946.25"/>
  </r>
  <r>
    <n v="2022565827"/>
    <s v="Tracey"/>
    <s v="Phelip"/>
    <x v="714"/>
    <x v="1"/>
    <n v="53277"/>
    <n v="13"/>
    <x v="714"/>
    <n v="600000"/>
    <n v="750000"/>
    <n v="900000"/>
    <n v="1200000"/>
    <n v="0.90637833333333329"/>
    <s v="0-100%"/>
    <n v="70697.510000000009"/>
    <n v="0"/>
    <n v="0"/>
    <n v="0"/>
    <n v="0"/>
    <n v="70697.510000000009"/>
    <n v="123974.51000000001"/>
    <n v="81574.05"/>
    <n v="0"/>
    <n v="0"/>
    <n v="0"/>
    <n v="0"/>
    <n v="81574.05"/>
    <n v="134851.04999999999"/>
  </r>
  <r>
    <n v="3458178171"/>
    <s v="Horst"/>
    <s v="Phelips"/>
    <x v="715"/>
    <x v="1"/>
    <n v="57276"/>
    <n v="12"/>
    <x v="715"/>
    <n v="600000"/>
    <n v="750000"/>
    <n v="900000"/>
    <n v="1200000"/>
    <n v="0.78948166666666664"/>
    <s v="0-100%"/>
    <n v="61579.57"/>
    <n v="0"/>
    <n v="0"/>
    <n v="0"/>
    <n v="0"/>
    <n v="61579.57"/>
    <n v="118855.57"/>
    <n v="71053.349999999991"/>
    <n v="0"/>
    <n v="0"/>
    <n v="0"/>
    <n v="0"/>
    <n v="71053.349999999991"/>
    <n v="128329.34999999999"/>
  </r>
  <r>
    <n v="2575500974"/>
    <s v="Orelia"/>
    <s v="Philipson"/>
    <x v="716"/>
    <x v="1"/>
    <n v="66504"/>
    <n v="28"/>
    <x v="716"/>
    <n v="600000"/>
    <n v="750000"/>
    <n v="900000"/>
    <n v="1200000"/>
    <n v="1.6101316666666667"/>
    <s v="150-200%"/>
    <n v="78000"/>
    <n v="28500"/>
    <n v="34500"/>
    <n v="19823.7"/>
    <n v="0"/>
    <n v="160823.70000000001"/>
    <n v="227327.7"/>
    <n v="90000"/>
    <n v="27000"/>
    <n v="37500"/>
    <n v="19823.7"/>
    <n v="0"/>
    <n v="174323.7"/>
    <n v="240827.7"/>
  </r>
  <r>
    <n v="19662963"/>
    <s v="Vivian"/>
    <s v="Philson"/>
    <x v="717"/>
    <x v="0"/>
    <n v="61944"/>
    <n v="14"/>
    <x v="717"/>
    <n v="500000"/>
    <n v="625000"/>
    <n v="750000"/>
    <n v="1000000"/>
    <n v="0.91708199999999995"/>
    <s v="0-100%"/>
    <n v="45854.100000000006"/>
    <n v="0"/>
    <n v="0"/>
    <n v="0"/>
    <n v="0"/>
    <n v="45854.100000000006"/>
    <n v="107798.1"/>
    <n v="55024.92"/>
    <n v="0"/>
    <n v="0"/>
    <n v="0"/>
    <n v="0"/>
    <n v="55024.92"/>
    <n v="116968.92"/>
  </r>
  <r>
    <n v="7888574610"/>
    <s v="Arvy"/>
    <s v="Phittiplace"/>
    <x v="718"/>
    <x v="0"/>
    <n v="43872"/>
    <n v="27"/>
    <x v="718"/>
    <n v="500000"/>
    <n v="625000"/>
    <n v="750000"/>
    <n v="1000000"/>
    <n v="1.9051720000000001"/>
    <s v="150-200%"/>
    <n v="50000"/>
    <n v="18750"/>
    <n v="22500"/>
    <n v="44568.92"/>
    <n v="0"/>
    <n v="135818.91999999998"/>
    <n v="179690.91999999998"/>
    <n v="60000"/>
    <n v="21250"/>
    <n v="25000"/>
    <n v="44568.92"/>
    <n v="0"/>
    <n v="150818.91999999998"/>
    <n v="194690.91999999998"/>
  </r>
  <r>
    <n v="2922893758"/>
    <s v="Somerset"/>
    <s v="Phlippsen"/>
    <x v="719"/>
    <x v="0"/>
    <n v="36222"/>
    <n v="21"/>
    <x v="719"/>
    <n v="500000"/>
    <n v="625000"/>
    <n v="750000"/>
    <n v="1000000"/>
    <n v="1.5712440000000001"/>
    <s v="150-200%"/>
    <n v="50000"/>
    <n v="23750"/>
    <n v="28750"/>
    <n v="10686.6"/>
    <n v="0"/>
    <n v="113186.6"/>
    <n v="149408.6"/>
    <n v="60000"/>
    <n v="21250"/>
    <n v="25000"/>
    <n v="7836.84"/>
    <n v="0"/>
    <n v="114086.84"/>
    <n v="150308.84"/>
  </r>
  <r>
    <n v="9627071331"/>
    <s v="Denny"/>
    <s v="Pickard"/>
    <x v="720"/>
    <x v="2"/>
    <n v="124372"/>
    <n v="23"/>
    <x v="720"/>
    <n v="750000"/>
    <n v="937500"/>
    <n v="1125000"/>
    <n v="1500000"/>
    <n v="0.84462000000000004"/>
    <s v="0-100%"/>
    <n v="95019.75"/>
    <n v="0"/>
    <n v="0"/>
    <n v="0"/>
    <n v="0"/>
    <n v="95019.75"/>
    <n v="219391.75"/>
    <n v="95019.75"/>
    <n v="0"/>
    <n v="0"/>
    <n v="0"/>
    <n v="0"/>
    <n v="95019.75"/>
    <n v="219391.75"/>
  </r>
  <r>
    <n v="4502817627"/>
    <s v="Aurelie"/>
    <s v="Pickaver"/>
    <x v="721"/>
    <x v="0"/>
    <n v="63908"/>
    <n v="17"/>
    <x v="721"/>
    <n v="500000"/>
    <n v="625000"/>
    <n v="750000"/>
    <n v="1000000"/>
    <n v="1.3910020000000001"/>
    <s v="125-150%"/>
    <n v="50000"/>
    <n v="21250"/>
    <n v="14805.21"/>
    <n v="0"/>
    <n v="0"/>
    <n v="86055.209999999992"/>
    <n v="149963.21"/>
    <n v="60000"/>
    <n v="21250"/>
    <n v="14100.2"/>
    <n v="0"/>
    <n v="0"/>
    <n v="95350.2"/>
    <n v="159258.20000000001"/>
  </r>
  <r>
    <n v="1391414047"/>
    <s v="Arleyne"/>
    <s v="Piens"/>
    <x v="722"/>
    <x v="0"/>
    <n v="36170"/>
    <n v="18"/>
    <x v="722"/>
    <n v="500000"/>
    <n v="625000"/>
    <n v="750000"/>
    <n v="1000000"/>
    <n v="1.135168"/>
    <s v="100-125%"/>
    <n v="50000"/>
    <n v="11489.28"/>
    <n v="0"/>
    <n v="0"/>
    <n v="0"/>
    <n v="61489.279999999999"/>
    <n v="97659.28"/>
    <n v="60000"/>
    <n v="11489.28"/>
    <n v="0"/>
    <n v="0"/>
    <n v="0"/>
    <n v="71489.279999999999"/>
    <n v="107659.28"/>
  </r>
  <r>
    <n v="6978367184"/>
    <s v="Amberly"/>
    <s v="Pillman"/>
    <x v="723"/>
    <x v="2"/>
    <n v="92573"/>
    <n v="14"/>
    <x v="723"/>
    <n v="750000"/>
    <n v="937500"/>
    <n v="1125000"/>
    <n v="1500000"/>
    <n v="0.65095999999999998"/>
    <s v="0-100%"/>
    <n v="73233"/>
    <n v="0"/>
    <n v="0"/>
    <n v="0"/>
    <n v="0"/>
    <n v="73233"/>
    <n v="165806"/>
    <n v="73233"/>
    <n v="0"/>
    <n v="0"/>
    <n v="0"/>
    <n v="0"/>
    <n v="73233"/>
    <n v="165806"/>
  </r>
  <r>
    <n v="4406664351"/>
    <s v="Vally"/>
    <s v="Pinel"/>
    <x v="724"/>
    <x v="1"/>
    <n v="72749"/>
    <n v="19"/>
    <x v="724"/>
    <n v="600000"/>
    <n v="750000"/>
    <n v="900000"/>
    <n v="1200000"/>
    <n v="1.1385233333333333"/>
    <s v="100-125%"/>
    <n v="78000"/>
    <n v="15791.66"/>
    <n v="0"/>
    <n v="0"/>
    <n v="0"/>
    <n v="93791.66"/>
    <n v="166540.66"/>
    <n v="90000"/>
    <n v="14960.519999999999"/>
    <n v="0"/>
    <n v="0"/>
    <n v="0"/>
    <n v="104960.52"/>
    <n v="177709.52000000002"/>
  </r>
  <r>
    <n v="630160104"/>
    <s v="Zonda"/>
    <s v="Pipes"/>
    <x v="725"/>
    <x v="2"/>
    <n v="105465"/>
    <n v="21"/>
    <x v="725"/>
    <n v="750000"/>
    <n v="937500"/>
    <n v="1125000"/>
    <n v="1500000"/>
    <n v="0.92399066666666663"/>
    <s v="0-100%"/>
    <n v="103948.95"/>
    <n v="0"/>
    <n v="0"/>
    <n v="0"/>
    <n v="0"/>
    <n v="103948.95"/>
    <n v="209413.95"/>
    <n v="103948.95"/>
    <n v="0"/>
    <n v="0"/>
    <n v="0"/>
    <n v="0"/>
    <n v="103948.95"/>
    <n v="209413.95"/>
  </r>
  <r>
    <n v="5068508845"/>
    <s v="Rainer"/>
    <s v="Pirdy"/>
    <x v="726"/>
    <x v="1"/>
    <n v="63652"/>
    <n v="19"/>
    <x v="726"/>
    <n v="600000"/>
    <n v="750000"/>
    <n v="900000"/>
    <n v="1200000"/>
    <n v="1.1992400000000001"/>
    <s v="100-125%"/>
    <n v="78000"/>
    <n v="20322.480000000003"/>
    <n v="0"/>
    <n v="0"/>
    <n v="0"/>
    <n v="98322.48000000001"/>
    <n v="161974.48000000001"/>
    <n v="90000"/>
    <n v="21517.919999999998"/>
    <n v="0"/>
    <n v="0"/>
    <n v="0"/>
    <n v="111517.92"/>
    <n v="175169.91999999998"/>
  </r>
  <r>
    <n v="5304381319"/>
    <s v="Barbra"/>
    <s v="Pistol"/>
    <x v="727"/>
    <x v="1"/>
    <n v="74438"/>
    <n v="16"/>
    <x v="727"/>
    <n v="600000"/>
    <n v="750000"/>
    <n v="900000"/>
    <n v="1200000"/>
    <n v="1.0087283333333332"/>
    <s v="100-125%"/>
    <n v="78000"/>
    <n v="890.29000000000008"/>
    <n v="0"/>
    <n v="0"/>
    <n v="0"/>
    <n v="78890.289999999994"/>
    <n v="153328.28999999998"/>
    <n v="90000"/>
    <n v="942.66"/>
    <n v="0"/>
    <n v="0"/>
    <n v="0"/>
    <n v="90942.66"/>
    <n v="165380.66"/>
  </r>
  <r>
    <n v="3086393343"/>
    <s v="Hedwiga"/>
    <s v="Plail"/>
    <x v="728"/>
    <x v="2"/>
    <n v="100553"/>
    <n v="21"/>
    <x v="728"/>
    <n v="750000"/>
    <n v="937500"/>
    <n v="1125000"/>
    <n v="1500000"/>
    <n v="0.82010000000000005"/>
    <s v="0-100%"/>
    <n v="92261.25"/>
    <n v="0"/>
    <n v="0"/>
    <n v="0"/>
    <n v="0"/>
    <n v="92261.25"/>
    <n v="192814.25"/>
    <n v="92261.25"/>
    <n v="0"/>
    <n v="0"/>
    <n v="0"/>
    <n v="0"/>
    <n v="92261.25"/>
    <n v="192814.25"/>
  </r>
  <r>
    <n v="6380488901"/>
    <s v="Nikolaus"/>
    <s v="Plampeyn"/>
    <x v="729"/>
    <x v="0"/>
    <n v="33308"/>
    <n v="23"/>
    <x v="729"/>
    <n v="500000"/>
    <n v="625000"/>
    <n v="750000"/>
    <n v="1000000"/>
    <n v="1.6133280000000001"/>
    <s v="150-200%"/>
    <n v="50000"/>
    <n v="21250"/>
    <n v="26250"/>
    <n v="14732.640000000001"/>
    <n v="0"/>
    <n v="112232.64"/>
    <n v="145540.64000000001"/>
    <n v="60000"/>
    <n v="21250"/>
    <n v="25000"/>
    <n v="12466.08"/>
    <n v="0"/>
    <n v="118716.08"/>
    <n v="152024.08000000002"/>
  </r>
  <r>
    <n v="9545462825"/>
    <s v="Arther"/>
    <s v="Plant"/>
    <x v="730"/>
    <x v="1"/>
    <n v="66318"/>
    <n v="16"/>
    <x v="730"/>
    <n v="600000"/>
    <n v="750000"/>
    <n v="900000"/>
    <n v="1200000"/>
    <n v="1.0008483333333333"/>
    <s v="100-125%"/>
    <n v="78000"/>
    <n v="76.349999999999994"/>
    <n v="0"/>
    <n v="0"/>
    <n v="0"/>
    <n v="78076.350000000006"/>
    <n v="144394.35"/>
    <n v="90000"/>
    <n v="91.61999999999999"/>
    <n v="0"/>
    <n v="0"/>
    <n v="0"/>
    <n v="90091.62"/>
    <n v="156409.62"/>
  </r>
  <r>
    <n v="9984023702"/>
    <s v="Durant"/>
    <s v="Poag"/>
    <x v="731"/>
    <x v="0"/>
    <n v="41342"/>
    <n v="20"/>
    <x v="731"/>
    <n v="500000"/>
    <n v="625000"/>
    <n v="750000"/>
    <n v="1000000"/>
    <n v="1.25173"/>
    <s v="125-150%"/>
    <n v="50000"/>
    <n v="21250"/>
    <n v="181.65"/>
    <n v="0"/>
    <n v="0"/>
    <n v="71431.649999999994"/>
    <n v="112773.65"/>
    <n v="60000"/>
    <n v="21250"/>
    <n v="173"/>
    <n v="0"/>
    <n v="0"/>
    <n v="81423"/>
    <n v="122765"/>
  </r>
  <r>
    <n v="3932861779"/>
    <s v="Marvin"/>
    <s v="Pochin"/>
    <x v="732"/>
    <x v="1"/>
    <n v="66367"/>
    <n v="31"/>
    <x v="732"/>
    <n v="600000"/>
    <n v="750000"/>
    <n v="900000"/>
    <n v="1200000"/>
    <n v="1.675505"/>
    <s v="150-200%"/>
    <n v="78000"/>
    <n v="25500.000000000004"/>
    <n v="31500"/>
    <n v="27378.780000000002"/>
    <n v="0"/>
    <n v="162378.78"/>
    <n v="228745.78"/>
    <n v="90000"/>
    <n v="27000"/>
    <n v="37500"/>
    <n v="31590.899999999998"/>
    <n v="0"/>
    <n v="186090.9"/>
    <n v="252457.9"/>
  </r>
  <r>
    <n v="583595162"/>
    <s v="Jana"/>
    <s v="Polding"/>
    <x v="733"/>
    <x v="0"/>
    <n v="47531"/>
    <n v="19"/>
    <x v="733"/>
    <n v="500000"/>
    <n v="625000"/>
    <n v="750000"/>
    <n v="1000000"/>
    <n v="1.086992"/>
    <s v="100-125%"/>
    <n v="50000"/>
    <n v="8264.24"/>
    <n v="0"/>
    <n v="0"/>
    <n v="0"/>
    <n v="58264.24"/>
    <n v="105795.23999999999"/>
    <n v="60000"/>
    <n v="7394.3200000000006"/>
    <n v="0"/>
    <n v="0"/>
    <n v="0"/>
    <n v="67394.320000000007"/>
    <n v="114925.32"/>
  </r>
  <r>
    <n v="4972162740"/>
    <s v="Merrel"/>
    <s v="Pomphrey"/>
    <x v="734"/>
    <x v="1"/>
    <n v="64683"/>
    <n v="23"/>
    <x v="734"/>
    <n v="600000"/>
    <n v="750000"/>
    <n v="900000"/>
    <n v="1200000"/>
    <n v="1.3714900000000001"/>
    <s v="125-150%"/>
    <n v="78000"/>
    <n v="25500.000000000004"/>
    <n v="15307.74"/>
    <n v="0"/>
    <n v="0"/>
    <n v="118807.74"/>
    <n v="183490.74"/>
    <n v="90000"/>
    <n v="27000"/>
    <n v="18223.5"/>
    <n v="0"/>
    <n v="0"/>
    <n v="135223.5"/>
    <n v="199906.5"/>
  </r>
  <r>
    <n v="6284045549"/>
    <s v="Antons"/>
    <s v="Porkiss"/>
    <x v="735"/>
    <x v="0"/>
    <n v="61708"/>
    <n v="18"/>
    <x v="735"/>
    <n v="500000"/>
    <n v="625000"/>
    <n v="750000"/>
    <n v="1000000"/>
    <n v="1.1708099999999999"/>
    <s v="100-125%"/>
    <n v="50000"/>
    <n v="14518.85"/>
    <n v="0"/>
    <n v="0"/>
    <n v="0"/>
    <n v="64518.85"/>
    <n v="126226.85"/>
    <n v="60000"/>
    <n v="14518.85"/>
    <n v="0"/>
    <n v="0"/>
    <n v="0"/>
    <n v="74518.850000000006"/>
    <n v="136226.85"/>
  </r>
  <r>
    <n v="8377113392"/>
    <s v="Teriann"/>
    <s v="Portress"/>
    <x v="736"/>
    <x v="0"/>
    <n v="62282"/>
    <n v="21"/>
    <x v="736"/>
    <n v="500000"/>
    <n v="625000"/>
    <n v="750000"/>
    <n v="1000000"/>
    <n v="1.516432"/>
    <s v="150-200%"/>
    <n v="50000"/>
    <n v="21250"/>
    <n v="26250"/>
    <n v="2136.16"/>
    <n v="0"/>
    <n v="99636.160000000003"/>
    <n v="161918.16"/>
    <n v="60000"/>
    <n v="21250"/>
    <n v="25000"/>
    <n v="1807.52"/>
    <n v="0"/>
    <n v="108057.52"/>
    <n v="170339.52000000002"/>
  </r>
  <r>
    <n v="1628738227"/>
    <s v="See"/>
    <s v="Postin"/>
    <x v="737"/>
    <x v="1"/>
    <n v="53204"/>
    <n v="28"/>
    <x v="737"/>
    <n v="600000"/>
    <n v="750000"/>
    <n v="900000"/>
    <n v="1200000"/>
    <n v="1.5770150000000001"/>
    <s v="150-200%"/>
    <n v="78000"/>
    <n v="25500.000000000004"/>
    <n v="31500"/>
    <n v="12014.34"/>
    <n v="0"/>
    <n v="147014.34"/>
    <n v="200218.34"/>
    <n v="90000"/>
    <n v="27000"/>
    <n v="37500"/>
    <n v="13862.699999999999"/>
    <n v="0"/>
    <n v="168362.7"/>
    <n v="221566.7"/>
  </r>
  <r>
    <n v="1028388519"/>
    <s v="Barde"/>
    <s v="Pound"/>
    <x v="738"/>
    <x v="0"/>
    <n v="35149"/>
    <n v="17"/>
    <x v="738"/>
    <n v="500000"/>
    <n v="625000"/>
    <n v="750000"/>
    <n v="1000000"/>
    <n v="1.1274120000000001"/>
    <s v="100-125%"/>
    <n v="50000"/>
    <n v="12104.14"/>
    <n v="0"/>
    <n v="0"/>
    <n v="0"/>
    <n v="62104.14"/>
    <n v="97253.14"/>
    <n v="60000"/>
    <n v="10830.02"/>
    <n v="0"/>
    <n v="0"/>
    <n v="0"/>
    <n v="70830.02"/>
    <n v="105979.02"/>
  </r>
  <r>
    <n v="2079803735"/>
    <s v="Shawna"/>
    <s v="Powland"/>
    <x v="739"/>
    <x v="0"/>
    <n v="54843"/>
    <n v="20"/>
    <x v="739"/>
    <n v="500000"/>
    <n v="625000"/>
    <n v="750000"/>
    <n v="1000000"/>
    <n v="1.3525119999999999"/>
    <s v="125-150%"/>
    <n v="50000"/>
    <n v="18750"/>
    <n v="9226.08"/>
    <n v="0"/>
    <n v="0"/>
    <n v="77976.08"/>
    <n v="132819.08000000002"/>
    <n v="60000"/>
    <n v="21250"/>
    <n v="10251.200000000001"/>
    <n v="0"/>
    <n v="0"/>
    <n v="91501.2"/>
    <n v="146344.20000000001"/>
  </r>
  <r>
    <n v="2565093969"/>
    <s v="Nelly"/>
    <s v="Prando"/>
    <x v="740"/>
    <x v="0"/>
    <n v="46352"/>
    <n v="25"/>
    <x v="740"/>
    <n v="500000"/>
    <n v="625000"/>
    <n v="750000"/>
    <n v="1000000"/>
    <n v="1.870276"/>
    <s v="150-200%"/>
    <n v="50000"/>
    <n v="23750"/>
    <n v="28750"/>
    <n v="55541.4"/>
    <n v="0"/>
    <n v="158041.4"/>
    <n v="204393.4"/>
    <n v="60000"/>
    <n v="21250"/>
    <n v="25000"/>
    <n v="40730.36"/>
    <n v="0"/>
    <n v="146980.35999999999"/>
    <n v="193332.36"/>
  </r>
  <r>
    <n v="6271204627"/>
    <s v="Brien"/>
    <s v="Prate"/>
    <x v="741"/>
    <x v="1"/>
    <n v="77962"/>
    <n v="23"/>
    <x v="741"/>
    <n v="600000"/>
    <n v="750000"/>
    <n v="900000"/>
    <n v="1200000"/>
    <n v="1.2704933333333333"/>
    <s v="125-150%"/>
    <n v="78000"/>
    <n v="25500.000000000004"/>
    <n v="2582.16"/>
    <n v="0"/>
    <n v="0"/>
    <n v="106082.16"/>
    <n v="184044.16"/>
    <n v="90000"/>
    <n v="27000"/>
    <n v="3074"/>
    <n v="0"/>
    <n v="0"/>
    <n v="120074"/>
    <n v="198036"/>
  </r>
  <r>
    <n v="6300411419"/>
    <s v="Donnell"/>
    <s v="Preon"/>
    <x v="742"/>
    <x v="0"/>
    <n v="43293"/>
    <n v="18"/>
    <x v="742"/>
    <n v="500000"/>
    <n v="625000"/>
    <n v="750000"/>
    <n v="1000000"/>
    <n v="1.375416"/>
    <s v="125-150%"/>
    <n v="50000"/>
    <n v="21250"/>
    <n v="13168.68"/>
    <n v="0"/>
    <n v="0"/>
    <n v="84418.68"/>
    <n v="127711.67999999999"/>
    <n v="60000"/>
    <n v="21250"/>
    <n v="12541.6"/>
    <n v="0"/>
    <n v="0"/>
    <n v="93791.6"/>
    <n v="137084.6"/>
  </r>
  <r>
    <n v="6148303353"/>
    <s v="Ike"/>
    <s v="Pretorius"/>
    <x v="743"/>
    <x v="2"/>
    <n v="118836"/>
    <n v="19"/>
    <x v="743"/>
    <n v="750000"/>
    <n v="937500"/>
    <n v="1125000"/>
    <n v="1500000"/>
    <n v="0.73275866666666667"/>
    <s v="0-100%"/>
    <n v="82435.349999999991"/>
    <n v="0"/>
    <n v="0"/>
    <n v="0"/>
    <n v="0"/>
    <n v="82435.349999999991"/>
    <n v="201271.34999999998"/>
    <n v="82435.349999999991"/>
    <n v="0"/>
    <n v="0"/>
    <n v="0"/>
    <n v="0"/>
    <n v="82435.349999999991"/>
    <n v="201271.34999999998"/>
  </r>
  <r>
    <n v="8254304106"/>
    <s v="Mirabel"/>
    <s v="Prigmore"/>
    <x v="744"/>
    <x v="1"/>
    <n v="71687"/>
    <n v="17"/>
    <x v="744"/>
    <n v="600000"/>
    <n v="750000"/>
    <n v="900000"/>
    <n v="1200000"/>
    <n v="0.91902166666666663"/>
    <s v="0-100%"/>
    <n v="71683.69"/>
    <n v="0"/>
    <n v="0"/>
    <n v="0"/>
    <n v="0"/>
    <n v="71683.69"/>
    <n v="143370.69"/>
    <n v="82711.95"/>
    <n v="0"/>
    <n v="0"/>
    <n v="0"/>
    <n v="0"/>
    <n v="82711.95"/>
    <n v="154398.95000000001"/>
  </r>
  <r>
    <n v="6769297310"/>
    <s v="Pavlov"/>
    <s v="Pucknell"/>
    <x v="745"/>
    <x v="2"/>
    <n v="83667"/>
    <n v="23"/>
    <x v="745"/>
    <n v="750000"/>
    <n v="937500"/>
    <n v="1125000"/>
    <n v="1500000"/>
    <n v="0.99184799999999995"/>
    <s v="0-100%"/>
    <n v="111582.9"/>
    <n v="0"/>
    <n v="0"/>
    <n v="0"/>
    <n v="0"/>
    <n v="111582.9"/>
    <n v="195249.9"/>
    <n v="111582.9"/>
    <n v="0"/>
    <n v="0"/>
    <n v="0"/>
    <n v="0"/>
    <n v="111582.9"/>
    <n v="195249.9"/>
  </r>
  <r>
    <n v="4219825649"/>
    <s v="Olenka"/>
    <s v="Puddicombe"/>
    <x v="746"/>
    <x v="2"/>
    <n v="102823"/>
    <n v="21"/>
    <x v="746"/>
    <n v="750000"/>
    <n v="937500"/>
    <n v="1125000"/>
    <n v="1500000"/>
    <n v="0.82830800000000004"/>
    <s v="0-100%"/>
    <n v="93184.65"/>
    <n v="0"/>
    <n v="0"/>
    <n v="0"/>
    <n v="0"/>
    <n v="93184.65"/>
    <n v="196007.65"/>
    <n v="93184.65"/>
    <n v="0"/>
    <n v="0"/>
    <n v="0"/>
    <n v="0"/>
    <n v="93184.65"/>
    <n v="196007.65"/>
  </r>
  <r>
    <n v="8017115954"/>
    <s v="Nanine"/>
    <s v="Pummell"/>
    <x v="747"/>
    <x v="1"/>
    <n v="53058"/>
    <n v="21"/>
    <x v="747"/>
    <n v="600000"/>
    <n v="750000"/>
    <n v="900000"/>
    <n v="1200000"/>
    <n v="1.42231"/>
    <s v="125-150%"/>
    <n v="78000"/>
    <n v="22500"/>
    <n v="18609.48"/>
    <n v="0"/>
    <n v="0"/>
    <n v="119109.48"/>
    <n v="172167.47999999998"/>
    <n v="90000"/>
    <n v="27000"/>
    <n v="25846.5"/>
    <n v="0"/>
    <n v="0"/>
    <n v="142846.5"/>
    <n v="195904.5"/>
  </r>
  <r>
    <n v="4638232353"/>
    <s v="Myrilla"/>
    <s v="Purvey"/>
    <x v="748"/>
    <x v="1"/>
    <n v="66990"/>
    <n v="24"/>
    <x v="748"/>
    <n v="600000"/>
    <n v="750000"/>
    <n v="900000"/>
    <n v="1200000"/>
    <n v="1.3337483333333333"/>
    <s v="125-150%"/>
    <n v="78000"/>
    <n v="25500.000000000004"/>
    <n v="10552.289999999999"/>
    <n v="0"/>
    <n v="0"/>
    <n v="114052.29"/>
    <n v="181042.28999999998"/>
    <n v="90000"/>
    <n v="27000"/>
    <n v="12562.25"/>
    <n v="0"/>
    <n v="0"/>
    <n v="129562.25"/>
    <n v="196552.25"/>
  </r>
  <r>
    <n v="589071254"/>
    <s v="Alleen"/>
    <s v="Pymar"/>
    <x v="749"/>
    <x v="2"/>
    <n v="109778"/>
    <n v="16"/>
    <x v="749"/>
    <n v="750000"/>
    <n v="937500"/>
    <n v="1125000"/>
    <n v="1500000"/>
    <n v="0.82135733333333338"/>
    <s v="0-100%"/>
    <n v="92402.7"/>
    <n v="0"/>
    <n v="0"/>
    <n v="0"/>
    <n v="0"/>
    <n v="92402.7"/>
    <n v="202180.7"/>
    <n v="92402.7"/>
    <n v="0"/>
    <n v="0"/>
    <n v="0"/>
    <n v="0"/>
    <n v="92402.7"/>
    <n v="202180.7"/>
  </r>
  <r>
    <n v="5353923685"/>
    <s v="Carmelia"/>
    <s v="Quainton"/>
    <x v="750"/>
    <x v="2"/>
    <n v="80043"/>
    <n v="22"/>
    <x v="750"/>
    <n v="750000"/>
    <n v="937500"/>
    <n v="1125000"/>
    <n v="1500000"/>
    <n v="1.0348213333333334"/>
    <s v="100-125%"/>
    <n v="112500"/>
    <n v="4439.72"/>
    <n v="0"/>
    <n v="0"/>
    <n v="0"/>
    <n v="116939.72"/>
    <n v="196982.72"/>
    <n v="112500"/>
    <n v="5745.52"/>
    <n v="0"/>
    <n v="0"/>
    <n v="0"/>
    <n v="118245.52"/>
    <n v="198288.52000000002"/>
  </r>
  <r>
    <n v="2524572722"/>
    <s v="Nobie"/>
    <s v="Queripel"/>
    <x v="751"/>
    <x v="1"/>
    <n v="58232"/>
    <n v="29"/>
    <x v="751"/>
    <n v="600000"/>
    <n v="750000"/>
    <n v="900000"/>
    <n v="1200000"/>
    <n v="1.6278433333333333"/>
    <s v="150-200%"/>
    <n v="78000"/>
    <n v="25500.000000000004"/>
    <n v="31500"/>
    <n v="19943.560000000001"/>
    <n v="0"/>
    <n v="154943.56"/>
    <n v="213175.56"/>
    <n v="90000"/>
    <n v="27000"/>
    <n v="37500"/>
    <n v="23011.8"/>
    <n v="0"/>
    <n v="177511.8"/>
    <n v="235743.8"/>
  </r>
  <r>
    <n v="1444572199"/>
    <s v="Maure"/>
    <s v="Quinane"/>
    <x v="752"/>
    <x v="2"/>
    <n v="120364"/>
    <n v="19"/>
    <x v="752"/>
    <n v="750000"/>
    <n v="937500"/>
    <n v="1125000"/>
    <n v="1500000"/>
    <n v="0.86523600000000001"/>
    <s v="0-100%"/>
    <n v="97339.05"/>
    <n v="0"/>
    <n v="0"/>
    <n v="0"/>
    <n v="0"/>
    <n v="97339.05"/>
    <n v="217703.05"/>
    <n v="97339.05"/>
    <n v="0"/>
    <n v="0"/>
    <n v="0"/>
    <n v="0"/>
    <n v="97339.05"/>
    <n v="217703.05"/>
  </r>
  <r>
    <n v="6378969205"/>
    <s v="Sibby"/>
    <s v="Rastrick"/>
    <x v="753"/>
    <x v="2"/>
    <n v="101118"/>
    <n v="22"/>
    <x v="753"/>
    <n v="750000"/>
    <n v="937500"/>
    <n v="1125000"/>
    <n v="1500000"/>
    <n v="0.96222933333333338"/>
    <s v="0-100%"/>
    <n v="108250.8"/>
    <n v="0"/>
    <n v="0"/>
    <n v="0"/>
    <n v="0"/>
    <n v="108250.8"/>
    <n v="209368.8"/>
    <n v="108250.8"/>
    <n v="0"/>
    <n v="0"/>
    <n v="0"/>
    <n v="0"/>
    <n v="108250.8"/>
    <n v="209368.8"/>
  </r>
  <r>
    <n v="9163060264"/>
    <s v="Maryrose"/>
    <s v="Ravenshaw"/>
    <x v="754"/>
    <x v="1"/>
    <n v="76433"/>
    <n v="21"/>
    <x v="754"/>
    <n v="600000"/>
    <n v="750000"/>
    <n v="900000"/>
    <n v="1200000"/>
    <n v="1.28504"/>
    <s v="125-150%"/>
    <n v="78000"/>
    <n v="28500"/>
    <n v="4835.5200000000004"/>
    <n v="0"/>
    <n v="0"/>
    <n v="111335.52"/>
    <n v="187768.52000000002"/>
    <n v="90000"/>
    <n v="27000"/>
    <n v="5256"/>
    <n v="0"/>
    <n v="0"/>
    <n v="122256"/>
    <n v="198689"/>
  </r>
  <r>
    <n v="8692509450"/>
    <s v="Micah"/>
    <s v="Rawdales"/>
    <x v="755"/>
    <x v="0"/>
    <n v="35506"/>
    <n v="17"/>
    <x v="755"/>
    <n v="500000"/>
    <n v="625000"/>
    <n v="750000"/>
    <n v="1000000"/>
    <n v="1.1812119999999999"/>
    <s v="100-125%"/>
    <n v="50000"/>
    <n v="17215.14"/>
    <n v="0"/>
    <n v="0"/>
    <n v="0"/>
    <n v="67215.14"/>
    <n v="102721.14"/>
    <n v="60000"/>
    <n v="15403.02"/>
    <n v="0"/>
    <n v="0"/>
    <n v="0"/>
    <n v="75403.02"/>
    <n v="110909.02"/>
  </r>
  <r>
    <n v="9072843924"/>
    <s v="Drake"/>
    <s v="Rawlison"/>
    <x v="756"/>
    <x v="0"/>
    <n v="40376"/>
    <n v="11"/>
    <x v="756"/>
    <n v="500000"/>
    <n v="625000"/>
    <n v="750000"/>
    <n v="1000000"/>
    <n v="0.563612"/>
    <s v="0-100%"/>
    <n v="28180.600000000002"/>
    <n v="0"/>
    <n v="0"/>
    <n v="0"/>
    <n v="0"/>
    <n v="28180.600000000002"/>
    <n v="68556.600000000006"/>
    <n v="33816.720000000001"/>
    <n v="0"/>
    <n v="0"/>
    <n v="0"/>
    <n v="0"/>
    <n v="33816.720000000001"/>
    <n v="74192.72"/>
  </r>
  <r>
    <n v="6478891895"/>
    <s v="Chaddie"/>
    <s v="Record"/>
    <x v="757"/>
    <x v="2"/>
    <n v="90997"/>
    <n v="18"/>
    <x v="757"/>
    <n v="750000"/>
    <n v="937500"/>
    <n v="1125000"/>
    <n v="1500000"/>
    <n v="0.78047466666666665"/>
    <s v="0-100%"/>
    <n v="87803.4"/>
    <n v="0"/>
    <n v="0"/>
    <n v="0"/>
    <n v="0"/>
    <n v="87803.4"/>
    <n v="178800.4"/>
    <n v="87803.4"/>
    <n v="0"/>
    <n v="0"/>
    <n v="0"/>
    <n v="0"/>
    <n v="87803.4"/>
    <n v="178800.4"/>
  </r>
  <r>
    <n v="85304042"/>
    <s v="Garrot"/>
    <s v="Redrup"/>
    <x v="758"/>
    <x v="1"/>
    <n v="69710"/>
    <n v="18"/>
    <x v="758"/>
    <n v="600000"/>
    <n v="750000"/>
    <n v="900000"/>
    <n v="1200000"/>
    <n v="1.040905"/>
    <s v="100-125%"/>
    <n v="78000"/>
    <n v="4172.3100000000004"/>
    <n v="0"/>
    <n v="0"/>
    <n v="0"/>
    <n v="82172.31"/>
    <n v="151882.31"/>
    <n v="90000"/>
    <n v="4417.74"/>
    <n v="0"/>
    <n v="0"/>
    <n v="0"/>
    <n v="94417.74"/>
    <n v="164127.74"/>
  </r>
  <r>
    <n v="6724903874"/>
    <s v="Jamil"/>
    <s v="Regnard"/>
    <x v="759"/>
    <x v="2"/>
    <n v="118446"/>
    <n v="22"/>
    <x v="759"/>
    <n v="750000"/>
    <n v="937500"/>
    <n v="1125000"/>
    <n v="1500000"/>
    <n v="0.85386666666666666"/>
    <s v="0-100%"/>
    <n v="96060"/>
    <n v="0"/>
    <n v="0"/>
    <n v="0"/>
    <n v="0"/>
    <n v="96060"/>
    <n v="214506"/>
    <n v="96060"/>
    <n v="0"/>
    <n v="0"/>
    <n v="0"/>
    <n v="0"/>
    <n v="96060"/>
    <n v="214506"/>
  </r>
  <r>
    <n v="8658719154"/>
    <s v="Jae"/>
    <s v="Reihm"/>
    <x v="760"/>
    <x v="2"/>
    <n v="114511"/>
    <n v="15"/>
    <x v="760"/>
    <n v="750000"/>
    <n v="937500"/>
    <n v="1125000"/>
    <n v="1500000"/>
    <n v="0.73516000000000004"/>
    <s v="0-100%"/>
    <n v="82705.5"/>
    <n v="0"/>
    <n v="0"/>
    <n v="0"/>
    <n v="0"/>
    <n v="82705.5"/>
    <n v="197216.5"/>
    <n v="82705.5"/>
    <n v="0"/>
    <n v="0"/>
    <n v="0"/>
    <n v="0"/>
    <n v="82705.5"/>
    <n v="197216.5"/>
  </r>
  <r>
    <n v="9782845590"/>
    <s v="Berk"/>
    <s v="Remnant"/>
    <x v="761"/>
    <x v="2"/>
    <n v="97594"/>
    <n v="18"/>
    <x v="761"/>
    <n v="750000"/>
    <n v="937500"/>
    <n v="1125000"/>
    <n v="1500000"/>
    <n v="0.97008399999999995"/>
    <s v="0-100%"/>
    <n v="109134.45"/>
    <n v="0"/>
    <n v="0"/>
    <n v="0"/>
    <n v="0"/>
    <n v="109134.45"/>
    <n v="206728.45"/>
    <n v="109134.45"/>
    <n v="0"/>
    <n v="0"/>
    <n v="0"/>
    <n v="0"/>
    <n v="109134.45"/>
    <n v="206728.45"/>
  </r>
  <r>
    <n v="7118642576"/>
    <s v="Ophelia"/>
    <s v="Renak"/>
    <x v="762"/>
    <x v="0"/>
    <n v="31307"/>
    <n v="19"/>
    <x v="762"/>
    <n v="500000"/>
    <n v="625000"/>
    <n v="750000"/>
    <n v="1000000"/>
    <n v="1.415038"/>
    <s v="125-150%"/>
    <n v="50000"/>
    <n v="23750"/>
    <n v="18979.370000000003"/>
    <n v="0"/>
    <n v="0"/>
    <n v="92729.37"/>
    <n v="124036.37"/>
    <n v="60000"/>
    <n v="21250"/>
    <n v="16503.8"/>
    <n v="0"/>
    <n v="0"/>
    <n v="97753.8"/>
    <n v="129060.8"/>
  </r>
  <r>
    <n v="9258570278"/>
    <s v="Mallissa"/>
    <s v="Renak"/>
    <x v="763"/>
    <x v="2"/>
    <n v="114845"/>
    <n v="26"/>
    <x v="763"/>
    <n v="750000"/>
    <n v="937500"/>
    <n v="1125000"/>
    <n v="1500000"/>
    <n v="1.2636573333333334"/>
    <s v="125-150%"/>
    <n v="112500"/>
    <n v="28125"/>
    <n v="1843.74"/>
    <n v="0"/>
    <n v="0"/>
    <n v="142468.74"/>
    <n v="257313.74"/>
    <n v="112500"/>
    <n v="41250"/>
    <n v="2560.75"/>
    <n v="0"/>
    <n v="0"/>
    <n v="156310.75"/>
    <n v="271155.75"/>
  </r>
  <r>
    <n v="3488994694"/>
    <s v="Wheeler"/>
    <s v="Renoden"/>
    <x v="764"/>
    <x v="2"/>
    <n v="120422"/>
    <n v="22"/>
    <x v="764"/>
    <n v="750000"/>
    <n v="937500"/>
    <n v="1125000"/>
    <n v="1500000"/>
    <n v="1.0921733333333334"/>
    <s v="100-125%"/>
    <n v="112500"/>
    <n v="11752.1"/>
    <n v="0"/>
    <n v="0"/>
    <n v="0"/>
    <n v="124252.1"/>
    <n v="244674.1"/>
    <n v="112500"/>
    <n v="15208.6"/>
    <n v="0"/>
    <n v="0"/>
    <n v="0"/>
    <n v="127708.6"/>
    <n v="248130.6"/>
  </r>
  <r>
    <n v="8349606134"/>
    <s v="Beaufort"/>
    <s v="Rentcome"/>
    <x v="765"/>
    <x v="0"/>
    <n v="36618"/>
    <n v="21"/>
    <x v="765"/>
    <n v="500000"/>
    <n v="625000"/>
    <n v="750000"/>
    <n v="1000000"/>
    <n v="1.4674499999999999"/>
    <s v="125-150%"/>
    <n v="50000"/>
    <n v="18750"/>
    <n v="19570.5"/>
    <n v="0"/>
    <n v="0"/>
    <n v="88320.5"/>
    <n v="124938.5"/>
    <n v="60000"/>
    <n v="21250"/>
    <n v="21745"/>
    <n v="0"/>
    <n v="0"/>
    <n v="102995"/>
    <n v="139613"/>
  </r>
  <r>
    <n v="6209983448"/>
    <s v="Ellery"/>
    <s v="Renzini"/>
    <x v="766"/>
    <x v="1"/>
    <n v="72962"/>
    <n v="23"/>
    <x v="766"/>
    <n v="600000"/>
    <n v="750000"/>
    <n v="900000"/>
    <n v="1200000"/>
    <n v="1.3075283333333334"/>
    <s v="125-150%"/>
    <n v="78000"/>
    <n v="25500.000000000004"/>
    <n v="7248.57"/>
    <n v="0"/>
    <n v="0"/>
    <n v="110748.57"/>
    <n v="183710.57"/>
    <n v="90000"/>
    <n v="27000"/>
    <n v="8629.25"/>
    <n v="0"/>
    <n v="0"/>
    <n v="125629.25"/>
    <n v="198591.25"/>
  </r>
  <r>
    <n v="5341512014"/>
    <s v="Fianna"/>
    <s v="Restorick"/>
    <x v="767"/>
    <x v="0"/>
    <n v="57651"/>
    <n v="14"/>
    <x v="767"/>
    <n v="500000"/>
    <n v="625000"/>
    <n v="750000"/>
    <n v="1000000"/>
    <n v="0.94996999999999998"/>
    <s v="0-100%"/>
    <n v="47498.5"/>
    <n v="0"/>
    <n v="0"/>
    <n v="0"/>
    <n v="0"/>
    <n v="47498.5"/>
    <n v="105149.5"/>
    <n v="56998.2"/>
    <n v="0"/>
    <n v="0"/>
    <n v="0"/>
    <n v="0"/>
    <n v="56998.2"/>
    <n v="114649.2"/>
  </r>
  <r>
    <n v="1892125439"/>
    <s v="Amalle"/>
    <s v="Reymers"/>
    <x v="768"/>
    <x v="2"/>
    <n v="95373"/>
    <n v="31"/>
    <x v="768"/>
    <n v="750000"/>
    <n v="937500"/>
    <n v="1125000"/>
    <n v="1500000"/>
    <n v="1.5244200000000001"/>
    <s v="150-200%"/>
    <n v="112500"/>
    <n v="28125"/>
    <n v="33750"/>
    <n v="4029.3"/>
    <n v="0"/>
    <n v="178404.3"/>
    <n v="273777.3"/>
    <n v="112500"/>
    <n v="41250"/>
    <n v="46875"/>
    <n v="6043.9500000000007"/>
    <n v="0"/>
    <n v="206668.95"/>
    <n v="302041.95"/>
  </r>
  <r>
    <n v="3273288531"/>
    <s v="Marlon"/>
    <s v="Rhodus"/>
    <x v="769"/>
    <x v="1"/>
    <n v="50699"/>
    <n v="19"/>
    <x v="769"/>
    <n v="600000"/>
    <n v="750000"/>
    <n v="900000"/>
    <n v="1200000"/>
    <n v="1.129705"/>
    <s v="100-125%"/>
    <n v="78000"/>
    <n v="11673.449999999999"/>
    <n v="0"/>
    <n v="0"/>
    <n v="0"/>
    <n v="89673.45"/>
    <n v="140372.45000000001"/>
    <n v="90000"/>
    <n v="14008.14"/>
    <n v="0"/>
    <n v="0"/>
    <n v="0"/>
    <n v="104008.14"/>
    <n v="154707.14000000001"/>
  </r>
  <r>
    <n v="999389173"/>
    <s v="Bil"/>
    <s v="Riatt"/>
    <x v="770"/>
    <x v="0"/>
    <n v="37224"/>
    <n v="19"/>
    <x v="770"/>
    <n v="500000"/>
    <n v="625000"/>
    <n v="750000"/>
    <n v="1000000"/>
    <n v="1.304778"/>
    <s v="125-150%"/>
    <n v="50000"/>
    <n v="21250"/>
    <n v="5751.69"/>
    <n v="0"/>
    <n v="0"/>
    <n v="77001.69"/>
    <n v="114225.69"/>
    <n v="60000"/>
    <n v="21250"/>
    <n v="5477.8"/>
    <n v="0"/>
    <n v="0"/>
    <n v="86727.8"/>
    <n v="123951.8"/>
  </r>
  <r>
    <n v="4223282808"/>
    <s v="Kippar"/>
    <s v="Ricardin"/>
    <x v="771"/>
    <x v="0"/>
    <n v="52880"/>
    <n v="20"/>
    <x v="771"/>
    <n v="500000"/>
    <n v="625000"/>
    <n v="750000"/>
    <n v="1000000"/>
    <n v="1.4328320000000001"/>
    <s v="125-150%"/>
    <n v="50000"/>
    <n v="18750"/>
    <n v="16454.88"/>
    <n v="0"/>
    <n v="0"/>
    <n v="85204.88"/>
    <n v="138084.88"/>
    <n v="60000"/>
    <n v="21250"/>
    <n v="18283.2"/>
    <n v="0"/>
    <n v="0"/>
    <n v="99533.2"/>
    <n v="152413.20000000001"/>
  </r>
  <r>
    <n v="3211170715"/>
    <s v="Mercy"/>
    <s v="Richemont"/>
    <x v="772"/>
    <x v="0"/>
    <n v="57666"/>
    <n v="24"/>
    <x v="772"/>
    <n v="500000"/>
    <n v="625000"/>
    <n v="750000"/>
    <n v="1000000"/>
    <n v="1.692852"/>
    <s v="150-200%"/>
    <n v="50000"/>
    <n v="21250"/>
    <n v="26250"/>
    <n v="25070.760000000002"/>
    <n v="0"/>
    <n v="122570.76000000001"/>
    <n v="180236.76"/>
    <n v="60000"/>
    <n v="21250"/>
    <n v="25000"/>
    <n v="21213.72"/>
    <n v="0"/>
    <n v="127463.72"/>
    <n v="185129.72"/>
  </r>
  <r>
    <n v="2421688019"/>
    <s v="May"/>
    <s v="Richings"/>
    <x v="773"/>
    <x v="2"/>
    <n v="92591"/>
    <n v="21"/>
    <x v="773"/>
    <n v="750000"/>
    <n v="937500"/>
    <n v="1125000"/>
    <n v="1500000"/>
    <n v="0.81333733333333336"/>
    <s v="0-100%"/>
    <n v="91500.45"/>
    <n v="0"/>
    <n v="0"/>
    <n v="0"/>
    <n v="0"/>
    <n v="91500.45"/>
    <n v="184091.45"/>
    <n v="91500.45"/>
    <n v="0"/>
    <n v="0"/>
    <n v="0"/>
    <n v="0"/>
    <n v="91500.45"/>
    <n v="184091.45"/>
  </r>
  <r>
    <n v="62571575"/>
    <s v="Evvy"/>
    <s v="Riedel"/>
    <x v="774"/>
    <x v="2"/>
    <n v="121308"/>
    <n v="27"/>
    <x v="774"/>
    <n v="750000"/>
    <n v="937500"/>
    <n v="1125000"/>
    <n v="1500000"/>
    <n v="1.2652466666666666"/>
    <s v="125-150%"/>
    <n v="112500"/>
    <n v="31875.000000000004"/>
    <n v="2401.35"/>
    <n v="0"/>
    <n v="0"/>
    <n v="146776.35"/>
    <n v="268084.34999999998"/>
    <n v="112500"/>
    <n v="41250"/>
    <n v="2858.75"/>
    <n v="0"/>
    <n v="0"/>
    <n v="156608.75"/>
    <n v="277916.75"/>
  </r>
  <r>
    <n v="9457151267"/>
    <s v="Engracia"/>
    <s v="Rigolle"/>
    <x v="775"/>
    <x v="0"/>
    <n v="59083"/>
    <n v="18"/>
    <x v="775"/>
    <n v="500000"/>
    <n v="625000"/>
    <n v="750000"/>
    <n v="1000000"/>
    <n v="1.392692"/>
    <s v="125-150%"/>
    <n v="50000"/>
    <n v="21250"/>
    <n v="14982.66"/>
    <n v="0"/>
    <n v="0"/>
    <n v="86232.66"/>
    <n v="145315.66"/>
    <n v="60000"/>
    <n v="21250"/>
    <n v="14269.2"/>
    <n v="0"/>
    <n v="0"/>
    <n v="95519.2"/>
    <n v="154602.20000000001"/>
  </r>
  <r>
    <n v="6713405010"/>
    <s v="Wallas"/>
    <s v="Riolfi"/>
    <x v="776"/>
    <x v="0"/>
    <n v="49505"/>
    <n v="23"/>
    <x v="776"/>
    <n v="500000"/>
    <n v="625000"/>
    <n v="750000"/>
    <n v="1000000"/>
    <n v="1.7371380000000001"/>
    <s v="150-200%"/>
    <n v="50000"/>
    <n v="21250"/>
    <n v="26250"/>
    <n v="30827.940000000002"/>
    <n v="0"/>
    <n v="128327.94"/>
    <n v="177832.94"/>
    <n v="60000"/>
    <n v="21250"/>
    <n v="25000"/>
    <n v="26085.18"/>
    <n v="0"/>
    <n v="132335.18"/>
    <n v="181840.18"/>
  </r>
  <r>
    <n v="25254650"/>
    <s v="Dyane"/>
    <s v="Rival"/>
    <x v="777"/>
    <x v="2"/>
    <n v="90630"/>
    <n v="18"/>
    <x v="777"/>
    <n v="750000"/>
    <n v="937500"/>
    <n v="1125000"/>
    <n v="1500000"/>
    <n v="0.81996000000000002"/>
    <s v="0-100%"/>
    <n v="92245.5"/>
    <n v="0"/>
    <n v="0"/>
    <n v="0"/>
    <n v="0"/>
    <n v="92245.5"/>
    <n v="182875.5"/>
    <n v="92245.5"/>
    <n v="0"/>
    <n v="0"/>
    <n v="0"/>
    <n v="0"/>
    <n v="92245.5"/>
    <n v="182875.5"/>
  </r>
  <r>
    <n v="8302317314"/>
    <s v="Orion"/>
    <s v="Robak"/>
    <x v="778"/>
    <x v="2"/>
    <n v="75594"/>
    <n v="22"/>
    <x v="778"/>
    <n v="750000"/>
    <n v="937500"/>
    <n v="1125000"/>
    <n v="1500000"/>
    <n v="0.8817733333333333"/>
    <s v="0-100%"/>
    <n v="99199.5"/>
    <n v="0"/>
    <n v="0"/>
    <n v="0"/>
    <n v="0"/>
    <n v="99199.5"/>
    <n v="174793.5"/>
    <n v="99199.5"/>
    <n v="0"/>
    <n v="0"/>
    <n v="0"/>
    <n v="0"/>
    <n v="99199.5"/>
    <n v="174793.5"/>
  </r>
  <r>
    <n v="8467388188"/>
    <s v="Juditha"/>
    <s v="Robe"/>
    <x v="779"/>
    <x v="1"/>
    <n v="60837"/>
    <n v="14"/>
    <x v="779"/>
    <n v="600000"/>
    <n v="750000"/>
    <n v="900000"/>
    <n v="1200000"/>
    <n v="0.94014666666666669"/>
    <s v="0-100%"/>
    <n v="73331.44"/>
    <n v="0"/>
    <n v="0"/>
    <n v="0"/>
    <n v="0"/>
    <n v="73331.44"/>
    <n v="134168.44"/>
    <n v="84613.2"/>
    <n v="0"/>
    <n v="0"/>
    <n v="0"/>
    <n v="0"/>
    <n v="84613.2"/>
    <n v="145450.20000000001"/>
  </r>
  <r>
    <n v="939715988"/>
    <s v="Gaelan"/>
    <s v="Robrow"/>
    <x v="780"/>
    <x v="2"/>
    <n v="97130"/>
    <n v="20"/>
    <x v="780"/>
    <n v="750000"/>
    <n v="937500"/>
    <n v="1125000"/>
    <n v="1500000"/>
    <n v="0.85122533333333328"/>
    <s v="0-100%"/>
    <n v="95762.849999999991"/>
    <n v="0"/>
    <n v="0"/>
    <n v="0"/>
    <n v="0"/>
    <n v="95762.849999999991"/>
    <n v="192892.84999999998"/>
    <n v="95762.849999999991"/>
    <n v="0"/>
    <n v="0"/>
    <n v="0"/>
    <n v="0"/>
    <n v="95762.849999999991"/>
    <n v="192892.84999999998"/>
  </r>
  <r>
    <n v="76572129"/>
    <s v="Doralia"/>
    <s v="Robshaw"/>
    <x v="781"/>
    <x v="2"/>
    <n v="85993"/>
    <n v="25"/>
    <x v="781"/>
    <n v="750000"/>
    <n v="937500"/>
    <n v="1125000"/>
    <n v="1500000"/>
    <n v="1.1315466666666667"/>
    <s v="100-125%"/>
    <n v="112500"/>
    <n v="18745.400000000001"/>
    <n v="0"/>
    <n v="0"/>
    <n v="0"/>
    <n v="131245.4"/>
    <n v="217238.39999999999"/>
    <n v="112500"/>
    <n v="21705.200000000001"/>
    <n v="0"/>
    <n v="0"/>
    <n v="0"/>
    <n v="134205.20000000001"/>
    <n v="220198.2"/>
  </r>
  <r>
    <n v="4808886316"/>
    <s v="Tiebout"/>
    <s v="Roby"/>
    <x v="782"/>
    <x v="2"/>
    <n v="89443"/>
    <n v="23"/>
    <x v="782"/>
    <n v="750000"/>
    <n v="937500"/>
    <n v="1125000"/>
    <n v="1500000"/>
    <n v="1.143632"/>
    <s v="100-125%"/>
    <n v="112500"/>
    <n v="18313.080000000002"/>
    <n v="0"/>
    <n v="0"/>
    <n v="0"/>
    <n v="130813.08"/>
    <n v="220256.08000000002"/>
    <n v="112500"/>
    <n v="23699.279999999999"/>
    <n v="0"/>
    <n v="0"/>
    <n v="0"/>
    <n v="136199.28"/>
    <n v="225642.28"/>
  </r>
  <r>
    <n v="1351073265"/>
    <s v="Emelyne"/>
    <s v="Rochford"/>
    <x v="783"/>
    <x v="2"/>
    <n v="80670"/>
    <n v="22"/>
    <x v="783"/>
    <n v="750000"/>
    <n v="937500"/>
    <n v="1125000"/>
    <n v="1500000"/>
    <n v="0.99304133333333333"/>
    <s v="0-100%"/>
    <n v="111717.15"/>
    <n v="0"/>
    <n v="0"/>
    <n v="0"/>
    <n v="0"/>
    <n v="111717.15"/>
    <n v="192387.15"/>
    <n v="111717.15"/>
    <n v="0"/>
    <n v="0"/>
    <n v="0"/>
    <n v="0"/>
    <n v="111717.15"/>
    <n v="192387.15"/>
  </r>
  <r>
    <n v="6471464479"/>
    <s v="Ernesta"/>
    <s v="Rodd"/>
    <x v="784"/>
    <x v="1"/>
    <n v="77224"/>
    <n v="26"/>
    <x v="784"/>
    <n v="600000"/>
    <n v="750000"/>
    <n v="900000"/>
    <n v="1200000"/>
    <n v="1.5606066666666667"/>
    <s v="150-200%"/>
    <n v="78000"/>
    <n v="22500"/>
    <n v="27000"/>
    <n v="8000.08"/>
    <n v="0"/>
    <n v="135500.07999999999"/>
    <n v="212724.08"/>
    <n v="90000"/>
    <n v="27000"/>
    <n v="37500"/>
    <n v="10909.199999999999"/>
    <n v="0"/>
    <n v="165409.20000000001"/>
    <n v="242633.2"/>
  </r>
  <r>
    <n v="8887868026"/>
    <s v="Ahmed"/>
    <s v="Roizn"/>
    <x v="785"/>
    <x v="2"/>
    <n v="92800"/>
    <n v="19"/>
    <x v="785"/>
    <n v="750000"/>
    <n v="937500"/>
    <n v="1125000"/>
    <n v="1500000"/>
    <n v="0.92660133333333339"/>
    <s v="0-100%"/>
    <n v="104242.65"/>
    <n v="0"/>
    <n v="0"/>
    <n v="0"/>
    <n v="0"/>
    <n v="104242.65"/>
    <n v="197042.65"/>
    <n v="104242.65"/>
    <n v="0"/>
    <n v="0"/>
    <n v="0"/>
    <n v="0"/>
    <n v="104242.65"/>
    <n v="197042.65"/>
  </r>
  <r>
    <n v="7469392467"/>
    <s v="Arel"/>
    <s v="Rolland"/>
    <x v="786"/>
    <x v="0"/>
    <n v="51545"/>
    <n v="20"/>
    <x v="786"/>
    <n v="500000"/>
    <n v="625000"/>
    <n v="750000"/>
    <n v="1000000"/>
    <n v="1.383224"/>
    <s v="125-150%"/>
    <n v="50000"/>
    <n v="21250"/>
    <n v="13988.519999999999"/>
    <n v="0"/>
    <n v="0"/>
    <n v="85238.52"/>
    <n v="136783.52000000002"/>
    <n v="60000"/>
    <n v="21250"/>
    <n v="13322.400000000001"/>
    <n v="0"/>
    <n v="0"/>
    <n v="94572.4"/>
    <n v="146117.4"/>
  </r>
  <r>
    <n v="5603330430"/>
    <s v="Cassius"/>
    <s v="Roseaman"/>
    <x v="787"/>
    <x v="1"/>
    <n v="57267"/>
    <n v="23"/>
    <x v="787"/>
    <n v="600000"/>
    <n v="750000"/>
    <n v="900000"/>
    <n v="1200000"/>
    <n v="1.2972033333333333"/>
    <s v="125-150%"/>
    <n v="78000"/>
    <n v="22500"/>
    <n v="5097.96"/>
    <n v="0"/>
    <n v="0"/>
    <n v="105597.96"/>
    <n v="162864.96000000002"/>
    <n v="90000"/>
    <n v="27000"/>
    <n v="7080.5"/>
    <n v="0"/>
    <n v="0"/>
    <n v="124080.5"/>
    <n v="181347.5"/>
  </r>
  <r>
    <n v="7007279686"/>
    <s v="Wait"/>
    <s v="Rosenbaum"/>
    <x v="788"/>
    <x v="0"/>
    <n v="48212"/>
    <n v="19"/>
    <x v="788"/>
    <n v="500000"/>
    <n v="625000"/>
    <n v="750000"/>
    <n v="1000000"/>
    <n v="1.3932599999999999"/>
    <s v="125-150%"/>
    <n v="50000"/>
    <n v="21250"/>
    <n v="15042.3"/>
    <n v="0"/>
    <n v="0"/>
    <n v="86292.3"/>
    <n v="134504.29999999999"/>
    <n v="60000"/>
    <n v="21250"/>
    <n v="14326"/>
    <n v="0"/>
    <n v="0"/>
    <n v="95576"/>
    <n v="143788"/>
  </r>
  <r>
    <n v="7178607831"/>
    <s v="Salomi"/>
    <s v="Rosenhaus"/>
    <x v="789"/>
    <x v="2"/>
    <n v="93727"/>
    <n v="22"/>
    <x v="789"/>
    <n v="750000"/>
    <n v="937500"/>
    <n v="1125000"/>
    <n v="1500000"/>
    <n v="1.03688"/>
    <s v="100-125%"/>
    <n v="112500"/>
    <n v="5255.4"/>
    <n v="0"/>
    <n v="0"/>
    <n v="0"/>
    <n v="117755.4"/>
    <n v="211482.4"/>
    <n v="112500"/>
    <n v="6085.2"/>
    <n v="0"/>
    <n v="0"/>
    <n v="0"/>
    <n v="118585.2"/>
    <n v="212312.2"/>
  </r>
  <r>
    <n v="4278470843"/>
    <s v="Trey"/>
    <s v="Rosenthal"/>
    <x v="790"/>
    <x v="0"/>
    <n v="61463"/>
    <n v="14"/>
    <x v="790"/>
    <n v="500000"/>
    <n v="625000"/>
    <n v="750000"/>
    <n v="1000000"/>
    <n v="0.82768600000000003"/>
    <s v="0-100%"/>
    <n v="41384.300000000003"/>
    <n v="0"/>
    <n v="0"/>
    <n v="0"/>
    <n v="0"/>
    <n v="41384.300000000003"/>
    <n v="102847.3"/>
    <n v="49661.159999999996"/>
    <n v="0"/>
    <n v="0"/>
    <n v="0"/>
    <n v="0"/>
    <n v="49661.159999999996"/>
    <n v="111124.16"/>
  </r>
  <r>
    <n v="8908432159"/>
    <s v="Consolata"/>
    <s v="Rosier"/>
    <x v="791"/>
    <x v="0"/>
    <n v="57930"/>
    <n v="17"/>
    <x v="791"/>
    <n v="500000"/>
    <n v="625000"/>
    <n v="750000"/>
    <n v="1000000"/>
    <n v="1.4436739999999999"/>
    <s v="125-150%"/>
    <n v="50000"/>
    <n v="18750"/>
    <n v="17430.66"/>
    <n v="0"/>
    <n v="0"/>
    <n v="86180.66"/>
    <n v="144110.66"/>
    <n v="60000"/>
    <n v="21250"/>
    <n v="19367.400000000001"/>
    <n v="0"/>
    <n v="0"/>
    <n v="100617.4"/>
    <n v="158547.4"/>
  </r>
  <r>
    <n v="2561690342"/>
    <s v="Krisha"/>
    <s v="Rotherham"/>
    <x v="792"/>
    <x v="2"/>
    <n v="121022"/>
    <n v="25"/>
    <x v="792"/>
    <n v="750000"/>
    <n v="937500"/>
    <n v="1125000"/>
    <n v="1500000"/>
    <n v="1.1444653333333332"/>
    <s v="100-125%"/>
    <n v="112500"/>
    <n v="16252.349999999999"/>
    <n v="0"/>
    <n v="0"/>
    <n v="0"/>
    <n v="128752.35"/>
    <n v="249774.35"/>
    <n v="112500"/>
    <n v="23836.78"/>
    <n v="0"/>
    <n v="0"/>
    <n v="0"/>
    <n v="136336.78"/>
    <n v="257358.78"/>
  </r>
  <r>
    <n v="2259282237"/>
    <s v="Rodrigo"/>
    <s v="Rourke"/>
    <x v="793"/>
    <x v="0"/>
    <n v="54632"/>
    <n v="28"/>
    <x v="793"/>
    <n v="500000"/>
    <n v="625000"/>
    <n v="750000"/>
    <n v="1000000"/>
    <n v="1.882962"/>
    <s v="150-200%"/>
    <n v="50000"/>
    <n v="23750"/>
    <n v="28750"/>
    <n v="57444.299999999996"/>
    <n v="0"/>
    <n v="159944.29999999999"/>
    <n v="214576.3"/>
    <n v="60000"/>
    <n v="21250"/>
    <n v="25000"/>
    <n v="42125.82"/>
    <n v="0"/>
    <n v="148375.82"/>
    <n v="203007.82"/>
  </r>
  <r>
    <n v="8322342209"/>
    <s v="Giordano"/>
    <s v="Rubie"/>
    <x v="794"/>
    <x v="0"/>
    <n v="42322"/>
    <n v="21"/>
    <x v="794"/>
    <n v="500000"/>
    <n v="625000"/>
    <n v="750000"/>
    <n v="1000000"/>
    <n v="1.6152740000000001"/>
    <s v="150-200%"/>
    <n v="50000"/>
    <n v="18750"/>
    <n v="22500"/>
    <n v="12680.14"/>
    <n v="0"/>
    <n v="103930.14"/>
    <n v="146252.14000000001"/>
    <n v="60000"/>
    <n v="21250"/>
    <n v="25000"/>
    <n v="12680.14"/>
    <n v="0"/>
    <n v="118930.14"/>
    <n v="161252.14000000001"/>
  </r>
  <r>
    <n v="6462250968"/>
    <s v="Jayson"/>
    <s v="Rugg"/>
    <x v="795"/>
    <x v="1"/>
    <n v="73996"/>
    <n v="17"/>
    <x v="795"/>
    <n v="600000"/>
    <n v="750000"/>
    <n v="900000"/>
    <n v="1200000"/>
    <n v="0.95518499999999995"/>
    <s v="0-100%"/>
    <n v="74504.430000000008"/>
    <n v="0"/>
    <n v="0"/>
    <n v="0"/>
    <n v="0"/>
    <n v="74504.430000000008"/>
    <n v="148500.43"/>
    <n v="85966.65"/>
    <n v="0"/>
    <n v="0"/>
    <n v="0"/>
    <n v="0"/>
    <n v="85966.65"/>
    <n v="159962.65"/>
  </r>
  <r>
    <n v="140020098"/>
    <s v="Artair"/>
    <s v="Runcie"/>
    <x v="796"/>
    <x v="2"/>
    <n v="114711"/>
    <n v="22"/>
    <x v="796"/>
    <n v="750000"/>
    <n v="937500"/>
    <n v="1125000"/>
    <n v="1500000"/>
    <n v="1.1043986666666668"/>
    <s v="100-125%"/>
    <n v="112500"/>
    <n v="13310.830000000002"/>
    <n v="0"/>
    <n v="0"/>
    <n v="0"/>
    <n v="125810.83"/>
    <n v="240521.83000000002"/>
    <n v="112500"/>
    <n v="17225.78"/>
    <n v="0"/>
    <n v="0"/>
    <n v="0"/>
    <n v="129725.78"/>
    <n v="244436.78"/>
  </r>
  <r>
    <n v="1231429186"/>
    <s v="Nikolos"/>
    <s v="Ruppeli"/>
    <x v="797"/>
    <x v="0"/>
    <n v="38588"/>
    <n v="25"/>
    <x v="797"/>
    <n v="500000"/>
    <n v="625000"/>
    <n v="750000"/>
    <n v="1000000"/>
    <n v="1.6100939999999999"/>
    <s v="150-200%"/>
    <n v="50000"/>
    <n v="23750"/>
    <n v="28750"/>
    <n v="16514.099999999999"/>
    <n v="0"/>
    <n v="119014.1"/>
    <n v="157602.1"/>
    <n v="60000"/>
    <n v="21250"/>
    <n v="25000"/>
    <n v="12110.34"/>
    <n v="0"/>
    <n v="118360.34"/>
    <n v="156948.34"/>
  </r>
  <r>
    <n v="1829869566"/>
    <s v="Mathew"/>
    <s v="Russ"/>
    <x v="798"/>
    <x v="1"/>
    <n v="55569"/>
    <n v="12"/>
    <x v="798"/>
    <n v="600000"/>
    <n v="750000"/>
    <n v="900000"/>
    <n v="1200000"/>
    <n v="0.56107666666666667"/>
    <s v="0-100%"/>
    <n v="43763.98"/>
    <n v="0"/>
    <n v="0"/>
    <n v="0"/>
    <n v="0"/>
    <n v="43763.98"/>
    <n v="99332.98000000001"/>
    <n v="50496.9"/>
    <n v="0"/>
    <n v="0"/>
    <n v="0"/>
    <n v="0"/>
    <n v="50496.9"/>
    <n v="106065.9"/>
  </r>
  <r>
    <n v="4730395069"/>
    <s v="Jermain"/>
    <s v="Ruthven"/>
    <x v="799"/>
    <x v="0"/>
    <n v="44355"/>
    <n v="18"/>
    <x v="799"/>
    <n v="500000"/>
    <n v="625000"/>
    <n v="750000"/>
    <n v="1000000"/>
    <n v="1.289536"/>
    <s v="125-150%"/>
    <n v="50000"/>
    <n v="18750"/>
    <n v="3558.24"/>
    <n v="0"/>
    <n v="0"/>
    <n v="72308.240000000005"/>
    <n v="116663.24"/>
    <n v="60000"/>
    <n v="21250"/>
    <n v="3953.6000000000004"/>
    <n v="0"/>
    <n v="0"/>
    <n v="85203.6"/>
    <n v="129558.6"/>
  </r>
  <r>
    <n v="2083520173"/>
    <s v="Andres"/>
    <s v="Sackett"/>
    <x v="800"/>
    <x v="0"/>
    <n v="63812"/>
    <n v="20"/>
    <x v="800"/>
    <n v="500000"/>
    <n v="625000"/>
    <n v="750000"/>
    <n v="1000000"/>
    <n v="1.46119"/>
    <s v="125-150%"/>
    <n v="50000"/>
    <n v="23750"/>
    <n v="24286.850000000002"/>
    <n v="0"/>
    <n v="0"/>
    <n v="98036.85"/>
    <n v="161848.85"/>
    <n v="60000"/>
    <n v="21250"/>
    <n v="21119"/>
    <n v="0"/>
    <n v="0"/>
    <n v="102369"/>
    <n v="166181"/>
  </r>
  <r>
    <n v="3746690722"/>
    <s v="Denni"/>
    <s v="Sadd"/>
    <x v="801"/>
    <x v="2"/>
    <n v="118063"/>
    <n v="20"/>
    <x v="801"/>
    <n v="750000"/>
    <n v="937500"/>
    <n v="1125000"/>
    <n v="1500000"/>
    <n v="0.99349466666666664"/>
    <s v="0-100%"/>
    <n v="111768.15"/>
    <n v="0"/>
    <n v="0"/>
    <n v="0"/>
    <n v="0"/>
    <n v="111768.15"/>
    <n v="229831.15"/>
    <n v="111768.15"/>
    <n v="0"/>
    <n v="0"/>
    <n v="0"/>
    <n v="0"/>
    <n v="111768.15"/>
    <n v="229831.15"/>
  </r>
  <r>
    <n v="1592980554"/>
    <s v="Josiah"/>
    <s v="Saer"/>
    <x v="802"/>
    <x v="2"/>
    <n v="118429"/>
    <n v="23"/>
    <x v="802"/>
    <n v="750000"/>
    <n v="937500"/>
    <n v="1125000"/>
    <n v="1500000"/>
    <n v="1.2214386666666666"/>
    <s v="100-125%"/>
    <n v="112500"/>
    <n v="24911.85"/>
    <n v="0"/>
    <n v="0"/>
    <n v="0"/>
    <n v="137411.85"/>
    <n v="255840.85"/>
    <n v="112500"/>
    <n v="36537.379999999997"/>
    <n v="0"/>
    <n v="0"/>
    <n v="0"/>
    <n v="149037.38"/>
    <n v="267466.38"/>
  </r>
  <r>
    <n v="4978659442"/>
    <s v="Jo"/>
    <s v="Saffen"/>
    <x v="803"/>
    <x v="2"/>
    <n v="98894"/>
    <n v="18"/>
    <x v="803"/>
    <n v="750000"/>
    <n v="937500"/>
    <n v="1125000"/>
    <n v="1500000"/>
    <n v="0.93985466666666662"/>
    <s v="0-100%"/>
    <n v="105733.65"/>
    <n v="0"/>
    <n v="0"/>
    <n v="0"/>
    <n v="0"/>
    <n v="105733.65"/>
    <n v="204627.65"/>
    <n v="105733.65"/>
    <n v="0"/>
    <n v="0"/>
    <n v="0"/>
    <n v="0"/>
    <n v="105733.65"/>
    <n v="204627.65"/>
  </r>
  <r>
    <n v="9516781780"/>
    <s v="Meredith"/>
    <s v="Samudio"/>
    <x v="804"/>
    <x v="1"/>
    <n v="55345"/>
    <n v="22"/>
    <x v="804"/>
    <n v="600000"/>
    <n v="750000"/>
    <n v="900000"/>
    <n v="1200000"/>
    <n v="1.4664183333333334"/>
    <s v="125-150%"/>
    <n v="78000"/>
    <n v="28500"/>
    <n v="29865.73"/>
    <n v="0"/>
    <n v="0"/>
    <n v="136365.73000000001"/>
    <n v="191710.73"/>
    <n v="90000"/>
    <n v="27000"/>
    <n v="32462.75"/>
    <n v="0"/>
    <n v="0"/>
    <n v="149462.75"/>
    <n v="204807.75"/>
  </r>
  <r>
    <n v="6410530811"/>
    <s v="Elsey"/>
    <s v="Sanchez"/>
    <x v="805"/>
    <x v="0"/>
    <n v="37671"/>
    <n v="22"/>
    <x v="805"/>
    <n v="500000"/>
    <n v="625000"/>
    <n v="750000"/>
    <n v="1000000"/>
    <n v="1.621766"/>
    <s v="150-200%"/>
    <n v="50000"/>
    <n v="18750"/>
    <n v="22500"/>
    <n v="13394.26"/>
    <n v="0"/>
    <n v="104644.26"/>
    <n v="142315.26"/>
    <n v="60000"/>
    <n v="21250"/>
    <n v="25000"/>
    <n v="13394.26"/>
    <n v="0"/>
    <n v="119644.26"/>
    <n v="157315.26"/>
  </r>
  <r>
    <n v="1962975932"/>
    <s v="Avivah"/>
    <s v="Sante"/>
    <x v="806"/>
    <x v="2"/>
    <n v="111530"/>
    <n v="10"/>
    <x v="806"/>
    <n v="750000"/>
    <n v="937500"/>
    <n v="1125000"/>
    <n v="1500000"/>
    <n v="0.40423333333333333"/>
    <s v="0-100%"/>
    <n v="45476.25"/>
    <n v="0"/>
    <n v="0"/>
    <n v="0"/>
    <n v="0"/>
    <n v="45476.25"/>
    <n v="157006.25"/>
    <n v="45476.25"/>
    <n v="0"/>
    <n v="0"/>
    <n v="0"/>
    <n v="0"/>
    <n v="45476.25"/>
    <n v="157006.25"/>
  </r>
  <r>
    <n v="4877108939"/>
    <s v="Nikolos"/>
    <s v="Santino"/>
    <x v="807"/>
    <x v="2"/>
    <n v="99554"/>
    <n v="27"/>
    <x v="807"/>
    <n v="750000"/>
    <n v="937500"/>
    <n v="1125000"/>
    <n v="1500000"/>
    <n v="1.1997546666666667"/>
    <s v="100-125%"/>
    <n v="112500"/>
    <n v="25468.720000000001"/>
    <n v="0"/>
    <n v="0"/>
    <n v="0"/>
    <n v="137968.72"/>
    <n v="237522.72"/>
    <n v="112500"/>
    <n v="32959.519999999997"/>
    <n v="0"/>
    <n v="0"/>
    <n v="0"/>
    <n v="145459.51999999999"/>
    <n v="245013.52"/>
  </r>
  <r>
    <n v="4691333258"/>
    <s v="Richmound"/>
    <s v="Satyford"/>
    <x v="808"/>
    <x v="0"/>
    <n v="39926"/>
    <n v="24"/>
    <x v="808"/>
    <n v="500000"/>
    <n v="625000"/>
    <n v="750000"/>
    <n v="1000000"/>
    <n v="1.49196"/>
    <s v="125-150%"/>
    <n v="50000"/>
    <n v="18750"/>
    <n v="21776.399999999998"/>
    <n v="0"/>
    <n v="0"/>
    <n v="90526.399999999994"/>
    <n v="130452.4"/>
    <n v="60000"/>
    <n v="21250"/>
    <n v="24196"/>
    <n v="0"/>
    <n v="0"/>
    <n v="105446"/>
    <n v="145372"/>
  </r>
  <r>
    <n v="2792636599"/>
    <s v="Patin"/>
    <s v="Scardifield"/>
    <x v="809"/>
    <x v="2"/>
    <n v="120373"/>
    <n v="21"/>
    <x v="809"/>
    <n v="750000"/>
    <n v="937500"/>
    <n v="1125000"/>
    <n v="1500000"/>
    <n v="0.97798799999999997"/>
    <s v="0-100%"/>
    <n v="110023.65"/>
    <n v="0"/>
    <n v="0"/>
    <n v="0"/>
    <n v="0"/>
    <n v="110023.65"/>
    <n v="230396.65"/>
    <n v="110023.65"/>
    <n v="0"/>
    <n v="0"/>
    <n v="0"/>
    <n v="0"/>
    <n v="110023.65"/>
    <n v="230396.65"/>
  </r>
  <r>
    <n v="8519669638"/>
    <s v="Loralyn"/>
    <s v="Scarffe"/>
    <x v="810"/>
    <x v="1"/>
    <n v="65035"/>
    <n v="30"/>
    <x v="810"/>
    <n v="600000"/>
    <n v="750000"/>
    <n v="900000"/>
    <n v="1200000"/>
    <n v="1.4873766666666666"/>
    <s v="125-150%"/>
    <n v="78000"/>
    <n v="22500"/>
    <n v="25636.68"/>
    <n v="0"/>
    <n v="0"/>
    <n v="126136.68"/>
    <n v="191171.68"/>
    <n v="90000"/>
    <n v="27000"/>
    <n v="35606.5"/>
    <n v="0"/>
    <n v="0"/>
    <n v="152606.5"/>
    <n v="217641.5"/>
  </r>
  <r>
    <n v="8673837456"/>
    <s v="Emilio"/>
    <s v="Schimke"/>
    <x v="811"/>
    <x v="1"/>
    <n v="72725"/>
    <n v="18"/>
    <x v="811"/>
    <n v="600000"/>
    <n v="750000"/>
    <n v="900000"/>
    <n v="1200000"/>
    <n v="0.96679833333333332"/>
    <s v="0-100%"/>
    <n v="75410.27"/>
    <n v="0"/>
    <n v="0"/>
    <n v="0"/>
    <n v="0"/>
    <n v="75410.27"/>
    <n v="148135.27000000002"/>
    <n v="87011.849999999991"/>
    <n v="0"/>
    <n v="0"/>
    <n v="0"/>
    <n v="0"/>
    <n v="87011.849999999991"/>
    <n v="159736.84999999998"/>
  </r>
  <r>
    <n v="1469328364"/>
    <s v="Shelley"/>
    <s v="Schuh"/>
    <x v="812"/>
    <x v="2"/>
    <n v="82805"/>
    <n v="23"/>
    <x v="812"/>
    <n v="750000"/>
    <n v="937500"/>
    <n v="1125000"/>
    <n v="1500000"/>
    <n v="1.2325373333333334"/>
    <s v="100-125%"/>
    <n v="112500"/>
    <n v="26160.45"/>
    <n v="0"/>
    <n v="0"/>
    <n v="0"/>
    <n v="138660.45000000001"/>
    <n v="221465.45"/>
    <n v="112500"/>
    <n v="38368.660000000003"/>
    <n v="0"/>
    <n v="0"/>
    <n v="0"/>
    <n v="150868.66"/>
    <n v="233673.66"/>
  </r>
  <r>
    <n v="3497169404"/>
    <s v="Myles"/>
    <s v="Scoggans"/>
    <x v="813"/>
    <x v="2"/>
    <n v="89522"/>
    <n v="19"/>
    <x v="813"/>
    <n v="750000"/>
    <n v="937500"/>
    <n v="1125000"/>
    <n v="1500000"/>
    <n v="0.93444000000000005"/>
    <s v="0-100%"/>
    <n v="105124.5"/>
    <n v="0"/>
    <n v="0"/>
    <n v="0"/>
    <n v="0"/>
    <n v="105124.5"/>
    <n v="194646.5"/>
    <n v="105124.5"/>
    <n v="0"/>
    <n v="0"/>
    <n v="0"/>
    <n v="0"/>
    <n v="105124.5"/>
    <n v="194646.5"/>
  </r>
  <r>
    <n v="8204786093"/>
    <s v="Kev"/>
    <s v="Scogin"/>
    <x v="814"/>
    <x v="2"/>
    <n v="96492"/>
    <n v="21"/>
    <x v="814"/>
    <n v="750000"/>
    <n v="937500"/>
    <n v="1125000"/>
    <n v="1500000"/>
    <n v="0.90062666666666669"/>
    <s v="0-100%"/>
    <n v="101320.5"/>
    <n v="0"/>
    <n v="0"/>
    <n v="0"/>
    <n v="0"/>
    <n v="101320.5"/>
    <n v="197812.5"/>
    <n v="101320.5"/>
    <n v="0"/>
    <n v="0"/>
    <n v="0"/>
    <n v="0"/>
    <n v="101320.5"/>
    <n v="197812.5"/>
  </r>
  <r>
    <n v="4342145855"/>
    <s v="Ediva"/>
    <s v="Screase"/>
    <x v="815"/>
    <x v="1"/>
    <n v="51029"/>
    <n v="25"/>
    <x v="815"/>
    <n v="600000"/>
    <n v="750000"/>
    <n v="900000"/>
    <n v="1200000"/>
    <n v="1.4120733333333333"/>
    <s v="125-150%"/>
    <n v="78000"/>
    <n v="25500.000000000004"/>
    <n v="20421.239999999998"/>
    <n v="0"/>
    <n v="0"/>
    <n v="123921.23999999999"/>
    <n v="174950.24"/>
    <n v="90000"/>
    <n v="27000"/>
    <n v="24311"/>
    <n v="0"/>
    <n v="0"/>
    <n v="141311"/>
    <n v="192340"/>
  </r>
  <r>
    <n v="397599129"/>
    <s v="Netti"/>
    <s v="Scullion"/>
    <x v="816"/>
    <x v="0"/>
    <n v="32665"/>
    <n v="20"/>
    <x v="816"/>
    <n v="500000"/>
    <n v="625000"/>
    <n v="750000"/>
    <n v="1000000"/>
    <n v="1.3690560000000001"/>
    <s v="125-150%"/>
    <n v="50000"/>
    <n v="21250"/>
    <n v="12500.88"/>
    <n v="0"/>
    <n v="0"/>
    <n v="83750.880000000005"/>
    <n v="116415.88"/>
    <n v="60000"/>
    <n v="21250"/>
    <n v="11905.6"/>
    <n v="0"/>
    <n v="0"/>
    <n v="93155.6"/>
    <n v="125820.6"/>
  </r>
  <r>
    <n v="6009848660"/>
    <s v="Madella"/>
    <s v="Seabert"/>
    <x v="817"/>
    <x v="2"/>
    <n v="97912"/>
    <n v="25"/>
    <x v="817"/>
    <n v="750000"/>
    <n v="937500"/>
    <n v="1125000"/>
    <n v="1500000"/>
    <n v="1.2823946666666666"/>
    <s v="125-150%"/>
    <n v="112500"/>
    <n v="31875.000000000004"/>
    <n v="5102.16"/>
    <n v="0"/>
    <n v="0"/>
    <n v="149477.16"/>
    <n v="247389.16"/>
    <n v="112500"/>
    <n v="41250"/>
    <n v="6074"/>
    <n v="0"/>
    <n v="0"/>
    <n v="159824"/>
    <n v="257736"/>
  </r>
  <r>
    <n v="5837066497"/>
    <s v="Isiahi"/>
    <s v="Sealand"/>
    <x v="818"/>
    <x v="2"/>
    <n v="101019"/>
    <n v="13"/>
    <x v="818"/>
    <n v="750000"/>
    <n v="937500"/>
    <n v="1125000"/>
    <n v="1500000"/>
    <n v="0.60776266666666667"/>
    <s v="0-100%"/>
    <n v="68373.3"/>
    <n v="0"/>
    <n v="0"/>
    <n v="0"/>
    <n v="0"/>
    <n v="68373.3"/>
    <n v="169392.3"/>
    <n v="68373.3"/>
    <n v="0"/>
    <n v="0"/>
    <n v="0"/>
    <n v="0"/>
    <n v="68373.3"/>
    <n v="169392.3"/>
  </r>
  <r>
    <n v="896700143"/>
    <s v="Standford"/>
    <s v="Searight"/>
    <x v="819"/>
    <x v="1"/>
    <n v="77407"/>
    <n v="10"/>
    <x v="819"/>
    <n v="600000"/>
    <n v="750000"/>
    <n v="900000"/>
    <n v="1200000"/>
    <n v="0.54876333333333338"/>
    <s v="0-100%"/>
    <n v="42803.54"/>
    <n v="0"/>
    <n v="0"/>
    <n v="0"/>
    <n v="0"/>
    <n v="42803.54"/>
    <n v="120210.54000000001"/>
    <n v="49388.7"/>
    <n v="0"/>
    <n v="0"/>
    <n v="0"/>
    <n v="0"/>
    <n v="49388.7"/>
    <n v="126795.7"/>
  </r>
  <r>
    <n v="4049350750"/>
    <s v="Bjorn"/>
    <s v="Seedman"/>
    <x v="820"/>
    <x v="2"/>
    <n v="87223"/>
    <n v="14"/>
    <x v="820"/>
    <n v="750000"/>
    <n v="937500"/>
    <n v="1125000"/>
    <n v="1500000"/>
    <n v="0.64848133333333335"/>
    <s v="0-100%"/>
    <n v="72954.149999999994"/>
    <n v="0"/>
    <n v="0"/>
    <n v="0"/>
    <n v="0"/>
    <n v="72954.149999999994"/>
    <n v="160177.15"/>
    <n v="72954.149999999994"/>
    <n v="0"/>
    <n v="0"/>
    <n v="0"/>
    <n v="0"/>
    <n v="72954.149999999994"/>
    <n v="160177.15"/>
  </r>
  <r>
    <n v="4396213212"/>
    <s v="Cristina"/>
    <s v="Seegar"/>
    <x v="821"/>
    <x v="1"/>
    <n v="60884"/>
    <n v="20"/>
    <x v="821"/>
    <n v="600000"/>
    <n v="750000"/>
    <n v="900000"/>
    <n v="1200000"/>
    <n v="1.0582183333333333"/>
    <s v="100-125%"/>
    <n v="78000"/>
    <n v="5938.27"/>
    <n v="0"/>
    <n v="0"/>
    <n v="0"/>
    <n v="83938.27"/>
    <n v="144822.27000000002"/>
    <n v="90000"/>
    <n v="6287.58"/>
    <n v="0"/>
    <n v="0"/>
    <n v="0"/>
    <n v="96287.58"/>
    <n v="157171.58000000002"/>
  </r>
  <r>
    <n v="9726268931"/>
    <s v="Norbert"/>
    <s v="Segges"/>
    <x v="822"/>
    <x v="1"/>
    <n v="66956"/>
    <n v="19"/>
    <x v="822"/>
    <n v="600000"/>
    <n v="750000"/>
    <n v="900000"/>
    <n v="1200000"/>
    <n v="1.1268283333333333"/>
    <s v="100-125%"/>
    <n v="78000"/>
    <n v="12936.490000000002"/>
    <n v="0"/>
    <n v="0"/>
    <n v="0"/>
    <n v="90936.49"/>
    <n v="157892.49"/>
    <n v="90000"/>
    <n v="13697.46"/>
    <n v="0"/>
    <n v="0"/>
    <n v="0"/>
    <n v="103697.45999999999"/>
    <n v="170653.46"/>
  </r>
  <r>
    <n v="5984294621"/>
    <s v="Juliet"/>
    <s v="Semered"/>
    <x v="823"/>
    <x v="2"/>
    <n v="89873"/>
    <n v="28"/>
    <x v="823"/>
    <n v="750000"/>
    <n v="937500"/>
    <n v="1125000"/>
    <n v="1500000"/>
    <n v="1.3098000000000001"/>
    <s v="125-150%"/>
    <n v="112500"/>
    <n v="35625"/>
    <n v="10315.5"/>
    <n v="0"/>
    <n v="0"/>
    <n v="158440.5"/>
    <n v="248313.5"/>
    <n v="112500"/>
    <n v="41250"/>
    <n v="11212.5"/>
    <n v="0"/>
    <n v="0"/>
    <n v="164962.5"/>
    <n v="254835.5"/>
  </r>
  <r>
    <n v="4235594176"/>
    <s v="Bianka"/>
    <s v="Sertin"/>
    <x v="824"/>
    <x v="0"/>
    <n v="56533"/>
    <n v="20"/>
    <x v="824"/>
    <n v="500000"/>
    <n v="625000"/>
    <n v="750000"/>
    <n v="1000000"/>
    <n v="1.5028379999999999"/>
    <s v="150-200%"/>
    <n v="50000"/>
    <n v="18750"/>
    <n v="22500"/>
    <n v="312.18"/>
    <n v="0"/>
    <n v="91562.18"/>
    <n v="148095.18"/>
    <n v="60000"/>
    <n v="21250"/>
    <n v="25000"/>
    <n v="312.18"/>
    <n v="0"/>
    <n v="106562.18"/>
    <n v="163095.18"/>
  </r>
  <r>
    <n v="1475796307"/>
    <s v="Aura"/>
    <s v="Server"/>
    <x v="825"/>
    <x v="0"/>
    <n v="31487"/>
    <n v="22"/>
    <x v="825"/>
    <n v="500000"/>
    <n v="625000"/>
    <n v="750000"/>
    <n v="1000000"/>
    <n v="1.6750579999999999"/>
    <s v="150-200%"/>
    <n v="50000"/>
    <n v="21250"/>
    <n v="26250"/>
    <n v="22757.54"/>
    <n v="0"/>
    <n v="120257.54000000001"/>
    <n v="151744.54"/>
    <n v="60000"/>
    <n v="21250"/>
    <n v="25000"/>
    <n v="19256.38"/>
    <n v="0"/>
    <n v="125506.38"/>
    <n v="156993.38"/>
  </r>
  <r>
    <n v="3021692982"/>
    <s v="Georgie"/>
    <s v="Seyler"/>
    <x v="826"/>
    <x v="1"/>
    <n v="50377"/>
    <n v="19"/>
    <x v="826"/>
    <n v="600000"/>
    <n v="750000"/>
    <n v="900000"/>
    <n v="1200000"/>
    <n v="1.1980599999999999"/>
    <s v="100-125%"/>
    <n v="78000"/>
    <n v="22578.84"/>
    <n v="0"/>
    <n v="0"/>
    <n v="0"/>
    <n v="100578.84"/>
    <n v="150955.84"/>
    <n v="90000"/>
    <n v="21390.48"/>
    <n v="0"/>
    <n v="0"/>
    <n v="0"/>
    <n v="111390.48"/>
    <n v="161767.47999999998"/>
  </r>
  <r>
    <n v="483886254"/>
    <s v="Amalee"/>
    <s v="Shaddock"/>
    <x v="827"/>
    <x v="0"/>
    <n v="58261"/>
    <n v="26"/>
    <x v="827"/>
    <n v="500000"/>
    <n v="625000"/>
    <n v="750000"/>
    <n v="1000000"/>
    <n v="1.8428899999999999"/>
    <s v="150-200%"/>
    <n v="50000"/>
    <n v="21250"/>
    <n v="26250"/>
    <n v="44575.700000000004"/>
    <n v="0"/>
    <n v="142075.70000000001"/>
    <n v="200336.7"/>
    <n v="60000"/>
    <n v="21250"/>
    <n v="25000"/>
    <n v="37717.9"/>
    <n v="0"/>
    <n v="143967.9"/>
    <n v="202228.9"/>
  </r>
  <r>
    <n v="8620758454"/>
    <s v="Anabel"/>
    <s v="Shall"/>
    <x v="828"/>
    <x v="2"/>
    <n v="115098"/>
    <n v="25"/>
    <x v="828"/>
    <n v="750000"/>
    <n v="937500"/>
    <n v="1125000"/>
    <n v="1500000"/>
    <n v="1.1942186666666668"/>
    <s v="100-125%"/>
    <n v="112500"/>
    <n v="24762.880000000001"/>
    <n v="0"/>
    <n v="0"/>
    <n v="0"/>
    <n v="137262.88"/>
    <n v="252360.88"/>
    <n v="112500"/>
    <n v="32046.080000000002"/>
    <n v="0"/>
    <n v="0"/>
    <n v="0"/>
    <n v="144546.08000000002"/>
    <n v="259644.08000000002"/>
  </r>
  <r>
    <n v="8024322455"/>
    <s v="Pren"/>
    <s v="Shanahan"/>
    <x v="829"/>
    <x v="1"/>
    <n v="57634"/>
    <n v="19"/>
    <x v="829"/>
    <n v="600000"/>
    <n v="750000"/>
    <n v="900000"/>
    <n v="1200000"/>
    <n v="1.1493916666666666"/>
    <s v="100-125%"/>
    <n v="78000"/>
    <n v="15237.95"/>
    <n v="0"/>
    <n v="0"/>
    <n v="0"/>
    <n v="93237.95"/>
    <n v="150871.95000000001"/>
    <n v="90000"/>
    <n v="16134.3"/>
    <n v="0"/>
    <n v="0"/>
    <n v="0"/>
    <n v="106134.3"/>
    <n v="163768.29999999999"/>
  </r>
  <r>
    <n v="1755716656"/>
    <s v="Melina"/>
    <s v="Shapter"/>
    <x v="830"/>
    <x v="0"/>
    <n v="47083"/>
    <n v="20"/>
    <x v="830"/>
    <n v="500000"/>
    <n v="625000"/>
    <n v="750000"/>
    <n v="1000000"/>
    <n v="1.44123"/>
    <s v="125-150%"/>
    <n v="50000"/>
    <n v="23750"/>
    <n v="21991.45"/>
    <n v="0"/>
    <n v="0"/>
    <n v="95741.45"/>
    <n v="142824.45000000001"/>
    <n v="60000"/>
    <n v="21250"/>
    <n v="19123"/>
    <n v="0"/>
    <n v="0"/>
    <n v="100373"/>
    <n v="147456"/>
  </r>
  <r>
    <n v="6126779991"/>
    <s v="Basilio"/>
    <s v="Shattock"/>
    <x v="831"/>
    <x v="1"/>
    <n v="74933"/>
    <n v="19"/>
    <x v="831"/>
    <n v="600000"/>
    <n v="750000"/>
    <n v="900000"/>
    <n v="1200000"/>
    <n v="1.0708933333333333"/>
    <s v="100-125%"/>
    <n v="78000"/>
    <n v="6380.4"/>
    <n v="0"/>
    <n v="0"/>
    <n v="0"/>
    <n v="84380.4"/>
    <n v="159313.4"/>
    <n v="90000"/>
    <n v="7656.48"/>
    <n v="0"/>
    <n v="0"/>
    <n v="0"/>
    <n v="97656.48"/>
    <n v="172589.47999999998"/>
  </r>
  <r>
    <n v="6253520369"/>
    <s v="Aviva"/>
    <s v="Shayes"/>
    <x v="832"/>
    <x v="1"/>
    <n v="57050"/>
    <n v="19"/>
    <x v="832"/>
    <n v="600000"/>
    <n v="750000"/>
    <n v="900000"/>
    <n v="1200000"/>
    <n v="1.007625"/>
    <s v="100-125%"/>
    <n v="78000"/>
    <n v="686.25"/>
    <n v="0"/>
    <n v="0"/>
    <n v="0"/>
    <n v="78686.25"/>
    <n v="135736.25"/>
    <n v="90000"/>
    <n v="823.5"/>
    <n v="0"/>
    <n v="0"/>
    <n v="0"/>
    <n v="90823.5"/>
    <n v="147873.5"/>
  </r>
  <r>
    <n v="132027631"/>
    <s v="Millie"/>
    <s v="Shayler"/>
    <x v="833"/>
    <x v="1"/>
    <n v="62126"/>
    <n v="28"/>
    <x v="833"/>
    <n v="600000"/>
    <n v="750000"/>
    <n v="900000"/>
    <n v="1200000"/>
    <n v="1.513055"/>
    <s v="150-200%"/>
    <n v="78000"/>
    <n v="28500"/>
    <n v="34500"/>
    <n v="2349.9"/>
    <n v="0"/>
    <n v="143349.9"/>
    <n v="205475.9"/>
    <n v="90000"/>
    <n v="27000"/>
    <n v="37500"/>
    <n v="2349.9"/>
    <n v="0"/>
    <n v="156849.9"/>
    <n v="218975.9"/>
  </r>
  <r>
    <n v="5002048994"/>
    <s v="Katya"/>
    <s v="Sheaf"/>
    <x v="834"/>
    <x v="2"/>
    <n v="89494"/>
    <n v="17"/>
    <x v="834"/>
    <n v="750000"/>
    <n v="937500"/>
    <n v="1125000"/>
    <n v="1500000"/>
    <n v="0.8344786666666667"/>
    <s v="0-100%"/>
    <n v="93878.849999999991"/>
    <n v="0"/>
    <n v="0"/>
    <n v="0"/>
    <n v="0"/>
    <n v="93878.849999999991"/>
    <n v="183372.84999999998"/>
    <n v="93878.849999999991"/>
    <n v="0"/>
    <n v="0"/>
    <n v="0"/>
    <n v="0"/>
    <n v="93878.849999999991"/>
    <n v="183372.84999999998"/>
  </r>
  <r>
    <n v="3428040538"/>
    <s v="Jessica"/>
    <s v="Sheather"/>
    <x v="835"/>
    <x v="0"/>
    <n v="36021"/>
    <n v="17"/>
    <x v="835"/>
    <n v="500000"/>
    <n v="625000"/>
    <n v="750000"/>
    <n v="1000000"/>
    <n v="1.301992"/>
    <s v="125-150%"/>
    <n v="50000"/>
    <n v="21250"/>
    <n v="5459.16"/>
    <n v="0"/>
    <n v="0"/>
    <n v="76709.16"/>
    <n v="112730.16"/>
    <n v="60000"/>
    <n v="21250"/>
    <n v="5199.2000000000007"/>
    <n v="0"/>
    <n v="0"/>
    <n v="86449.2"/>
    <n v="122470.2"/>
  </r>
  <r>
    <n v="2402470968"/>
    <s v="Aluino"/>
    <s v="Sheerin"/>
    <x v="836"/>
    <x v="2"/>
    <n v="99023"/>
    <n v="22"/>
    <x v="836"/>
    <n v="750000"/>
    <n v="937500"/>
    <n v="1125000"/>
    <n v="1500000"/>
    <n v="1.0327679999999999"/>
    <s v="100-125%"/>
    <n v="112500"/>
    <n v="4669.4400000000005"/>
    <n v="0"/>
    <n v="0"/>
    <n v="0"/>
    <n v="117169.44"/>
    <n v="216192.44"/>
    <n v="112500"/>
    <n v="5406.72"/>
    <n v="0"/>
    <n v="0"/>
    <n v="0"/>
    <n v="117906.72"/>
    <n v="216929.72"/>
  </r>
  <r>
    <n v="1972775170"/>
    <s v="Elaina"/>
    <s v="Shelmardine"/>
    <x v="837"/>
    <x v="2"/>
    <n v="122434"/>
    <n v="15"/>
    <x v="837"/>
    <n v="750000"/>
    <n v="937500"/>
    <n v="1125000"/>
    <n v="1500000"/>
    <n v="0.68841733333333333"/>
    <s v="0-100%"/>
    <n v="77446.95"/>
    <n v="0"/>
    <n v="0"/>
    <n v="0"/>
    <n v="0"/>
    <n v="77446.95"/>
    <n v="199880.95"/>
    <n v="77446.95"/>
    <n v="0"/>
    <n v="0"/>
    <n v="0"/>
    <n v="0"/>
    <n v="77446.95"/>
    <n v="199880.95"/>
  </r>
  <r>
    <n v="7240169995"/>
    <s v="Titos"/>
    <s v="Shelmardine"/>
    <x v="838"/>
    <x v="0"/>
    <n v="52553"/>
    <n v="21"/>
    <x v="838"/>
    <n v="500000"/>
    <n v="625000"/>
    <n v="750000"/>
    <n v="1000000"/>
    <n v="1.4054"/>
    <s v="125-150%"/>
    <n v="50000"/>
    <n v="21250"/>
    <n v="16317"/>
    <n v="0"/>
    <n v="0"/>
    <n v="87567"/>
    <n v="140120"/>
    <n v="60000"/>
    <n v="21250"/>
    <n v="15540"/>
    <n v="0"/>
    <n v="0"/>
    <n v="96790"/>
    <n v="149343"/>
  </r>
  <r>
    <n v="6321654205"/>
    <s v="Phillipe"/>
    <s v="Shildrake"/>
    <x v="839"/>
    <x v="1"/>
    <n v="78338"/>
    <n v="18"/>
    <x v="839"/>
    <n v="600000"/>
    <n v="750000"/>
    <n v="900000"/>
    <n v="1200000"/>
    <n v="1.2213799999999999"/>
    <s v="100-125%"/>
    <n v="78000"/>
    <n v="19924.2"/>
    <n v="0"/>
    <n v="0"/>
    <n v="0"/>
    <n v="97924.2"/>
    <n v="176262.2"/>
    <n v="90000"/>
    <n v="23909.040000000001"/>
    <n v="0"/>
    <n v="0"/>
    <n v="0"/>
    <n v="113909.04000000001"/>
    <n v="192247.04000000001"/>
  </r>
  <r>
    <n v="4159390110"/>
    <s v="Newton"/>
    <s v="Shillabear"/>
    <x v="840"/>
    <x v="2"/>
    <n v="114184"/>
    <n v="21"/>
    <x v="840"/>
    <n v="750000"/>
    <n v="937500"/>
    <n v="1125000"/>
    <n v="1500000"/>
    <n v="0.94621733333333335"/>
    <s v="0-100%"/>
    <n v="106449.45"/>
    <n v="0"/>
    <n v="0"/>
    <n v="0"/>
    <n v="0"/>
    <n v="106449.45"/>
    <n v="220633.45"/>
    <n v="106449.45"/>
    <n v="0"/>
    <n v="0"/>
    <n v="0"/>
    <n v="0"/>
    <n v="106449.45"/>
    <n v="220633.45"/>
  </r>
  <r>
    <n v="6731572691"/>
    <s v="Chan"/>
    <s v="Shillabeare"/>
    <x v="841"/>
    <x v="0"/>
    <n v="36362"/>
    <n v="22"/>
    <x v="841"/>
    <n v="500000"/>
    <n v="625000"/>
    <n v="750000"/>
    <n v="1000000"/>
    <n v="1.5796779999999999"/>
    <s v="150-200%"/>
    <n v="50000"/>
    <n v="21250"/>
    <n v="26250"/>
    <n v="10358.140000000001"/>
    <n v="0"/>
    <n v="107858.14"/>
    <n v="144220.14000000001"/>
    <n v="60000"/>
    <n v="21250"/>
    <n v="25000"/>
    <n v="8764.58"/>
    <n v="0"/>
    <n v="115014.58"/>
    <n v="151376.58000000002"/>
  </r>
  <r>
    <n v="8481632066"/>
    <s v="Bengt"/>
    <s v="Shillum"/>
    <x v="842"/>
    <x v="2"/>
    <n v="87295"/>
    <n v="14"/>
    <x v="842"/>
    <n v="750000"/>
    <n v="937500"/>
    <n v="1125000"/>
    <n v="1500000"/>
    <n v="0.59367599999999998"/>
    <s v="0-100%"/>
    <n v="66788.55"/>
    <n v="0"/>
    <n v="0"/>
    <n v="0"/>
    <n v="0"/>
    <n v="66788.55"/>
    <n v="154083.54999999999"/>
    <n v="66788.55"/>
    <n v="0"/>
    <n v="0"/>
    <n v="0"/>
    <n v="0"/>
    <n v="66788.55"/>
    <n v="154083.54999999999"/>
  </r>
  <r>
    <n v="8728207157"/>
    <s v="Gaby"/>
    <s v="Shilston"/>
    <x v="843"/>
    <x v="2"/>
    <n v="100924"/>
    <n v="23"/>
    <x v="843"/>
    <n v="750000"/>
    <n v="937500"/>
    <n v="1125000"/>
    <n v="1500000"/>
    <n v="0.97076933333333337"/>
    <s v="0-100%"/>
    <n v="109211.55"/>
    <n v="0"/>
    <n v="0"/>
    <n v="0"/>
    <n v="0"/>
    <n v="109211.55"/>
    <n v="210135.55"/>
    <n v="109211.55"/>
    <n v="0"/>
    <n v="0"/>
    <n v="0"/>
    <n v="0"/>
    <n v="109211.55"/>
    <n v="210135.55"/>
  </r>
  <r>
    <n v="8832488175"/>
    <s v="Eddy"/>
    <s v="Shilston"/>
    <x v="844"/>
    <x v="1"/>
    <n v="50688"/>
    <n v="25"/>
    <x v="844"/>
    <n v="600000"/>
    <n v="750000"/>
    <n v="900000"/>
    <n v="1200000"/>
    <n v="1.425845"/>
    <s v="125-150%"/>
    <n v="78000"/>
    <n v="28500"/>
    <n v="24266.61"/>
    <n v="0"/>
    <n v="0"/>
    <n v="130766.61"/>
    <n v="181454.61"/>
    <n v="90000"/>
    <n v="27000"/>
    <n v="26376.75"/>
    <n v="0"/>
    <n v="0"/>
    <n v="143376.75"/>
    <n v="194064.75"/>
  </r>
  <r>
    <n v="1266227768"/>
    <s v="Latrina"/>
    <s v="Shropsheir"/>
    <x v="845"/>
    <x v="1"/>
    <n v="64839"/>
    <n v="12"/>
    <x v="845"/>
    <n v="600000"/>
    <n v="750000"/>
    <n v="900000"/>
    <n v="1200000"/>
    <n v="0.54897166666666664"/>
    <s v="0-100%"/>
    <n v="42819.79"/>
    <n v="0"/>
    <n v="0"/>
    <n v="0"/>
    <n v="0"/>
    <n v="42819.79"/>
    <n v="107658.79000000001"/>
    <n v="49407.45"/>
    <n v="0"/>
    <n v="0"/>
    <n v="0"/>
    <n v="0"/>
    <n v="49407.45"/>
    <n v="114246.45"/>
  </r>
  <r>
    <n v="5863557389"/>
    <s v="Maddalena"/>
    <s v="Shurrock"/>
    <x v="846"/>
    <x v="1"/>
    <n v="78580"/>
    <n v="19"/>
    <x v="846"/>
    <n v="600000"/>
    <n v="750000"/>
    <n v="900000"/>
    <n v="1200000"/>
    <n v="1.1336516666666667"/>
    <s v="100-125%"/>
    <n v="78000"/>
    <n v="12028.65"/>
    <n v="0"/>
    <n v="0"/>
    <n v="0"/>
    <n v="90028.65"/>
    <n v="168608.65"/>
    <n v="90000"/>
    <n v="14434.38"/>
    <n v="0"/>
    <n v="0"/>
    <n v="0"/>
    <n v="104434.38"/>
    <n v="183014.38"/>
  </r>
  <r>
    <n v="3379645060"/>
    <s v="Rasla"/>
    <s v="Shutte"/>
    <x v="847"/>
    <x v="0"/>
    <n v="45353"/>
    <n v="23"/>
    <x v="847"/>
    <n v="500000"/>
    <n v="625000"/>
    <n v="750000"/>
    <n v="1000000"/>
    <n v="1.7058199999999999"/>
    <s v="150-200%"/>
    <n v="50000"/>
    <n v="18750"/>
    <n v="22500"/>
    <n v="22640.2"/>
    <n v="0"/>
    <n v="113890.2"/>
    <n v="159243.20000000001"/>
    <n v="60000"/>
    <n v="21250"/>
    <n v="25000"/>
    <n v="22640.2"/>
    <n v="0"/>
    <n v="128890.2"/>
    <n v="174243.20000000001"/>
  </r>
  <r>
    <n v="7152427402"/>
    <s v="Billye"/>
    <s v="Shwalbe"/>
    <x v="848"/>
    <x v="0"/>
    <n v="31747"/>
    <n v="22"/>
    <x v="848"/>
    <n v="500000"/>
    <n v="625000"/>
    <n v="750000"/>
    <n v="1000000"/>
    <n v="1.3222640000000001"/>
    <s v="125-150%"/>
    <n v="50000"/>
    <n v="18750"/>
    <n v="6503.7599999999993"/>
    <n v="0"/>
    <n v="0"/>
    <n v="75253.759999999995"/>
    <n v="107000.76"/>
    <n v="60000"/>
    <n v="21250"/>
    <n v="7226.4000000000005"/>
    <n v="0"/>
    <n v="0"/>
    <n v="88476.4"/>
    <n v="120223.4"/>
  </r>
  <r>
    <n v="7479962290"/>
    <s v="Paulo"/>
    <s v="Sibbert"/>
    <x v="849"/>
    <x v="0"/>
    <n v="44582"/>
    <n v="18"/>
    <x v="849"/>
    <n v="500000"/>
    <n v="625000"/>
    <n v="750000"/>
    <n v="1000000"/>
    <n v="1.2116979999999999"/>
    <s v="100-125%"/>
    <n v="50000"/>
    <n v="15877.349999999999"/>
    <n v="0"/>
    <n v="0"/>
    <n v="0"/>
    <n v="65877.350000000006"/>
    <n v="110459.35"/>
    <n v="60000"/>
    <n v="17994.330000000002"/>
    <n v="0"/>
    <n v="0"/>
    <n v="0"/>
    <n v="77994.33"/>
    <n v="122576.33"/>
  </r>
  <r>
    <n v="7268478941"/>
    <s v="Winfred"/>
    <s v="Siggee"/>
    <x v="850"/>
    <x v="1"/>
    <n v="62721"/>
    <n v="18"/>
    <x v="850"/>
    <n v="600000"/>
    <n v="750000"/>
    <n v="900000"/>
    <n v="1200000"/>
    <n v="1.1597733333333333"/>
    <s v="100-125%"/>
    <n v="78000"/>
    <n v="14379.6"/>
    <n v="0"/>
    <n v="0"/>
    <n v="0"/>
    <n v="92379.6"/>
    <n v="155100.6"/>
    <n v="90000"/>
    <n v="17255.52"/>
    <n v="0"/>
    <n v="0"/>
    <n v="0"/>
    <n v="107255.52"/>
    <n v="169976.52000000002"/>
  </r>
  <r>
    <n v="3292353998"/>
    <s v="Denys"/>
    <s v="Siggers"/>
    <x v="851"/>
    <x v="1"/>
    <n v="66896"/>
    <n v="16"/>
    <x v="851"/>
    <n v="600000"/>
    <n v="750000"/>
    <n v="900000"/>
    <n v="1200000"/>
    <n v="0.91766333333333339"/>
    <s v="0-100%"/>
    <n v="71577.740000000005"/>
    <n v="0"/>
    <n v="0"/>
    <n v="0"/>
    <n v="0"/>
    <n v="71577.740000000005"/>
    <n v="138473.74"/>
    <n v="82589.7"/>
    <n v="0"/>
    <n v="0"/>
    <n v="0"/>
    <n v="0"/>
    <n v="82589.7"/>
    <n v="149485.70000000001"/>
  </r>
  <r>
    <n v="2973558387"/>
    <s v="Myrtie"/>
    <s v="Silversmid"/>
    <x v="852"/>
    <x v="1"/>
    <n v="67150"/>
    <n v="19"/>
    <x v="852"/>
    <n v="600000"/>
    <n v="750000"/>
    <n v="900000"/>
    <n v="1200000"/>
    <n v="1.1041399999999999"/>
    <s v="100-125%"/>
    <n v="78000"/>
    <n v="11871.960000000001"/>
    <n v="0"/>
    <n v="0"/>
    <n v="0"/>
    <n v="89871.96"/>
    <n v="157021.96000000002"/>
    <n v="90000"/>
    <n v="11247.119999999999"/>
    <n v="0"/>
    <n v="0"/>
    <n v="0"/>
    <n v="101247.12"/>
    <n v="168397.12"/>
  </r>
  <r>
    <n v="4838770758"/>
    <s v="Lianne"/>
    <s v="Simeoni"/>
    <x v="853"/>
    <x v="0"/>
    <n v="43669"/>
    <n v="16"/>
    <x v="853"/>
    <n v="500000"/>
    <n v="625000"/>
    <n v="750000"/>
    <n v="1000000"/>
    <n v="1.011816"/>
    <s v="100-125%"/>
    <n v="50000"/>
    <n v="886.19999999999993"/>
    <n v="0"/>
    <n v="0"/>
    <n v="0"/>
    <n v="50886.2"/>
    <n v="94555.199999999997"/>
    <n v="60000"/>
    <n v="1004.3600000000001"/>
    <n v="0"/>
    <n v="0"/>
    <n v="0"/>
    <n v="61004.36"/>
    <n v="104673.36"/>
  </r>
  <r>
    <n v="5756920838"/>
    <s v="Jamie"/>
    <s v="Simmings"/>
    <x v="854"/>
    <x v="0"/>
    <n v="34761"/>
    <n v="13"/>
    <x v="854"/>
    <n v="500000"/>
    <n v="625000"/>
    <n v="750000"/>
    <n v="1000000"/>
    <n v="0.93723000000000001"/>
    <s v="0-100%"/>
    <n v="46861.5"/>
    <n v="0"/>
    <n v="0"/>
    <n v="0"/>
    <n v="0"/>
    <n v="46861.5"/>
    <n v="81622.5"/>
    <n v="56233.799999999996"/>
    <n v="0"/>
    <n v="0"/>
    <n v="0"/>
    <n v="0"/>
    <n v="56233.799999999996"/>
    <n v="90994.799999999988"/>
  </r>
  <r>
    <n v="9057758911"/>
    <s v="Desmond"/>
    <s v="Simmins"/>
    <x v="855"/>
    <x v="1"/>
    <n v="54346"/>
    <n v="17"/>
    <x v="855"/>
    <n v="600000"/>
    <n v="750000"/>
    <n v="900000"/>
    <n v="1200000"/>
    <n v="1.0148550000000001"/>
    <s v="100-125%"/>
    <n v="78000"/>
    <n v="1515.21"/>
    <n v="0"/>
    <n v="0"/>
    <n v="0"/>
    <n v="79515.210000000006"/>
    <n v="133861.21000000002"/>
    <n v="90000"/>
    <n v="1604.34"/>
    <n v="0"/>
    <n v="0"/>
    <n v="0"/>
    <n v="91604.34"/>
    <n v="145950.34"/>
  </r>
  <r>
    <n v="4323727860"/>
    <s v="Dyanne"/>
    <s v="Simper"/>
    <x v="856"/>
    <x v="0"/>
    <n v="62832"/>
    <n v="23"/>
    <x v="856"/>
    <n v="500000"/>
    <n v="625000"/>
    <n v="750000"/>
    <n v="1000000"/>
    <n v="1.59646"/>
    <s v="150-200%"/>
    <n v="50000"/>
    <n v="18750"/>
    <n v="22500"/>
    <n v="10610.6"/>
    <n v="0"/>
    <n v="101860.6"/>
    <n v="164692.6"/>
    <n v="60000"/>
    <n v="21250"/>
    <n v="25000"/>
    <n v="10610.6"/>
    <n v="0"/>
    <n v="116860.6"/>
    <n v="179692.6"/>
  </r>
  <r>
    <n v="273083503"/>
    <s v="Welbie"/>
    <s v="Siveyer"/>
    <x v="857"/>
    <x v="1"/>
    <n v="69476"/>
    <n v="12"/>
    <x v="857"/>
    <n v="600000"/>
    <n v="750000"/>
    <n v="900000"/>
    <n v="1200000"/>
    <n v="0.80030500000000004"/>
    <s v="0-100%"/>
    <n v="62423.79"/>
    <n v="0"/>
    <n v="0"/>
    <n v="0"/>
    <n v="0"/>
    <n v="62423.79"/>
    <n v="131899.79"/>
    <n v="72027.45"/>
    <n v="0"/>
    <n v="0"/>
    <n v="0"/>
    <n v="0"/>
    <n v="72027.45"/>
    <n v="141503.45000000001"/>
  </r>
  <r>
    <n v="8109358470"/>
    <s v="Marysa"/>
    <s v="Skalls"/>
    <x v="858"/>
    <x v="1"/>
    <n v="74649"/>
    <n v="18"/>
    <x v="858"/>
    <n v="600000"/>
    <n v="750000"/>
    <n v="900000"/>
    <n v="1200000"/>
    <n v="1.0769150000000001"/>
    <s v="100-125%"/>
    <n v="78000"/>
    <n v="8768.31"/>
    <n v="0"/>
    <n v="0"/>
    <n v="0"/>
    <n v="86768.31"/>
    <n v="161417.31"/>
    <n v="90000"/>
    <n v="8306.82"/>
    <n v="0"/>
    <n v="0"/>
    <n v="0"/>
    <n v="98306.82"/>
    <n v="172955.82"/>
  </r>
  <r>
    <n v="9447906176"/>
    <s v="Zebulen"/>
    <s v="Skeemor"/>
    <x v="859"/>
    <x v="0"/>
    <n v="54699"/>
    <n v="17"/>
    <x v="859"/>
    <n v="500000"/>
    <n v="625000"/>
    <n v="750000"/>
    <n v="1000000"/>
    <n v="1.1013759999999999"/>
    <s v="100-125%"/>
    <n v="50000"/>
    <n v="8616.9600000000009"/>
    <n v="0"/>
    <n v="0"/>
    <n v="0"/>
    <n v="58616.959999999999"/>
    <n v="113315.95999999999"/>
    <n v="60000"/>
    <n v="8616.9600000000009"/>
    <n v="0"/>
    <n v="0"/>
    <n v="0"/>
    <n v="68616.960000000006"/>
    <n v="123315.96"/>
  </r>
  <r>
    <n v="2405876701"/>
    <s v="Scot"/>
    <s v="Skoughman"/>
    <x v="860"/>
    <x v="2"/>
    <n v="118003"/>
    <n v="20"/>
    <x v="860"/>
    <n v="750000"/>
    <n v="937500"/>
    <n v="1125000"/>
    <n v="1500000"/>
    <n v="1.0506613333333332"/>
    <s v="100-125%"/>
    <n v="112500"/>
    <n v="5699.4"/>
    <n v="0"/>
    <n v="0"/>
    <n v="0"/>
    <n v="118199.4"/>
    <n v="236202.4"/>
    <n v="112500"/>
    <n v="8359.1200000000008"/>
    <n v="0"/>
    <n v="0"/>
    <n v="0"/>
    <n v="120859.12"/>
    <n v="238862.12"/>
  </r>
  <r>
    <n v="7205288142"/>
    <s v="Rolph"/>
    <s v="Slatcher"/>
    <x v="861"/>
    <x v="2"/>
    <n v="89937"/>
    <n v="19"/>
    <x v="861"/>
    <n v="750000"/>
    <n v="937500"/>
    <n v="1125000"/>
    <n v="1500000"/>
    <n v="0.84354799999999996"/>
    <s v="0-100%"/>
    <n v="94899.15"/>
    <n v="0"/>
    <n v="0"/>
    <n v="0"/>
    <n v="0"/>
    <n v="94899.15"/>
    <n v="184836.15"/>
    <n v="94899.15"/>
    <n v="0"/>
    <n v="0"/>
    <n v="0"/>
    <n v="0"/>
    <n v="94899.15"/>
    <n v="184836.15"/>
  </r>
  <r>
    <n v="2873915978"/>
    <s v="Jone"/>
    <s v="Sleep"/>
    <x v="862"/>
    <x v="1"/>
    <n v="73164"/>
    <n v="25"/>
    <x v="862"/>
    <n v="600000"/>
    <n v="750000"/>
    <n v="900000"/>
    <n v="1200000"/>
    <n v="1.3897083333333333"/>
    <s v="125-150%"/>
    <n v="78000"/>
    <n v="28500"/>
    <n v="19279.75"/>
    <n v="0"/>
    <n v="0"/>
    <n v="125779.75"/>
    <n v="198943.75"/>
    <n v="90000"/>
    <n v="27000"/>
    <n v="20956.25"/>
    <n v="0"/>
    <n v="0"/>
    <n v="137956.25"/>
    <n v="211120.25"/>
  </r>
  <r>
    <n v="3738218785"/>
    <s v="Cull"/>
    <s v="Slott"/>
    <x v="863"/>
    <x v="0"/>
    <n v="64849"/>
    <n v="18"/>
    <x v="863"/>
    <n v="500000"/>
    <n v="625000"/>
    <n v="750000"/>
    <n v="1000000"/>
    <n v="1.4375500000000001"/>
    <s v="125-150%"/>
    <n v="50000"/>
    <n v="21250"/>
    <n v="19692.75"/>
    <n v="0"/>
    <n v="0"/>
    <n v="90942.75"/>
    <n v="155791.75"/>
    <n v="60000"/>
    <n v="21250"/>
    <n v="18755"/>
    <n v="0"/>
    <n v="0"/>
    <n v="100005"/>
    <n v="164854"/>
  </r>
  <r>
    <n v="1472093461"/>
    <s v="Hynda"/>
    <s v="Smee"/>
    <x v="864"/>
    <x v="1"/>
    <n v="72605"/>
    <n v="25"/>
    <x v="864"/>
    <n v="600000"/>
    <n v="750000"/>
    <n v="900000"/>
    <n v="1200000"/>
    <n v="1.4638483333333334"/>
    <s v="125-150%"/>
    <n v="78000"/>
    <n v="28500"/>
    <n v="29511.07"/>
    <n v="0"/>
    <n v="0"/>
    <n v="136011.07"/>
    <n v="208616.07"/>
    <n v="90000"/>
    <n v="27000"/>
    <n v="32077.25"/>
    <n v="0"/>
    <n v="0"/>
    <n v="149077.25"/>
    <n v="221682.25"/>
  </r>
  <r>
    <n v="9287480133"/>
    <s v="Rufe"/>
    <s v="Smerdon"/>
    <x v="865"/>
    <x v="2"/>
    <n v="98734"/>
    <n v="18"/>
    <x v="865"/>
    <n v="750000"/>
    <n v="937500"/>
    <n v="1125000"/>
    <n v="1500000"/>
    <n v="0.93986800000000004"/>
    <s v="0-100%"/>
    <n v="105735.15"/>
    <n v="0"/>
    <n v="0"/>
    <n v="0"/>
    <n v="0"/>
    <n v="105735.15"/>
    <n v="204469.15"/>
    <n v="105735.15"/>
    <n v="0"/>
    <n v="0"/>
    <n v="0"/>
    <n v="0"/>
    <n v="105735.15"/>
    <n v="204469.15"/>
  </r>
  <r>
    <n v="101658508"/>
    <s v="Foster"/>
    <s v="Smith"/>
    <x v="866"/>
    <x v="0"/>
    <n v="63106"/>
    <n v="22"/>
    <x v="866"/>
    <n v="500000"/>
    <n v="625000"/>
    <n v="750000"/>
    <n v="1000000"/>
    <n v="1.4075139999999999"/>
    <s v="125-150%"/>
    <n v="50000"/>
    <n v="18750"/>
    <n v="14176.26"/>
    <n v="0"/>
    <n v="0"/>
    <n v="82926.259999999995"/>
    <n v="146032.26"/>
    <n v="60000"/>
    <n v="21250"/>
    <n v="15751.400000000001"/>
    <n v="0"/>
    <n v="0"/>
    <n v="97001.4"/>
    <n v="160107.4"/>
  </r>
  <r>
    <n v="7760701055"/>
    <s v="Mauricio"/>
    <s v="Smooth"/>
    <x v="867"/>
    <x v="1"/>
    <n v="63518"/>
    <n v="24"/>
    <x v="867"/>
    <n v="600000"/>
    <n v="750000"/>
    <n v="900000"/>
    <n v="1200000"/>
    <n v="1.3674066666666667"/>
    <s v="125-150%"/>
    <n v="78000"/>
    <n v="25500.000000000004"/>
    <n v="14793.24"/>
    <n v="0"/>
    <n v="0"/>
    <n v="118293.24"/>
    <n v="181811.24"/>
    <n v="90000"/>
    <n v="27000"/>
    <n v="17611"/>
    <n v="0"/>
    <n v="0"/>
    <n v="134611"/>
    <n v="198129"/>
  </r>
  <r>
    <n v="826490107"/>
    <s v="Esra"/>
    <s v="Snibson"/>
    <x v="868"/>
    <x v="0"/>
    <n v="32485"/>
    <n v="22"/>
    <x v="868"/>
    <n v="500000"/>
    <n v="625000"/>
    <n v="750000"/>
    <n v="1000000"/>
    <n v="1.6478440000000001"/>
    <s v="150-200%"/>
    <n v="50000"/>
    <n v="18750"/>
    <n v="22500"/>
    <n v="16262.84"/>
    <n v="0"/>
    <n v="107512.84"/>
    <n v="139997.84"/>
    <n v="60000"/>
    <n v="21250"/>
    <n v="25000"/>
    <n v="16262.84"/>
    <n v="0"/>
    <n v="122512.84"/>
    <n v="154997.84"/>
  </r>
  <r>
    <n v="8093156364"/>
    <s v="Danny"/>
    <s v="Snoddin"/>
    <x v="869"/>
    <x v="0"/>
    <n v="64144"/>
    <n v="15"/>
    <x v="869"/>
    <n v="500000"/>
    <n v="625000"/>
    <n v="750000"/>
    <n v="1000000"/>
    <n v="1.2218180000000001"/>
    <s v="100-125%"/>
    <n v="50000"/>
    <n v="16636.349999999999"/>
    <n v="0"/>
    <n v="0"/>
    <n v="0"/>
    <n v="66636.350000000006"/>
    <n v="130780.35"/>
    <n v="60000"/>
    <n v="18854.530000000002"/>
    <n v="0"/>
    <n v="0"/>
    <n v="0"/>
    <n v="78854.53"/>
    <n v="142998.53"/>
  </r>
  <r>
    <n v="1606657585"/>
    <s v="Ashley"/>
    <s v="Somerton"/>
    <x v="870"/>
    <x v="2"/>
    <n v="83497"/>
    <n v="27"/>
    <x v="870"/>
    <n v="750000"/>
    <n v="937500"/>
    <n v="1125000"/>
    <n v="1500000"/>
    <n v="1.4203173333333334"/>
    <s v="125-150%"/>
    <n v="112500"/>
    <n v="35625"/>
    <n v="29379.74"/>
    <n v="0"/>
    <n v="0"/>
    <n v="177504.74"/>
    <n v="261001.74"/>
    <n v="112500"/>
    <n v="41250"/>
    <n v="31934.5"/>
    <n v="0"/>
    <n v="0"/>
    <n v="185684.5"/>
    <n v="269181.5"/>
  </r>
  <r>
    <n v="3164004753"/>
    <s v="Conny"/>
    <s v="Sommerly"/>
    <x v="871"/>
    <x v="0"/>
    <n v="30622"/>
    <n v="28"/>
    <x v="871"/>
    <n v="500000"/>
    <n v="625000"/>
    <n v="750000"/>
    <n v="1000000"/>
    <n v="1.7862960000000001"/>
    <s v="150-200%"/>
    <n v="50000"/>
    <n v="23750"/>
    <n v="28750"/>
    <n v="42944.4"/>
    <n v="0"/>
    <n v="145444.4"/>
    <n v="176066.4"/>
    <n v="60000"/>
    <n v="21250"/>
    <n v="25000"/>
    <n v="31492.560000000001"/>
    <n v="0"/>
    <n v="137742.56"/>
    <n v="168364.56"/>
  </r>
  <r>
    <n v="5299481160"/>
    <s v="Carmelle"/>
    <s v="Sothcott"/>
    <x v="872"/>
    <x v="0"/>
    <n v="49920"/>
    <n v="14"/>
    <x v="872"/>
    <n v="500000"/>
    <n v="625000"/>
    <n v="750000"/>
    <n v="1000000"/>
    <n v="0.91822599999999999"/>
    <s v="0-100%"/>
    <n v="45911.3"/>
    <n v="0"/>
    <n v="0"/>
    <n v="0"/>
    <n v="0"/>
    <n v="45911.3"/>
    <n v="95831.3"/>
    <n v="55093.56"/>
    <n v="0"/>
    <n v="0"/>
    <n v="0"/>
    <n v="0"/>
    <n v="55093.56"/>
    <n v="105013.56"/>
  </r>
  <r>
    <n v="901154172"/>
    <s v="Sherwynd"/>
    <s v="Southerell"/>
    <x v="873"/>
    <x v="1"/>
    <n v="79983"/>
    <n v="21"/>
    <x v="873"/>
    <n v="600000"/>
    <n v="750000"/>
    <n v="900000"/>
    <n v="1200000"/>
    <n v="1.2675833333333333"/>
    <s v="125-150%"/>
    <n v="78000"/>
    <n v="22500"/>
    <n v="1899"/>
    <n v="0"/>
    <n v="0"/>
    <n v="102399"/>
    <n v="182382"/>
    <n v="90000"/>
    <n v="27000"/>
    <n v="2637.5"/>
    <n v="0"/>
    <n v="0"/>
    <n v="119637.5"/>
    <n v="199620.5"/>
  </r>
  <r>
    <n v="9939542542"/>
    <s v="Shaylynn"/>
    <s v="Southern"/>
    <x v="874"/>
    <x v="2"/>
    <n v="85588"/>
    <n v="31"/>
    <x v="874"/>
    <n v="750000"/>
    <n v="937500"/>
    <n v="1125000"/>
    <n v="1500000"/>
    <n v="1.706772"/>
    <s v="150-200%"/>
    <n v="112500"/>
    <n v="31875.000000000004"/>
    <n v="39375"/>
    <n v="40320.54"/>
    <n v="0"/>
    <n v="224070.54"/>
    <n v="309658.54000000004"/>
    <n v="112500"/>
    <n v="41250"/>
    <n v="46875"/>
    <n v="51176.07"/>
    <n v="0"/>
    <n v="251801.07"/>
    <n v="337389.07"/>
  </r>
  <r>
    <n v="4688336071"/>
    <s v="Merrill"/>
    <s v="Speakman"/>
    <x v="875"/>
    <x v="2"/>
    <n v="111549"/>
    <n v="22"/>
    <x v="875"/>
    <n v="750000"/>
    <n v="937500"/>
    <n v="1125000"/>
    <n v="1500000"/>
    <n v="1.0617693333333333"/>
    <s v="100-125%"/>
    <n v="112500"/>
    <n v="7875.59"/>
    <n v="0"/>
    <n v="0"/>
    <n v="0"/>
    <n v="120375.59"/>
    <n v="231924.59"/>
    <n v="112500"/>
    <n v="10191.94"/>
    <n v="0"/>
    <n v="0"/>
    <n v="0"/>
    <n v="122691.94"/>
    <n v="234240.94"/>
  </r>
  <r>
    <n v="9958099322"/>
    <s v="Robinette"/>
    <s v="Speller"/>
    <x v="876"/>
    <x v="1"/>
    <n v="77249"/>
    <n v="21"/>
    <x v="876"/>
    <n v="600000"/>
    <n v="750000"/>
    <n v="900000"/>
    <n v="1200000"/>
    <n v="1.2239"/>
    <s v="100-125%"/>
    <n v="78000"/>
    <n v="22837.800000000003"/>
    <n v="0"/>
    <n v="0"/>
    <n v="0"/>
    <n v="100837.8"/>
    <n v="178086.8"/>
    <n v="90000"/>
    <n v="24181.200000000001"/>
    <n v="0"/>
    <n v="0"/>
    <n v="0"/>
    <n v="114181.2"/>
    <n v="191430.2"/>
  </r>
  <r>
    <n v="232367817"/>
    <s v="Monty"/>
    <s v="Spellward"/>
    <x v="877"/>
    <x v="2"/>
    <n v="83247"/>
    <n v="21"/>
    <x v="877"/>
    <n v="750000"/>
    <n v="937500"/>
    <n v="1125000"/>
    <n v="1500000"/>
    <n v="0.97540933333333335"/>
    <s v="0-100%"/>
    <n v="109733.55"/>
    <n v="0"/>
    <n v="0"/>
    <n v="0"/>
    <n v="0"/>
    <n v="109733.55"/>
    <n v="192980.55"/>
    <n v="109733.55"/>
    <n v="0"/>
    <n v="0"/>
    <n v="0"/>
    <n v="0"/>
    <n v="109733.55"/>
    <n v="192980.55"/>
  </r>
  <r>
    <n v="4852897158"/>
    <s v="Ransell"/>
    <s v="Spira"/>
    <x v="878"/>
    <x v="2"/>
    <n v="86963"/>
    <n v="14"/>
    <x v="878"/>
    <n v="750000"/>
    <n v="937500"/>
    <n v="1125000"/>
    <n v="1500000"/>
    <n v="0.73067199999999999"/>
    <s v="0-100%"/>
    <n v="82200.599999999991"/>
    <n v="0"/>
    <n v="0"/>
    <n v="0"/>
    <n v="0"/>
    <n v="82200.599999999991"/>
    <n v="169163.59999999998"/>
    <n v="82200.599999999991"/>
    <n v="0"/>
    <n v="0"/>
    <n v="0"/>
    <n v="0"/>
    <n v="82200.599999999991"/>
    <n v="169163.59999999998"/>
  </r>
  <r>
    <n v="1489889981"/>
    <s v="Christye"/>
    <s v="Spraging"/>
    <x v="879"/>
    <x v="2"/>
    <n v="108981"/>
    <n v="14"/>
    <x v="879"/>
    <n v="750000"/>
    <n v="937500"/>
    <n v="1125000"/>
    <n v="1500000"/>
    <n v="0.59925600000000001"/>
    <s v="0-100%"/>
    <n v="67416.3"/>
    <n v="0"/>
    <n v="0"/>
    <n v="0"/>
    <n v="0"/>
    <n v="67416.3"/>
    <n v="176397.3"/>
    <n v="67416.3"/>
    <n v="0"/>
    <n v="0"/>
    <n v="0"/>
    <n v="0"/>
    <n v="67416.3"/>
    <n v="176397.3"/>
  </r>
  <r>
    <n v="4823073274"/>
    <s v="Shanan"/>
    <s v="St Clair"/>
    <x v="880"/>
    <x v="0"/>
    <n v="62323"/>
    <n v="16"/>
    <x v="880"/>
    <n v="500000"/>
    <n v="625000"/>
    <n v="750000"/>
    <n v="1000000"/>
    <n v="1.2503420000000001"/>
    <s v="125-150%"/>
    <n v="50000"/>
    <n v="18750"/>
    <n v="30.779999999999998"/>
    <n v="0"/>
    <n v="0"/>
    <n v="68780.78"/>
    <n v="131103.78"/>
    <n v="60000"/>
    <n v="21250"/>
    <n v="34.200000000000003"/>
    <n v="0"/>
    <n v="0"/>
    <n v="81284.2"/>
    <n v="143607.20000000001"/>
  </r>
  <r>
    <n v="9491257560"/>
    <s v="Xymenes"/>
    <s v="Stallard"/>
    <x v="881"/>
    <x v="1"/>
    <n v="66363"/>
    <n v="24"/>
    <x v="881"/>
    <n v="600000"/>
    <n v="750000"/>
    <n v="900000"/>
    <n v="1200000"/>
    <n v="1.4366733333333332"/>
    <s v="125-150%"/>
    <n v="78000"/>
    <n v="28500"/>
    <n v="25760.920000000002"/>
    <n v="0"/>
    <n v="0"/>
    <n v="132260.92000000001"/>
    <n v="198623.92"/>
    <n v="90000"/>
    <n v="27000"/>
    <n v="28001"/>
    <n v="0"/>
    <n v="0"/>
    <n v="145001"/>
    <n v="211364"/>
  </r>
  <r>
    <n v="4475496373"/>
    <s v="Tobe"/>
    <s v="Standen"/>
    <x v="882"/>
    <x v="2"/>
    <n v="110155"/>
    <n v="13"/>
    <x v="882"/>
    <n v="750000"/>
    <n v="937500"/>
    <n v="1125000"/>
    <n v="1500000"/>
    <n v="0.70635199999999998"/>
    <s v="0-100%"/>
    <n v="79464.599999999991"/>
    <n v="0"/>
    <n v="0"/>
    <n v="0"/>
    <n v="0"/>
    <n v="79464.599999999991"/>
    <n v="189619.59999999998"/>
    <n v="79464.599999999991"/>
    <n v="0"/>
    <n v="0"/>
    <n v="0"/>
    <n v="0"/>
    <n v="79464.599999999991"/>
    <n v="189619.59999999998"/>
  </r>
  <r>
    <n v="9151658844"/>
    <s v="Derry"/>
    <s v="Staniforth"/>
    <x v="883"/>
    <x v="1"/>
    <n v="50141"/>
    <n v="25"/>
    <x v="883"/>
    <n v="600000"/>
    <n v="750000"/>
    <n v="900000"/>
    <n v="1200000"/>
    <n v="1.6992350000000001"/>
    <s v="150-200%"/>
    <n v="78000"/>
    <n v="28500"/>
    <n v="34500"/>
    <n v="35862.299999999996"/>
    <n v="0"/>
    <n v="176862.3"/>
    <n v="227003.3"/>
    <n v="90000"/>
    <n v="27000"/>
    <n v="37500"/>
    <n v="35862.299999999996"/>
    <n v="0"/>
    <n v="190362.3"/>
    <n v="240503.3"/>
  </r>
  <r>
    <n v="2237103631"/>
    <s v="Filip"/>
    <s v="Stellman"/>
    <x v="884"/>
    <x v="1"/>
    <n v="69026"/>
    <n v="23"/>
    <x v="884"/>
    <n v="600000"/>
    <n v="750000"/>
    <n v="900000"/>
    <n v="1200000"/>
    <n v="1.4102749999999999"/>
    <s v="125-150%"/>
    <n v="78000"/>
    <n v="28500"/>
    <n v="22117.95"/>
    <n v="0"/>
    <n v="0"/>
    <n v="128617.95"/>
    <n v="197643.95"/>
    <n v="90000"/>
    <n v="27000"/>
    <n v="24041.25"/>
    <n v="0"/>
    <n v="0"/>
    <n v="141041.25"/>
    <n v="210067.25"/>
  </r>
  <r>
    <n v="5142790693"/>
    <s v="Agace"/>
    <s v="Sterry"/>
    <x v="885"/>
    <x v="2"/>
    <n v="96841"/>
    <n v="20"/>
    <x v="885"/>
    <n v="750000"/>
    <n v="937500"/>
    <n v="1125000"/>
    <n v="1500000"/>
    <n v="0.94010400000000005"/>
    <s v="0-100%"/>
    <n v="105761.7"/>
    <n v="0"/>
    <n v="0"/>
    <n v="0"/>
    <n v="0"/>
    <n v="105761.7"/>
    <n v="202602.7"/>
    <n v="105761.7"/>
    <n v="0"/>
    <n v="0"/>
    <n v="0"/>
    <n v="0"/>
    <n v="105761.7"/>
    <n v="202602.7"/>
  </r>
  <r>
    <n v="5358183647"/>
    <s v="Sibeal"/>
    <s v="Stirman"/>
    <x v="886"/>
    <x v="2"/>
    <n v="87403"/>
    <n v="28"/>
    <x v="886"/>
    <n v="750000"/>
    <n v="937500"/>
    <n v="1125000"/>
    <n v="1500000"/>
    <n v="1.2642439999999999"/>
    <s v="125-150%"/>
    <n v="112500"/>
    <n v="28125"/>
    <n v="1922.9399999999998"/>
    <n v="0"/>
    <n v="0"/>
    <n v="142547.94"/>
    <n v="229950.94"/>
    <n v="112500"/>
    <n v="41250"/>
    <n v="2670.75"/>
    <n v="0"/>
    <n v="0"/>
    <n v="156420.75"/>
    <n v="243823.75"/>
  </r>
  <r>
    <n v="3843300291"/>
    <s v="Bridgette"/>
    <s v="Stivers"/>
    <x v="887"/>
    <x v="1"/>
    <n v="64631"/>
    <n v="22"/>
    <x v="887"/>
    <n v="600000"/>
    <n v="750000"/>
    <n v="900000"/>
    <n v="1200000"/>
    <n v="1.2067266666666667"/>
    <s v="100-125%"/>
    <n v="78000"/>
    <n v="23566.84"/>
    <n v="0"/>
    <n v="0"/>
    <n v="0"/>
    <n v="101566.84"/>
    <n v="166197.84"/>
    <n v="90000"/>
    <n v="22326.48"/>
    <n v="0"/>
    <n v="0"/>
    <n v="0"/>
    <n v="112326.48"/>
    <n v="176957.47999999998"/>
  </r>
  <r>
    <n v="3266408608"/>
    <s v="Lyle"/>
    <s v="Stoyles"/>
    <x v="888"/>
    <x v="1"/>
    <n v="73542"/>
    <n v="19"/>
    <x v="888"/>
    <n v="600000"/>
    <n v="750000"/>
    <n v="900000"/>
    <n v="1200000"/>
    <n v="1.1550816666666666"/>
    <s v="100-125%"/>
    <n v="78000"/>
    <n v="15818.330000000002"/>
    <n v="0"/>
    <n v="0"/>
    <n v="0"/>
    <n v="93818.33"/>
    <n v="167360.33000000002"/>
    <n v="90000"/>
    <n v="16748.82"/>
    <n v="0"/>
    <n v="0"/>
    <n v="0"/>
    <n v="106748.82"/>
    <n v="180290.82"/>
  </r>
  <r>
    <n v="6235447353"/>
    <s v="Horton"/>
    <s v="Stretton"/>
    <x v="889"/>
    <x v="0"/>
    <n v="35661"/>
    <n v="24"/>
    <x v="889"/>
    <n v="500000"/>
    <n v="625000"/>
    <n v="750000"/>
    <n v="1000000"/>
    <n v="1.7977300000000001"/>
    <s v="150-200%"/>
    <n v="50000"/>
    <n v="21250"/>
    <n v="26250"/>
    <n v="38704.9"/>
    <n v="0"/>
    <n v="136204.9"/>
    <n v="171865.9"/>
    <n v="60000"/>
    <n v="21250"/>
    <n v="25000"/>
    <n v="32750.3"/>
    <n v="0"/>
    <n v="139000.29999999999"/>
    <n v="174661.3"/>
  </r>
  <r>
    <n v="9603610356"/>
    <s v="Reggie"/>
    <s v="Striker"/>
    <x v="890"/>
    <x v="1"/>
    <n v="52759"/>
    <n v="8"/>
    <x v="890"/>
    <n v="600000"/>
    <n v="750000"/>
    <n v="900000"/>
    <n v="1200000"/>
    <n v="0.38289499999999999"/>
    <s v="0-100%"/>
    <n v="29865.81"/>
    <n v="0"/>
    <n v="0"/>
    <n v="0"/>
    <n v="0"/>
    <n v="29865.81"/>
    <n v="82624.81"/>
    <n v="34460.549999999996"/>
    <n v="0"/>
    <n v="0"/>
    <n v="0"/>
    <n v="0"/>
    <n v="34460.549999999996"/>
    <n v="87219.549999999988"/>
  </r>
  <r>
    <n v="7794042674"/>
    <s v="Huey"/>
    <s v="Strognell"/>
    <x v="891"/>
    <x v="0"/>
    <n v="48616"/>
    <n v="26"/>
    <x v="891"/>
    <n v="500000"/>
    <n v="625000"/>
    <n v="750000"/>
    <n v="1000000"/>
    <n v="1.874546"/>
    <s v="150-200%"/>
    <n v="50000"/>
    <n v="23750"/>
    <n v="28750"/>
    <n v="56181.9"/>
    <n v="0"/>
    <n v="158681.9"/>
    <n v="207297.9"/>
    <n v="60000"/>
    <n v="21250"/>
    <n v="25000"/>
    <n v="41200.06"/>
    <n v="0"/>
    <n v="147450.06"/>
    <n v="196066.06"/>
  </r>
  <r>
    <n v="9096285417"/>
    <s v="Giorgio"/>
    <s v="Suett"/>
    <x v="892"/>
    <x v="0"/>
    <n v="34150"/>
    <n v="22"/>
    <x v="892"/>
    <n v="500000"/>
    <n v="625000"/>
    <n v="750000"/>
    <n v="1000000"/>
    <n v="1.796122"/>
    <s v="150-200%"/>
    <n v="50000"/>
    <n v="23750"/>
    <n v="28750"/>
    <n v="44418.299999999996"/>
    <n v="0"/>
    <n v="146918.29999999999"/>
    <n v="181068.3"/>
    <n v="60000"/>
    <n v="21250"/>
    <n v="25000"/>
    <n v="32573.420000000002"/>
    <n v="0"/>
    <n v="138823.42000000001"/>
    <n v="172973.42"/>
  </r>
  <r>
    <n v="4192879565"/>
    <s v="Aubrey"/>
    <s v="Suthren"/>
    <x v="893"/>
    <x v="1"/>
    <n v="57704"/>
    <n v="17"/>
    <x v="893"/>
    <n v="600000"/>
    <n v="750000"/>
    <n v="900000"/>
    <n v="1200000"/>
    <n v="0.81332333333333329"/>
    <s v="0-100%"/>
    <n v="63439.22"/>
    <n v="0"/>
    <n v="0"/>
    <n v="0"/>
    <n v="0"/>
    <n v="63439.22"/>
    <n v="121143.22"/>
    <n v="73199.099999999991"/>
    <n v="0"/>
    <n v="0"/>
    <n v="0"/>
    <n v="0"/>
    <n v="73199.099999999991"/>
    <n v="130903.09999999999"/>
  </r>
  <r>
    <n v="650049144"/>
    <s v="Zaneta"/>
    <s v="Swaddle"/>
    <x v="894"/>
    <x v="0"/>
    <n v="42284"/>
    <n v="21"/>
    <x v="894"/>
    <n v="500000"/>
    <n v="625000"/>
    <n v="750000"/>
    <n v="1000000"/>
    <n v="1.371416"/>
    <s v="125-150%"/>
    <n v="50000"/>
    <n v="21250"/>
    <n v="12748.68"/>
    <n v="0"/>
    <n v="0"/>
    <n v="83998.68"/>
    <n v="126282.68"/>
    <n v="60000"/>
    <n v="21250"/>
    <n v="12141.6"/>
    <n v="0"/>
    <n v="0"/>
    <n v="93391.6"/>
    <n v="135675.6"/>
  </r>
  <r>
    <n v="2117567142"/>
    <s v="Jami"/>
    <s v="Swinbourne"/>
    <x v="895"/>
    <x v="1"/>
    <n v="50931"/>
    <n v="21"/>
    <x v="895"/>
    <n v="600000"/>
    <n v="750000"/>
    <n v="900000"/>
    <n v="1200000"/>
    <n v="1.2350216666666667"/>
    <s v="100-125%"/>
    <n v="78000"/>
    <n v="23972.210000000003"/>
    <n v="0"/>
    <n v="0"/>
    <n v="0"/>
    <n v="101972.21"/>
    <n v="152903.21000000002"/>
    <n v="90000"/>
    <n v="25382.34"/>
    <n v="0"/>
    <n v="0"/>
    <n v="0"/>
    <n v="115382.34"/>
    <n v="166313.34"/>
  </r>
  <r>
    <n v="8482007106"/>
    <s v="Obadiah"/>
    <s v="Swinnard"/>
    <x v="896"/>
    <x v="2"/>
    <n v="80762"/>
    <n v="19"/>
    <x v="896"/>
    <n v="750000"/>
    <n v="937500"/>
    <n v="1125000"/>
    <n v="1500000"/>
    <n v="0.89663466666666669"/>
    <s v="0-100%"/>
    <n v="100871.4"/>
    <n v="0"/>
    <n v="0"/>
    <n v="0"/>
    <n v="0"/>
    <n v="100871.4"/>
    <n v="181633.4"/>
    <n v="100871.4"/>
    <n v="0"/>
    <n v="0"/>
    <n v="0"/>
    <n v="0"/>
    <n v="100871.4"/>
    <n v="181633.4"/>
  </r>
  <r>
    <n v="1839046880"/>
    <s v="Leticia"/>
    <s v="Szymanzyk"/>
    <x v="897"/>
    <x v="0"/>
    <n v="64858"/>
    <n v="14"/>
    <x v="897"/>
    <n v="500000"/>
    <n v="625000"/>
    <n v="750000"/>
    <n v="1000000"/>
    <n v="0.76100400000000001"/>
    <s v="0-100%"/>
    <n v="38050.200000000004"/>
    <n v="0"/>
    <n v="0"/>
    <n v="0"/>
    <n v="0"/>
    <n v="38050.200000000004"/>
    <n v="102908.20000000001"/>
    <n v="45660.24"/>
    <n v="0"/>
    <n v="0"/>
    <n v="0"/>
    <n v="0"/>
    <n v="45660.24"/>
    <n v="110518.23999999999"/>
  </r>
  <r>
    <n v="5064247826"/>
    <s v="Yuri"/>
    <s v="Tampin"/>
    <x v="898"/>
    <x v="2"/>
    <n v="91225"/>
    <n v="22"/>
    <x v="898"/>
    <n v="750000"/>
    <n v="937500"/>
    <n v="1125000"/>
    <n v="1500000"/>
    <n v="1.1603159999999999"/>
    <s v="100-125%"/>
    <n v="112500"/>
    <n v="18035.55"/>
    <n v="0"/>
    <n v="0"/>
    <n v="0"/>
    <n v="130535.55"/>
    <n v="221760.55"/>
    <n v="112500"/>
    <n v="26452.14"/>
    <n v="0"/>
    <n v="0"/>
    <n v="0"/>
    <n v="138952.14000000001"/>
    <n v="230177.14"/>
  </r>
  <r>
    <n v="3271497702"/>
    <s v="Lammond"/>
    <s v="Tangye"/>
    <x v="899"/>
    <x v="2"/>
    <n v="86830"/>
    <n v="18"/>
    <x v="899"/>
    <n v="750000"/>
    <n v="937500"/>
    <n v="1125000"/>
    <n v="1500000"/>
    <n v="0.87200133333333329"/>
    <s v="0-100%"/>
    <n v="98100.15"/>
    <n v="0"/>
    <n v="0"/>
    <n v="0"/>
    <n v="0"/>
    <n v="98100.15"/>
    <n v="184930.15"/>
    <n v="98100.15"/>
    <n v="0"/>
    <n v="0"/>
    <n v="0"/>
    <n v="0"/>
    <n v="98100.15"/>
    <n v="184930.15"/>
  </r>
  <r>
    <n v="8187246642"/>
    <s v="Otha"/>
    <s v="Tappor"/>
    <x v="900"/>
    <x v="1"/>
    <n v="59840"/>
    <n v="19"/>
    <x v="900"/>
    <n v="600000"/>
    <n v="750000"/>
    <n v="900000"/>
    <n v="1200000"/>
    <n v="1.1228566666666666"/>
    <s v="100-125%"/>
    <n v="78000"/>
    <n v="12531.380000000001"/>
    <n v="0"/>
    <n v="0"/>
    <n v="0"/>
    <n v="90531.38"/>
    <n v="150371.38"/>
    <n v="90000"/>
    <n v="13268.519999999999"/>
    <n v="0"/>
    <n v="0"/>
    <n v="0"/>
    <n v="103268.52"/>
    <n v="163108.52000000002"/>
  </r>
  <r>
    <n v="7039995972"/>
    <s v="Della"/>
    <s v="Tapson"/>
    <x v="901"/>
    <x v="1"/>
    <n v="56729"/>
    <n v="24"/>
    <x v="901"/>
    <n v="600000"/>
    <n v="750000"/>
    <n v="900000"/>
    <n v="1200000"/>
    <n v="1.437945"/>
    <s v="125-150%"/>
    <n v="78000"/>
    <n v="22500"/>
    <n v="20298.059999999998"/>
    <n v="0"/>
    <n v="0"/>
    <n v="120798.06"/>
    <n v="177527.06"/>
    <n v="90000"/>
    <n v="27000"/>
    <n v="28191.75"/>
    <n v="0"/>
    <n v="0"/>
    <n v="145191.75"/>
    <n v="201920.75"/>
  </r>
  <r>
    <n v="4718207207"/>
    <s v="Lefty"/>
    <s v="Tatteshall"/>
    <x v="902"/>
    <x v="1"/>
    <n v="54302"/>
    <n v="22"/>
    <x v="902"/>
    <n v="600000"/>
    <n v="750000"/>
    <n v="900000"/>
    <n v="1200000"/>
    <n v="1.2533233333333333"/>
    <s v="125-150%"/>
    <n v="78000"/>
    <n v="28500"/>
    <n v="458.62"/>
    <n v="0"/>
    <n v="0"/>
    <n v="106958.62"/>
    <n v="161260.62"/>
    <n v="90000"/>
    <n v="27000"/>
    <n v="498.5"/>
    <n v="0"/>
    <n v="0"/>
    <n v="117498.5"/>
    <n v="171800.5"/>
  </r>
  <r>
    <n v="3013094990"/>
    <s v="Wendel"/>
    <s v="Taudevin"/>
    <x v="903"/>
    <x v="0"/>
    <n v="58874"/>
    <n v="11"/>
    <x v="903"/>
    <n v="500000"/>
    <n v="625000"/>
    <n v="750000"/>
    <n v="1000000"/>
    <n v="0.81937800000000005"/>
    <s v="0-100%"/>
    <n v="40968.9"/>
    <n v="0"/>
    <n v="0"/>
    <n v="0"/>
    <n v="0"/>
    <n v="40968.9"/>
    <n v="99842.9"/>
    <n v="49162.68"/>
    <n v="0"/>
    <n v="0"/>
    <n v="0"/>
    <n v="0"/>
    <n v="49162.68"/>
    <n v="108036.68"/>
  </r>
  <r>
    <n v="8315800957"/>
    <s v="Laural"/>
    <s v="Teasey"/>
    <x v="904"/>
    <x v="0"/>
    <n v="54445"/>
    <n v="19"/>
    <x v="904"/>
    <n v="500000"/>
    <n v="625000"/>
    <n v="750000"/>
    <n v="1000000"/>
    <n v="1.5121100000000001"/>
    <s v="150-200%"/>
    <n v="50000"/>
    <n v="23750"/>
    <n v="28750"/>
    <n v="1816.5"/>
    <n v="0"/>
    <n v="104316.5"/>
    <n v="158761.5"/>
    <n v="60000"/>
    <n v="21250"/>
    <n v="25000"/>
    <n v="1332.1"/>
    <n v="0"/>
    <n v="107582.1"/>
    <n v="162027.1"/>
  </r>
  <r>
    <n v="7273123196"/>
    <s v="Pet"/>
    <s v="Tellenbrook"/>
    <x v="905"/>
    <x v="2"/>
    <n v="83514"/>
    <n v="24"/>
    <x v="905"/>
    <n v="750000"/>
    <n v="937500"/>
    <n v="1125000"/>
    <n v="1500000"/>
    <n v="1.1221373333333333"/>
    <s v="100-125%"/>
    <n v="112500"/>
    <n v="17404.57"/>
    <n v="0"/>
    <n v="0"/>
    <n v="0"/>
    <n v="129904.57"/>
    <n v="213418.57"/>
    <n v="112500"/>
    <n v="20152.66"/>
    <n v="0"/>
    <n v="0"/>
    <n v="0"/>
    <n v="132652.66"/>
    <n v="216166.66"/>
  </r>
  <r>
    <n v="2885061928"/>
    <s v="Cletis"/>
    <s v="Temlett"/>
    <x v="906"/>
    <x v="2"/>
    <n v="104981"/>
    <n v="27"/>
    <x v="906"/>
    <n v="750000"/>
    <n v="937500"/>
    <n v="1125000"/>
    <n v="1500000"/>
    <n v="1.2820533333333333"/>
    <s v="125-150%"/>
    <n v="112500"/>
    <n v="35625"/>
    <n v="5529.2"/>
    <n v="0"/>
    <n v="0"/>
    <n v="153654.20000000001"/>
    <n v="258635.2"/>
    <n v="112500"/>
    <n v="41250"/>
    <n v="6010"/>
    <n v="0"/>
    <n v="0"/>
    <n v="159760"/>
    <n v="264741"/>
  </r>
  <r>
    <n v="1657097021"/>
    <s v="Lotta"/>
    <s v="Thoresbie"/>
    <x v="907"/>
    <x v="0"/>
    <n v="50269"/>
    <n v="21"/>
    <x v="907"/>
    <n v="500000"/>
    <n v="625000"/>
    <n v="750000"/>
    <n v="1000000"/>
    <n v="1.6620360000000001"/>
    <s v="150-200%"/>
    <n v="50000"/>
    <n v="21250"/>
    <n v="26250"/>
    <n v="21064.68"/>
    <n v="0"/>
    <n v="118564.68"/>
    <n v="168833.68"/>
    <n v="60000"/>
    <n v="21250"/>
    <n v="25000"/>
    <n v="17823.96"/>
    <n v="0"/>
    <n v="124073.95999999999"/>
    <n v="174342.96"/>
  </r>
  <r>
    <n v="2136806068"/>
    <s v="Chan"/>
    <s v="Thorwarth"/>
    <x v="908"/>
    <x v="1"/>
    <n v="75616"/>
    <n v="13"/>
    <x v="908"/>
    <n v="600000"/>
    <n v="750000"/>
    <n v="900000"/>
    <n v="1200000"/>
    <n v="0.79678166666666672"/>
    <s v="0-100%"/>
    <n v="62148.97"/>
    <n v="0"/>
    <n v="0"/>
    <n v="0"/>
    <n v="0"/>
    <n v="62148.97"/>
    <n v="137764.97"/>
    <n v="71710.349999999991"/>
    <n v="0"/>
    <n v="0"/>
    <n v="0"/>
    <n v="0"/>
    <n v="71710.349999999991"/>
    <n v="147326.34999999998"/>
  </r>
  <r>
    <n v="1990335721"/>
    <s v="Garey"/>
    <s v="Thow"/>
    <x v="909"/>
    <x v="1"/>
    <n v="54491"/>
    <n v="20"/>
    <x v="909"/>
    <n v="600000"/>
    <n v="750000"/>
    <n v="900000"/>
    <n v="1200000"/>
    <n v="1.2044666666666666"/>
    <s v="100-125%"/>
    <n v="78000"/>
    <n v="20855.600000000002"/>
    <n v="0"/>
    <n v="0"/>
    <n v="0"/>
    <n v="98855.6"/>
    <n v="153346.6"/>
    <n v="90000"/>
    <n v="22082.399999999998"/>
    <n v="0"/>
    <n v="0"/>
    <n v="0"/>
    <n v="112082.4"/>
    <n v="166573.4"/>
  </r>
  <r>
    <n v="5726465660"/>
    <s v="Abdul"/>
    <s v="Thunnerclef"/>
    <x v="910"/>
    <x v="1"/>
    <n v="60233"/>
    <n v="22"/>
    <x v="910"/>
    <n v="600000"/>
    <n v="750000"/>
    <n v="900000"/>
    <n v="1200000"/>
    <n v="1.3321866666666666"/>
    <s v="125-150%"/>
    <n v="78000"/>
    <n v="28500"/>
    <n v="11341.76"/>
    <n v="0"/>
    <n v="0"/>
    <n v="117841.76"/>
    <n v="178074.76"/>
    <n v="90000"/>
    <n v="27000"/>
    <n v="12328"/>
    <n v="0"/>
    <n v="0"/>
    <n v="129328"/>
    <n v="189561"/>
  </r>
  <r>
    <n v="1598957961"/>
    <s v="Mil"/>
    <s v="Tichelaar"/>
    <x v="911"/>
    <x v="2"/>
    <n v="75679"/>
    <n v="30"/>
    <x v="911"/>
    <n v="750000"/>
    <n v="937500"/>
    <n v="1125000"/>
    <n v="1500000"/>
    <n v="1.5245986666666667"/>
    <s v="150-200%"/>
    <n v="112500"/>
    <n v="35625"/>
    <n v="43125"/>
    <n v="5534.7"/>
    <n v="0"/>
    <n v="196784.7"/>
    <n v="272463.7"/>
    <n v="112500"/>
    <n v="41250"/>
    <n v="46875"/>
    <n v="6088.17"/>
    <n v="0"/>
    <n v="206713.17"/>
    <n v="282392.17000000004"/>
  </r>
  <r>
    <n v="4328154427"/>
    <s v="Christabella"/>
    <s v="Timblett"/>
    <x v="912"/>
    <x v="0"/>
    <n v="34691"/>
    <n v="20"/>
    <x v="912"/>
    <n v="500000"/>
    <n v="625000"/>
    <n v="750000"/>
    <n v="1000000"/>
    <n v="1.2741439999999999"/>
    <s v="125-150%"/>
    <n v="50000"/>
    <n v="23750"/>
    <n v="2776.56"/>
    <n v="0"/>
    <n v="0"/>
    <n v="76526.559999999998"/>
    <n v="111217.56"/>
    <n v="60000"/>
    <n v="21250"/>
    <n v="2414.4"/>
    <n v="0"/>
    <n v="0"/>
    <n v="83664.399999999994"/>
    <n v="118355.4"/>
  </r>
  <r>
    <n v="5241020535"/>
    <s v="Meara"/>
    <s v="Timmis"/>
    <x v="913"/>
    <x v="0"/>
    <n v="38828"/>
    <n v="25"/>
    <x v="913"/>
    <n v="500000"/>
    <n v="625000"/>
    <n v="750000"/>
    <n v="1000000"/>
    <n v="1.727428"/>
    <s v="150-200%"/>
    <n v="50000"/>
    <n v="23750"/>
    <n v="28750"/>
    <n v="34114.199999999997"/>
    <n v="0"/>
    <n v="136614.20000000001"/>
    <n v="175442.2"/>
    <n v="60000"/>
    <n v="21250"/>
    <n v="25000"/>
    <n v="25017.08"/>
    <n v="0"/>
    <n v="131267.08000000002"/>
    <n v="170095.08000000002"/>
  </r>
  <r>
    <n v="9547713507"/>
    <s v="Darwin"/>
    <s v="Tinsley"/>
    <x v="914"/>
    <x v="2"/>
    <n v="80591"/>
    <n v="19"/>
    <x v="914"/>
    <n v="750000"/>
    <n v="937500"/>
    <n v="1125000"/>
    <n v="1500000"/>
    <n v="1.0170133333333333"/>
    <s v="100-125%"/>
    <n v="112500"/>
    <n v="2169.2000000000003"/>
    <n v="0"/>
    <n v="0"/>
    <n v="0"/>
    <n v="114669.2"/>
    <n v="195260.2"/>
    <n v="112500"/>
    <n v="2807.2"/>
    <n v="0"/>
    <n v="0"/>
    <n v="0"/>
    <n v="115307.2"/>
    <n v="195898.2"/>
  </r>
  <r>
    <n v="1923178164"/>
    <s v="Erroll"/>
    <s v="Tirkin"/>
    <x v="915"/>
    <x v="2"/>
    <n v="111852"/>
    <n v="18"/>
    <x v="915"/>
    <n v="750000"/>
    <n v="937500"/>
    <n v="1125000"/>
    <n v="1500000"/>
    <n v="0.8072853333333333"/>
    <s v="0-100%"/>
    <n v="90819.599999999991"/>
    <n v="0"/>
    <n v="0"/>
    <n v="0"/>
    <n v="0"/>
    <n v="90819.599999999991"/>
    <n v="202671.59999999998"/>
    <n v="90819.599999999991"/>
    <n v="0"/>
    <n v="0"/>
    <n v="0"/>
    <n v="0"/>
    <n v="90819.599999999991"/>
    <n v="202671.59999999998"/>
  </r>
  <r>
    <n v="6915102108"/>
    <s v="Kit"/>
    <s v="Tivolier"/>
    <x v="916"/>
    <x v="2"/>
    <n v="84051"/>
    <n v="21"/>
    <x v="916"/>
    <n v="750000"/>
    <n v="937500"/>
    <n v="1125000"/>
    <n v="1500000"/>
    <n v="0.94377200000000006"/>
    <s v="0-100%"/>
    <n v="106174.34999999999"/>
    <n v="0"/>
    <n v="0"/>
    <n v="0"/>
    <n v="0"/>
    <n v="106174.34999999999"/>
    <n v="190225.34999999998"/>
    <n v="106174.34999999999"/>
    <n v="0"/>
    <n v="0"/>
    <n v="0"/>
    <n v="0"/>
    <n v="106174.34999999999"/>
    <n v="190225.34999999998"/>
  </r>
  <r>
    <n v="9855833406"/>
    <s v="Giffer"/>
    <s v="Toke"/>
    <x v="917"/>
    <x v="2"/>
    <n v="78771"/>
    <n v="14"/>
    <x v="917"/>
    <n v="750000"/>
    <n v="937500"/>
    <n v="1125000"/>
    <n v="1500000"/>
    <n v="0.6755026666666667"/>
    <s v="0-100%"/>
    <n v="75994.05"/>
    <n v="0"/>
    <n v="0"/>
    <n v="0"/>
    <n v="0"/>
    <n v="75994.05"/>
    <n v="154765.04999999999"/>
    <n v="75994.05"/>
    <n v="0"/>
    <n v="0"/>
    <n v="0"/>
    <n v="0"/>
    <n v="75994.05"/>
    <n v="154765.04999999999"/>
  </r>
  <r>
    <n v="2234966051"/>
    <s v="Vania"/>
    <s v="Tolefree"/>
    <x v="918"/>
    <x v="2"/>
    <n v="100058"/>
    <n v="21"/>
    <x v="918"/>
    <n v="750000"/>
    <n v="937500"/>
    <n v="1125000"/>
    <n v="1500000"/>
    <n v="0.93330133333333332"/>
    <s v="0-100%"/>
    <n v="104996.4"/>
    <n v="0"/>
    <n v="0"/>
    <n v="0"/>
    <n v="0"/>
    <n v="104996.4"/>
    <n v="205054.4"/>
    <n v="104996.4"/>
    <n v="0"/>
    <n v="0"/>
    <n v="0"/>
    <n v="0"/>
    <n v="104996.4"/>
    <n v="205054.4"/>
  </r>
  <r>
    <n v="6596440737"/>
    <s v="Bryn"/>
    <s v="Tomas"/>
    <x v="919"/>
    <x v="0"/>
    <n v="34438"/>
    <n v="27"/>
    <x v="919"/>
    <n v="500000"/>
    <n v="625000"/>
    <n v="750000"/>
    <n v="1000000"/>
    <n v="1.830438"/>
    <s v="150-200%"/>
    <n v="50000"/>
    <n v="21250"/>
    <n v="26250"/>
    <n v="42956.94"/>
    <n v="0"/>
    <n v="140456.94"/>
    <n v="174894.94"/>
    <n v="60000"/>
    <n v="21250"/>
    <n v="25000"/>
    <n v="36348.18"/>
    <n v="0"/>
    <n v="142598.18"/>
    <n v="177036.18"/>
  </r>
  <r>
    <n v="3569414450"/>
    <s v="Brade"/>
    <s v="Torn"/>
    <x v="920"/>
    <x v="0"/>
    <n v="42780"/>
    <n v="21"/>
    <x v="920"/>
    <n v="500000"/>
    <n v="625000"/>
    <n v="750000"/>
    <n v="1000000"/>
    <n v="1.4305699999999999"/>
    <s v="125-150%"/>
    <n v="50000"/>
    <n v="21250"/>
    <n v="18959.849999999999"/>
    <n v="0"/>
    <n v="0"/>
    <n v="90209.85"/>
    <n v="132989.85"/>
    <n v="60000"/>
    <n v="21250"/>
    <n v="18057"/>
    <n v="0"/>
    <n v="0"/>
    <n v="99307"/>
    <n v="142087"/>
  </r>
  <r>
    <n v="6214787945"/>
    <s v="Ruthi"/>
    <s v="Torrance"/>
    <x v="921"/>
    <x v="1"/>
    <n v="63850"/>
    <n v="19"/>
    <x v="921"/>
    <n v="600000"/>
    <n v="750000"/>
    <n v="900000"/>
    <n v="1200000"/>
    <n v="1.2398400000000001"/>
    <s v="100-125%"/>
    <n v="78000"/>
    <n v="24463.68"/>
    <n v="0"/>
    <n v="0"/>
    <n v="0"/>
    <n v="102463.67999999999"/>
    <n v="166313.68"/>
    <n v="90000"/>
    <n v="25902.719999999998"/>
    <n v="0"/>
    <n v="0"/>
    <n v="0"/>
    <n v="115902.72"/>
    <n v="179752.72"/>
  </r>
  <r>
    <n v="5372344725"/>
    <s v="Brewer"/>
    <s v="Torres"/>
    <x v="922"/>
    <x v="0"/>
    <n v="42683"/>
    <n v="19"/>
    <x v="922"/>
    <n v="500000"/>
    <n v="625000"/>
    <n v="750000"/>
    <n v="1000000"/>
    <n v="1.5250319999999999"/>
    <s v="150-200%"/>
    <n v="50000"/>
    <n v="21250"/>
    <n v="26250"/>
    <n v="3254.1600000000003"/>
    <n v="0"/>
    <n v="100754.16"/>
    <n v="143437.16"/>
    <n v="60000"/>
    <n v="21250"/>
    <n v="25000"/>
    <n v="2753.52"/>
    <n v="0"/>
    <n v="109003.52"/>
    <n v="151686.52000000002"/>
  </r>
  <r>
    <n v="2493113470"/>
    <s v="Baxter"/>
    <s v="Toulamain"/>
    <x v="923"/>
    <x v="1"/>
    <n v="62403"/>
    <n v="23"/>
    <x v="923"/>
    <n v="600000"/>
    <n v="750000"/>
    <n v="900000"/>
    <n v="1200000"/>
    <n v="1.2982633333333333"/>
    <s v="125-150%"/>
    <n v="78000"/>
    <n v="22500"/>
    <n v="5212.4399999999996"/>
    <n v="0"/>
    <n v="0"/>
    <n v="105712.44"/>
    <n v="168115.44"/>
    <n v="90000"/>
    <n v="27000"/>
    <n v="7239.5"/>
    <n v="0"/>
    <n v="0"/>
    <n v="124239.5"/>
    <n v="186642.5"/>
  </r>
  <r>
    <n v="2649428619"/>
    <s v="Lyn"/>
    <s v="Trewett"/>
    <x v="924"/>
    <x v="1"/>
    <n v="73372"/>
    <n v="14"/>
    <x v="924"/>
    <n v="600000"/>
    <n v="750000"/>
    <n v="900000"/>
    <n v="1200000"/>
    <n v="0.73483333333333334"/>
    <s v="0-100%"/>
    <n v="57317"/>
    <n v="0"/>
    <n v="0"/>
    <n v="0"/>
    <n v="0"/>
    <n v="57317"/>
    <n v="130689"/>
    <n v="66135"/>
    <n v="0"/>
    <n v="0"/>
    <n v="0"/>
    <n v="0"/>
    <n v="66135"/>
    <n v="139507"/>
  </r>
  <r>
    <n v="4689682046"/>
    <s v="Sharline"/>
    <s v="Tribbeck"/>
    <x v="925"/>
    <x v="0"/>
    <n v="61679"/>
    <n v="12"/>
    <x v="925"/>
    <n v="500000"/>
    <n v="625000"/>
    <n v="750000"/>
    <n v="1000000"/>
    <n v="0.74480999999999997"/>
    <s v="0-100%"/>
    <n v="37240.5"/>
    <n v="0"/>
    <n v="0"/>
    <n v="0"/>
    <n v="0"/>
    <n v="37240.5"/>
    <n v="98919.5"/>
    <n v="44688.6"/>
    <n v="0"/>
    <n v="0"/>
    <n v="0"/>
    <n v="0"/>
    <n v="44688.6"/>
    <n v="106367.6"/>
  </r>
  <r>
    <n v="8676088039"/>
    <s v="Norina"/>
    <s v="Truckett"/>
    <x v="926"/>
    <x v="1"/>
    <n v="67203"/>
    <n v="24"/>
    <x v="926"/>
    <n v="600000"/>
    <n v="750000"/>
    <n v="900000"/>
    <n v="1200000"/>
    <n v="1.5387816666666667"/>
    <s v="150-200%"/>
    <n v="78000"/>
    <n v="22500"/>
    <n v="27000"/>
    <n v="5119.18"/>
    <n v="0"/>
    <n v="132619.18"/>
    <n v="199822.18"/>
    <n v="90000"/>
    <n v="27000"/>
    <n v="37500"/>
    <n v="6980.7"/>
    <n v="0"/>
    <n v="161480.70000000001"/>
    <n v="228683.7"/>
  </r>
  <r>
    <n v="8552526727"/>
    <s v="Godard"/>
    <s v="Truett"/>
    <x v="927"/>
    <x v="1"/>
    <n v="57147"/>
    <n v="27"/>
    <x v="927"/>
    <n v="600000"/>
    <n v="750000"/>
    <n v="900000"/>
    <n v="1200000"/>
    <n v="1.6752366666666667"/>
    <s v="150-200%"/>
    <n v="78000"/>
    <n v="22500"/>
    <n v="27000"/>
    <n v="23131.24"/>
    <n v="0"/>
    <n v="150631.24"/>
    <n v="207778.24"/>
    <n v="90000"/>
    <n v="27000"/>
    <n v="37500"/>
    <n v="31542.6"/>
    <n v="0"/>
    <n v="186042.6"/>
    <n v="243189.6"/>
  </r>
  <r>
    <n v="5990182805"/>
    <s v="Malissia"/>
    <s v="Try"/>
    <x v="928"/>
    <x v="1"/>
    <n v="71661"/>
    <n v="13"/>
    <x v="928"/>
    <n v="600000"/>
    <n v="750000"/>
    <n v="900000"/>
    <n v="1200000"/>
    <n v="0.77056500000000006"/>
    <s v="0-100%"/>
    <n v="60104.07"/>
    <n v="0"/>
    <n v="0"/>
    <n v="0"/>
    <n v="0"/>
    <n v="60104.07"/>
    <n v="131765.07"/>
    <n v="69350.849999999991"/>
    <n v="0"/>
    <n v="0"/>
    <n v="0"/>
    <n v="0"/>
    <n v="69350.849999999991"/>
    <n v="141011.84999999998"/>
  </r>
  <r>
    <n v="2480515559"/>
    <s v="Bertie"/>
    <s v="Turpey"/>
    <x v="929"/>
    <x v="2"/>
    <n v="80760"/>
    <n v="27"/>
    <x v="929"/>
    <n v="750000"/>
    <n v="937500"/>
    <n v="1125000"/>
    <n v="1500000"/>
    <n v="1.2390573333333332"/>
    <s v="100-125%"/>
    <n v="112500"/>
    <n v="30479.81"/>
    <n v="0"/>
    <n v="0"/>
    <n v="0"/>
    <n v="142979.81"/>
    <n v="223739.81"/>
    <n v="112500"/>
    <n v="39444.46"/>
    <n v="0"/>
    <n v="0"/>
    <n v="0"/>
    <n v="151944.46"/>
    <n v="232704.46"/>
  </r>
  <r>
    <n v="4074728869"/>
    <s v="Valencia"/>
    <s v="Ubsdale"/>
    <x v="930"/>
    <x v="1"/>
    <n v="72698"/>
    <n v="20"/>
    <x v="930"/>
    <n v="600000"/>
    <n v="750000"/>
    <n v="900000"/>
    <n v="1200000"/>
    <n v="1.3445816666666666"/>
    <s v="125-150%"/>
    <n v="78000"/>
    <n v="25500.000000000004"/>
    <n v="11917.289999999999"/>
    <n v="0"/>
    <n v="0"/>
    <n v="115417.29"/>
    <n v="188115.28999999998"/>
    <n v="90000"/>
    <n v="27000"/>
    <n v="14187.25"/>
    <n v="0"/>
    <n v="0"/>
    <n v="131187.25"/>
    <n v="203885.25"/>
  </r>
  <r>
    <n v="8127128031"/>
    <s v="Adolf"/>
    <s v="Underhill"/>
    <x v="931"/>
    <x v="1"/>
    <n v="77872"/>
    <n v="17"/>
    <x v="931"/>
    <n v="600000"/>
    <n v="750000"/>
    <n v="900000"/>
    <n v="1200000"/>
    <n v="0.8712833333333333"/>
    <s v="0-100%"/>
    <n v="67960.100000000006"/>
    <n v="0"/>
    <n v="0"/>
    <n v="0"/>
    <n v="0"/>
    <n v="67960.100000000006"/>
    <n v="145832.1"/>
    <n v="78415.5"/>
    <n v="0"/>
    <n v="0"/>
    <n v="0"/>
    <n v="0"/>
    <n v="78415.5"/>
    <n v="156287.5"/>
  </r>
  <r>
    <n v="7596173217"/>
    <s v="Auguste"/>
    <s v="Uren"/>
    <x v="932"/>
    <x v="2"/>
    <n v="91764"/>
    <n v="22"/>
    <x v="932"/>
    <n v="750000"/>
    <n v="937500"/>
    <n v="1125000"/>
    <n v="1500000"/>
    <n v="1.0391373333333334"/>
    <s v="100-125%"/>
    <n v="112500"/>
    <n v="5577.07"/>
    <n v="0"/>
    <n v="0"/>
    <n v="0"/>
    <n v="118077.07"/>
    <n v="209841.07"/>
    <n v="112500"/>
    <n v="6457.66"/>
    <n v="0"/>
    <n v="0"/>
    <n v="0"/>
    <n v="118957.66"/>
    <n v="210721.66"/>
  </r>
  <r>
    <n v="2975315244"/>
    <s v="Merrile"/>
    <s v="Urrey"/>
    <x v="933"/>
    <x v="2"/>
    <n v="108445"/>
    <n v="21"/>
    <x v="933"/>
    <n v="750000"/>
    <n v="937500"/>
    <n v="1125000"/>
    <n v="1500000"/>
    <n v="0.99402400000000002"/>
    <s v="0-100%"/>
    <n v="111827.7"/>
    <n v="0"/>
    <n v="0"/>
    <n v="0"/>
    <n v="0"/>
    <n v="111827.7"/>
    <n v="220272.7"/>
    <n v="111827.7"/>
    <n v="0"/>
    <n v="0"/>
    <n v="0"/>
    <n v="0"/>
    <n v="111827.7"/>
    <n v="220272.7"/>
  </r>
  <r>
    <n v="3904109642"/>
    <s v="Carmelle"/>
    <s v="Utridge"/>
    <x v="934"/>
    <x v="0"/>
    <n v="49695"/>
    <n v="16"/>
    <x v="934"/>
    <n v="500000"/>
    <n v="625000"/>
    <n v="750000"/>
    <n v="1000000"/>
    <n v="1.160506"/>
    <s v="100-125%"/>
    <n v="50000"/>
    <n v="13643.01"/>
    <n v="0"/>
    <n v="0"/>
    <n v="0"/>
    <n v="63643.01"/>
    <n v="113338.01000000001"/>
    <n v="60000"/>
    <n v="13643.01"/>
    <n v="0"/>
    <n v="0"/>
    <n v="0"/>
    <n v="73643.009999999995"/>
    <n v="123338.01"/>
  </r>
  <r>
    <n v="7192290785"/>
    <s v="Herrick"/>
    <s v="Utterson"/>
    <x v="935"/>
    <x v="0"/>
    <n v="32187"/>
    <n v="24"/>
    <x v="935"/>
    <n v="500000"/>
    <n v="625000"/>
    <n v="750000"/>
    <n v="1000000"/>
    <n v="1.4441740000000001"/>
    <s v="125-150%"/>
    <n v="50000"/>
    <n v="23750"/>
    <n v="22330.010000000002"/>
    <n v="0"/>
    <n v="0"/>
    <n v="96080.010000000009"/>
    <n v="128267.01000000001"/>
    <n v="60000"/>
    <n v="21250"/>
    <n v="19417.400000000001"/>
    <n v="0"/>
    <n v="0"/>
    <n v="100667.4"/>
    <n v="132854.39999999999"/>
  </r>
  <r>
    <n v="1856596435"/>
    <s v="Waldemar"/>
    <s v="Vaggers"/>
    <x v="936"/>
    <x v="2"/>
    <n v="100859"/>
    <n v="18"/>
    <x v="936"/>
    <n v="750000"/>
    <n v="937500"/>
    <n v="1125000"/>
    <n v="1500000"/>
    <n v="0.77444400000000002"/>
    <s v="0-100%"/>
    <n v="87124.95"/>
    <n v="0"/>
    <n v="0"/>
    <n v="0"/>
    <n v="0"/>
    <n v="87124.95"/>
    <n v="187983.95"/>
    <n v="87124.95"/>
    <n v="0"/>
    <n v="0"/>
    <n v="0"/>
    <n v="0"/>
    <n v="87124.95"/>
    <n v="187983.95"/>
  </r>
  <r>
    <n v="4453315724"/>
    <s v="Farris"/>
    <s v="Valance"/>
    <x v="937"/>
    <x v="1"/>
    <n v="55487"/>
    <n v="22"/>
    <x v="937"/>
    <n v="600000"/>
    <n v="750000"/>
    <n v="900000"/>
    <n v="1200000"/>
    <n v="1.464655"/>
    <s v="125-150%"/>
    <n v="78000"/>
    <n v="22500"/>
    <n v="23182.739999999998"/>
    <n v="0"/>
    <n v="0"/>
    <n v="123682.73999999999"/>
    <n v="179169.74"/>
    <n v="90000"/>
    <n v="27000"/>
    <n v="32198.25"/>
    <n v="0"/>
    <n v="0"/>
    <n v="149198.25"/>
    <n v="204685.25"/>
  </r>
  <r>
    <n v="3891707452"/>
    <s v="Isidoro"/>
    <s v="Vamplers"/>
    <x v="938"/>
    <x v="2"/>
    <n v="90591"/>
    <n v="18"/>
    <x v="938"/>
    <n v="750000"/>
    <n v="937500"/>
    <n v="1125000"/>
    <n v="1500000"/>
    <n v="0.92883733333333329"/>
    <s v="0-100%"/>
    <n v="104494.2"/>
    <n v="0"/>
    <n v="0"/>
    <n v="0"/>
    <n v="0"/>
    <n v="104494.2"/>
    <n v="195085.2"/>
    <n v="104494.2"/>
    <n v="0"/>
    <n v="0"/>
    <n v="0"/>
    <n v="0"/>
    <n v="104494.2"/>
    <n v="195085.2"/>
  </r>
  <r>
    <n v="4037854406"/>
    <s v="Eddy"/>
    <s v="Van Arsdale"/>
    <x v="939"/>
    <x v="1"/>
    <n v="64311"/>
    <n v="23"/>
    <x v="939"/>
    <n v="600000"/>
    <n v="750000"/>
    <n v="900000"/>
    <n v="1200000"/>
    <n v="1.3221849999999999"/>
    <s v="125-150%"/>
    <n v="78000"/>
    <n v="28500"/>
    <n v="9961.5300000000007"/>
    <n v="0"/>
    <n v="0"/>
    <n v="116461.53"/>
    <n v="180772.53"/>
    <n v="90000"/>
    <n v="27000"/>
    <n v="10827.75"/>
    <n v="0"/>
    <n v="0"/>
    <n v="127827.75"/>
    <n v="192138.75"/>
  </r>
  <r>
    <n v="9966428720"/>
    <s v="Vladamir"/>
    <s v="Van Castele"/>
    <x v="940"/>
    <x v="2"/>
    <n v="121579"/>
    <n v="18"/>
    <x v="940"/>
    <n v="750000"/>
    <n v="937500"/>
    <n v="1125000"/>
    <n v="1500000"/>
    <n v="0.74372933333333335"/>
    <s v="0-100%"/>
    <n v="83669.55"/>
    <n v="0"/>
    <n v="0"/>
    <n v="0"/>
    <n v="0"/>
    <n v="83669.55"/>
    <n v="205248.55"/>
    <n v="83669.55"/>
    <n v="0"/>
    <n v="0"/>
    <n v="0"/>
    <n v="0"/>
    <n v="83669.55"/>
    <n v="205248.55"/>
  </r>
  <r>
    <n v="7411705322"/>
    <s v="Noelyn"/>
    <s v="Vankin"/>
    <x v="941"/>
    <x v="2"/>
    <n v="105645"/>
    <n v="21"/>
    <x v="941"/>
    <n v="750000"/>
    <n v="937500"/>
    <n v="1125000"/>
    <n v="1500000"/>
    <n v="1.1184013333333334"/>
    <s v="100-125%"/>
    <n v="112500"/>
    <n v="16872.189999999999"/>
    <n v="0"/>
    <n v="0"/>
    <n v="0"/>
    <n v="129372.19"/>
    <n v="235017.19"/>
    <n v="112500"/>
    <n v="19536.22"/>
    <n v="0"/>
    <n v="0"/>
    <n v="0"/>
    <n v="132036.22"/>
    <n v="237681.22"/>
  </r>
  <r>
    <n v="9732655267"/>
    <s v="Lynea"/>
    <s v="Vanyukhin"/>
    <x v="942"/>
    <x v="1"/>
    <n v="77474"/>
    <n v="11"/>
    <x v="942"/>
    <n v="600000"/>
    <n v="750000"/>
    <n v="900000"/>
    <n v="1200000"/>
    <n v="0.75831833333333332"/>
    <s v="0-100%"/>
    <n v="59148.83"/>
    <n v="0"/>
    <n v="0"/>
    <n v="0"/>
    <n v="0"/>
    <n v="59148.83"/>
    <n v="136622.83000000002"/>
    <n v="68248.649999999994"/>
    <n v="0"/>
    <n v="0"/>
    <n v="0"/>
    <n v="0"/>
    <n v="68248.649999999994"/>
    <n v="145722.65"/>
  </r>
  <r>
    <n v="5814713100"/>
    <s v="Fredek"/>
    <s v="Vaskin"/>
    <x v="943"/>
    <x v="1"/>
    <n v="50467"/>
    <n v="11"/>
    <x v="943"/>
    <n v="600000"/>
    <n v="750000"/>
    <n v="900000"/>
    <n v="1200000"/>
    <n v="0.71914"/>
    <s v="0-100%"/>
    <n v="56092.920000000006"/>
    <n v="0"/>
    <n v="0"/>
    <n v="0"/>
    <n v="0"/>
    <n v="56092.920000000006"/>
    <n v="106559.92000000001"/>
    <n v="64722.6"/>
    <n v="0"/>
    <n v="0"/>
    <n v="0"/>
    <n v="0"/>
    <n v="64722.6"/>
    <n v="115189.6"/>
  </r>
  <r>
    <n v="7373156215"/>
    <s v="Jethro"/>
    <s v="Vedishchev"/>
    <x v="944"/>
    <x v="1"/>
    <n v="56461"/>
    <n v="22"/>
    <x v="944"/>
    <n v="600000"/>
    <n v="750000"/>
    <n v="900000"/>
    <n v="1200000"/>
    <n v="1.2912433333333333"/>
    <s v="125-150%"/>
    <n v="78000"/>
    <n v="28500"/>
    <n v="5691.58"/>
    <n v="0"/>
    <n v="0"/>
    <n v="112191.58"/>
    <n v="168652.58000000002"/>
    <n v="90000"/>
    <n v="27000"/>
    <n v="6186.5"/>
    <n v="0"/>
    <n v="0"/>
    <n v="123186.5"/>
    <n v="179647.5"/>
  </r>
  <r>
    <n v="1887308636"/>
    <s v="Van"/>
    <s v="Vedmore"/>
    <x v="945"/>
    <x v="1"/>
    <n v="67464"/>
    <n v="26"/>
    <x v="945"/>
    <n v="600000"/>
    <n v="750000"/>
    <n v="900000"/>
    <n v="1200000"/>
    <n v="1.5690166666666667"/>
    <s v="150-200%"/>
    <n v="78000"/>
    <n v="25500.000000000004"/>
    <n v="31500"/>
    <n v="10766.6"/>
    <n v="0"/>
    <n v="145766.6"/>
    <n v="213230.6"/>
    <n v="90000"/>
    <n v="27000"/>
    <n v="37500"/>
    <n v="12423"/>
    <n v="0"/>
    <n v="166923"/>
    <n v="234387"/>
  </r>
  <r>
    <n v="1296185559"/>
    <s v="Jacinthe"/>
    <s v="Vel"/>
    <x v="946"/>
    <x v="2"/>
    <n v="83229"/>
    <n v="22"/>
    <x v="946"/>
    <n v="750000"/>
    <n v="937500"/>
    <n v="1125000"/>
    <n v="1500000"/>
    <n v="0.95644266666666666"/>
    <s v="0-100%"/>
    <n v="107599.8"/>
    <n v="0"/>
    <n v="0"/>
    <n v="0"/>
    <n v="0"/>
    <n v="107599.8"/>
    <n v="190828.79999999999"/>
    <n v="107599.8"/>
    <n v="0"/>
    <n v="0"/>
    <n v="0"/>
    <n v="0"/>
    <n v="107599.8"/>
    <n v="190828.79999999999"/>
  </r>
  <r>
    <n v="4162153728"/>
    <s v="Aristotle"/>
    <s v="Vibert"/>
    <x v="947"/>
    <x v="2"/>
    <n v="95348"/>
    <n v="30"/>
    <x v="947"/>
    <n v="750000"/>
    <n v="937500"/>
    <n v="1125000"/>
    <n v="1500000"/>
    <n v="1.4615146666666667"/>
    <s v="125-150%"/>
    <n v="112500"/>
    <n v="28125"/>
    <n v="28554.48"/>
    <n v="0"/>
    <n v="0"/>
    <n v="169179.48"/>
    <n v="264527.48"/>
    <n v="112500"/>
    <n v="41250"/>
    <n v="39659"/>
    <n v="0"/>
    <n v="0"/>
    <n v="193409"/>
    <n v="288757"/>
  </r>
  <r>
    <n v="2279888742"/>
    <s v="Beverlie"/>
    <s v="Viccary"/>
    <x v="948"/>
    <x v="1"/>
    <n v="57415"/>
    <n v="22"/>
    <x v="948"/>
    <n v="600000"/>
    <n v="750000"/>
    <n v="900000"/>
    <n v="1200000"/>
    <n v="1.4927233333333334"/>
    <s v="125-150%"/>
    <n v="78000"/>
    <n v="25500.000000000004"/>
    <n v="30583.14"/>
    <n v="0"/>
    <n v="0"/>
    <n v="134083.14000000001"/>
    <n v="191498.14"/>
    <n v="90000"/>
    <n v="27000"/>
    <n v="36408.5"/>
    <n v="0"/>
    <n v="0"/>
    <n v="153408.5"/>
    <n v="210823.5"/>
  </r>
  <r>
    <n v="4119729087"/>
    <s v="Jenda"/>
    <s v="Villaron"/>
    <x v="949"/>
    <x v="2"/>
    <n v="95210"/>
    <n v="20"/>
    <x v="949"/>
    <n v="750000"/>
    <n v="937500"/>
    <n v="1125000"/>
    <n v="1500000"/>
    <n v="0.82527200000000001"/>
    <s v="0-100%"/>
    <n v="92843.099999999991"/>
    <n v="0"/>
    <n v="0"/>
    <n v="0"/>
    <n v="0"/>
    <n v="92843.099999999991"/>
    <n v="188053.09999999998"/>
    <n v="92843.099999999991"/>
    <n v="0"/>
    <n v="0"/>
    <n v="0"/>
    <n v="0"/>
    <n v="92843.099999999991"/>
    <n v="188053.09999999998"/>
  </r>
  <r>
    <n v="3792993961"/>
    <s v="Stephen"/>
    <s v="Vince"/>
    <x v="950"/>
    <x v="0"/>
    <n v="32408"/>
    <n v="21"/>
    <x v="950"/>
    <n v="500000"/>
    <n v="625000"/>
    <n v="750000"/>
    <n v="1000000"/>
    <n v="1.7030719999999999"/>
    <s v="150-200%"/>
    <n v="50000"/>
    <n v="21250"/>
    <n v="26250"/>
    <n v="26399.360000000001"/>
    <n v="0"/>
    <n v="123899.36"/>
    <n v="156307.35999999999"/>
    <n v="60000"/>
    <n v="21250"/>
    <n v="25000"/>
    <n v="22337.920000000002"/>
    <n v="0"/>
    <n v="128587.92"/>
    <n v="160995.91999999998"/>
  </r>
  <r>
    <n v="2976436541"/>
    <s v="Carlin"/>
    <s v="Vivash"/>
    <x v="951"/>
    <x v="2"/>
    <n v="77783"/>
    <n v="12"/>
    <x v="951"/>
    <n v="750000"/>
    <n v="937500"/>
    <n v="1125000"/>
    <n v="1500000"/>
    <n v="0.55705066666666669"/>
    <s v="0-100%"/>
    <n v="62668.2"/>
    <n v="0"/>
    <n v="0"/>
    <n v="0"/>
    <n v="0"/>
    <n v="62668.2"/>
    <n v="140451.20000000001"/>
    <n v="62668.2"/>
    <n v="0"/>
    <n v="0"/>
    <n v="0"/>
    <n v="0"/>
    <n v="62668.2"/>
    <n v="140451.20000000001"/>
  </r>
  <r>
    <n v="9114174103"/>
    <s v="Cami"/>
    <s v="Wagstaffe"/>
    <x v="952"/>
    <x v="1"/>
    <n v="71127"/>
    <n v="20"/>
    <x v="952"/>
    <n v="600000"/>
    <n v="750000"/>
    <n v="900000"/>
    <n v="1200000"/>
    <n v="1.0887266666666666"/>
    <s v="100-125%"/>
    <n v="78000"/>
    <n v="9050.1200000000008"/>
    <n v="0"/>
    <n v="0"/>
    <n v="0"/>
    <n v="87050.12"/>
    <n v="158177.12"/>
    <n v="90000"/>
    <n v="9582.48"/>
    <n v="0"/>
    <n v="0"/>
    <n v="0"/>
    <n v="99582.48"/>
    <n v="170709.47999999998"/>
  </r>
  <r>
    <n v="7236563277"/>
    <s v="Anette"/>
    <s v="Waldock"/>
    <x v="953"/>
    <x v="1"/>
    <n v="79502"/>
    <n v="13"/>
    <x v="953"/>
    <n v="600000"/>
    <n v="750000"/>
    <n v="900000"/>
    <n v="1200000"/>
    <n v="0.73032833333333336"/>
    <s v="0-100%"/>
    <n v="56965.61"/>
    <n v="0"/>
    <n v="0"/>
    <n v="0"/>
    <n v="0"/>
    <n v="56965.61"/>
    <n v="136467.60999999999"/>
    <n v="65729.55"/>
    <n v="0"/>
    <n v="0"/>
    <n v="0"/>
    <n v="0"/>
    <n v="65729.55"/>
    <n v="145231.54999999999"/>
  </r>
  <r>
    <n v="4401069773"/>
    <s v="Gennifer"/>
    <s v="Waple"/>
    <x v="954"/>
    <x v="1"/>
    <n v="63754"/>
    <n v="21"/>
    <x v="954"/>
    <n v="600000"/>
    <n v="750000"/>
    <n v="900000"/>
    <n v="1200000"/>
    <n v="1.1701816666666667"/>
    <s v="100-125%"/>
    <n v="78000"/>
    <n v="17358.530000000002"/>
    <n v="0"/>
    <n v="0"/>
    <n v="0"/>
    <n v="95358.53"/>
    <n v="159112.53"/>
    <n v="90000"/>
    <n v="18379.62"/>
    <n v="0"/>
    <n v="0"/>
    <n v="0"/>
    <n v="108379.62"/>
    <n v="172133.62"/>
  </r>
  <r>
    <n v="4984363320"/>
    <s v="Jessa"/>
    <s v="Wasbrough"/>
    <x v="955"/>
    <x v="0"/>
    <n v="52312"/>
    <n v="18"/>
    <x v="955"/>
    <n v="500000"/>
    <n v="625000"/>
    <n v="750000"/>
    <n v="1000000"/>
    <n v="1.26298"/>
    <s v="125-150%"/>
    <n v="50000"/>
    <n v="21250"/>
    <n v="1362.8999999999999"/>
    <n v="0"/>
    <n v="0"/>
    <n v="72612.899999999994"/>
    <n v="124924.9"/>
    <n v="60000"/>
    <n v="21250"/>
    <n v="1298"/>
    <n v="0"/>
    <n v="0"/>
    <n v="82548"/>
    <n v="134860"/>
  </r>
  <r>
    <n v="2547511673"/>
    <s v="Beatrice"/>
    <s v="Watkin"/>
    <x v="956"/>
    <x v="1"/>
    <n v="71416"/>
    <n v="14"/>
    <x v="956"/>
    <n v="600000"/>
    <n v="750000"/>
    <n v="900000"/>
    <n v="1200000"/>
    <n v="0.82064999999999999"/>
    <s v="0-100%"/>
    <n v="64010.700000000004"/>
    <n v="0"/>
    <n v="0"/>
    <n v="0"/>
    <n v="0"/>
    <n v="64010.700000000004"/>
    <n v="135426.70000000001"/>
    <n v="73858.5"/>
    <n v="0"/>
    <n v="0"/>
    <n v="0"/>
    <n v="0"/>
    <n v="73858.5"/>
    <n v="145274.5"/>
  </r>
  <r>
    <n v="5552170407"/>
    <s v="Lancelot"/>
    <s v="Watmough"/>
    <x v="957"/>
    <x v="1"/>
    <n v="77030"/>
    <n v="16"/>
    <x v="957"/>
    <n v="600000"/>
    <n v="750000"/>
    <n v="900000"/>
    <n v="1200000"/>
    <n v="1.0206633333333333"/>
    <s v="100-125%"/>
    <n v="78000"/>
    <n v="1859.6999999999998"/>
    <n v="0"/>
    <n v="0"/>
    <n v="0"/>
    <n v="79859.7"/>
    <n v="156889.70000000001"/>
    <n v="90000"/>
    <n v="2231.64"/>
    <n v="0"/>
    <n v="0"/>
    <n v="0"/>
    <n v="92231.64"/>
    <n v="169261.64"/>
  </r>
  <r>
    <n v="9726644925"/>
    <s v="Adaline"/>
    <s v="Waud"/>
    <x v="958"/>
    <x v="0"/>
    <n v="51437"/>
    <n v="12"/>
    <x v="958"/>
    <n v="500000"/>
    <n v="625000"/>
    <n v="750000"/>
    <n v="1000000"/>
    <n v="0.71748800000000001"/>
    <s v="0-100%"/>
    <n v="35874.400000000001"/>
    <n v="0"/>
    <n v="0"/>
    <n v="0"/>
    <n v="0"/>
    <n v="35874.400000000001"/>
    <n v="87311.4"/>
    <n v="43049.279999999999"/>
    <n v="0"/>
    <n v="0"/>
    <n v="0"/>
    <n v="0"/>
    <n v="43049.279999999999"/>
    <n v="94486.28"/>
  </r>
  <r>
    <n v="2657442315"/>
    <s v="Kevin"/>
    <s v="Wayvill"/>
    <x v="959"/>
    <x v="1"/>
    <n v="58319"/>
    <n v="15"/>
    <x v="959"/>
    <n v="600000"/>
    <n v="750000"/>
    <n v="900000"/>
    <n v="1200000"/>
    <n v="0.93435666666666661"/>
    <s v="0-100%"/>
    <n v="72879.820000000007"/>
    <n v="0"/>
    <n v="0"/>
    <n v="0"/>
    <n v="0"/>
    <n v="72879.820000000007"/>
    <n v="131198.82"/>
    <n v="84092.099999999991"/>
    <n v="0"/>
    <n v="0"/>
    <n v="0"/>
    <n v="0"/>
    <n v="84092.099999999991"/>
    <n v="142411.09999999998"/>
  </r>
  <r>
    <n v="556704134"/>
    <s v="Deirdre"/>
    <s v="Wem"/>
    <x v="960"/>
    <x v="1"/>
    <n v="71238"/>
    <n v="21"/>
    <x v="960"/>
    <n v="600000"/>
    <n v="750000"/>
    <n v="900000"/>
    <n v="1200000"/>
    <n v="1.1896016666666667"/>
    <s v="100-125%"/>
    <n v="78000"/>
    <n v="17064.149999999998"/>
    <n v="0"/>
    <n v="0"/>
    <n v="0"/>
    <n v="95064.15"/>
    <n v="166302.15"/>
    <n v="90000"/>
    <n v="20476.98"/>
    <n v="0"/>
    <n v="0"/>
    <n v="0"/>
    <n v="110476.98"/>
    <n v="181714.97999999998"/>
  </r>
  <r>
    <n v="797655034"/>
    <s v="Andre"/>
    <s v="Wemyss"/>
    <x v="961"/>
    <x v="1"/>
    <n v="65275"/>
    <n v="22"/>
    <x v="961"/>
    <n v="600000"/>
    <n v="750000"/>
    <n v="900000"/>
    <n v="1200000"/>
    <n v="1.3120866666666666"/>
    <s v="125-150%"/>
    <n v="78000"/>
    <n v="25500.000000000004"/>
    <n v="7822.92"/>
    <n v="0"/>
    <n v="0"/>
    <n v="111322.92"/>
    <n v="176597.91999999998"/>
    <n v="90000"/>
    <n v="27000"/>
    <n v="9313"/>
    <n v="0"/>
    <n v="0"/>
    <n v="126313"/>
    <n v="191588"/>
  </r>
  <r>
    <n v="5395528121"/>
    <s v="Karlie"/>
    <s v="Wennington"/>
    <x v="962"/>
    <x v="0"/>
    <n v="37393"/>
    <n v="26"/>
    <x v="962"/>
    <n v="500000"/>
    <n v="625000"/>
    <n v="750000"/>
    <n v="1000000"/>
    <n v="2.0585879999999999"/>
    <s v="&gt;200%"/>
    <n v="50000"/>
    <n v="21250"/>
    <n v="26250"/>
    <n v="65000"/>
    <n v="3808.2200000000003"/>
    <n v="166308.22"/>
    <n v="203701.22"/>
    <n v="60000"/>
    <n v="21250"/>
    <n v="25000"/>
    <n v="55000"/>
    <n v="2929.4"/>
    <n v="164179.4"/>
    <n v="201572.4"/>
  </r>
  <r>
    <n v="2230983466"/>
    <s v="Olivero"/>
    <s v="Wessel"/>
    <x v="963"/>
    <x v="2"/>
    <n v="75997"/>
    <n v="23"/>
    <x v="963"/>
    <n v="750000"/>
    <n v="937500"/>
    <n v="1125000"/>
    <n v="1500000"/>
    <n v="1.1410800000000001"/>
    <s v="100-125%"/>
    <n v="112500"/>
    <n v="15871.5"/>
    <n v="0"/>
    <n v="0"/>
    <n v="0"/>
    <n v="128371.5"/>
    <n v="204368.5"/>
    <n v="112500"/>
    <n v="23278.2"/>
    <n v="0"/>
    <n v="0"/>
    <n v="0"/>
    <n v="135778.20000000001"/>
    <n v="211775.2"/>
  </r>
  <r>
    <n v="5234982726"/>
    <s v="Hillary"/>
    <s v="Westphalen"/>
    <x v="964"/>
    <x v="2"/>
    <n v="110384"/>
    <n v="21"/>
    <x v="964"/>
    <n v="750000"/>
    <n v="937500"/>
    <n v="1125000"/>
    <n v="1500000"/>
    <n v="0.99107466666666666"/>
    <s v="0-100%"/>
    <n v="111495.9"/>
    <n v="0"/>
    <n v="0"/>
    <n v="0"/>
    <n v="0"/>
    <n v="111495.9"/>
    <n v="221879.9"/>
    <n v="111495.9"/>
    <n v="0"/>
    <n v="0"/>
    <n v="0"/>
    <n v="0"/>
    <n v="111495.9"/>
    <n v="221879.9"/>
  </r>
  <r>
    <n v="6801140183"/>
    <s v="Denney"/>
    <s v="Whetland"/>
    <x v="965"/>
    <x v="0"/>
    <n v="57548"/>
    <n v="15"/>
    <x v="965"/>
    <n v="500000"/>
    <n v="625000"/>
    <n v="750000"/>
    <n v="1000000"/>
    <n v="1.06358"/>
    <s v="100-125%"/>
    <n v="50000"/>
    <n v="6040.1"/>
    <n v="0"/>
    <n v="0"/>
    <n v="0"/>
    <n v="56040.1"/>
    <n v="113588.1"/>
    <n v="60000"/>
    <n v="5404.3"/>
    <n v="0"/>
    <n v="0"/>
    <n v="0"/>
    <n v="65404.3"/>
    <n v="122952.3"/>
  </r>
  <r>
    <n v="6614458434"/>
    <s v="Hildagard"/>
    <s v="White"/>
    <x v="966"/>
    <x v="2"/>
    <n v="118195"/>
    <n v="13"/>
    <x v="966"/>
    <n v="750000"/>
    <n v="937500"/>
    <n v="1125000"/>
    <n v="1500000"/>
    <n v="0.6094573333333333"/>
    <s v="0-100%"/>
    <n v="68563.95"/>
    <n v="0"/>
    <n v="0"/>
    <n v="0"/>
    <n v="0"/>
    <n v="68563.95"/>
    <n v="186758.95"/>
    <n v="68563.95"/>
    <n v="0"/>
    <n v="0"/>
    <n v="0"/>
    <n v="0"/>
    <n v="68563.95"/>
    <n v="186758.95"/>
  </r>
  <r>
    <n v="2757793764"/>
    <s v="Licha"/>
    <s v="Whitemarsh"/>
    <x v="967"/>
    <x v="2"/>
    <n v="91521"/>
    <n v="19"/>
    <x v="967"/>
    <n v="750000"/>
    <n v="937500"/>
    <n v="1125000"/>
    <n v="1500000"/>
    <n v="0.77915466666666666"/>
    <s v="0-100%"/>
    <n v="87654.9"/>
    <n v="0"/>
    <n v="0"/>
    <n v="0"/>
    <n v="0"/>
    <n v="87654.9"/>
    <n v="179175.9"/>
    <n v="87654.9"/>
    <n v="0"/>
    <n v="0"/>
    <n v="0"/>
    <n v="0"/>
    <n v="87654.9"/>
    <n v="179175.9"/>
  </r>
  <r>
    <n v="9548500949"/>
    <s v="Misty"/>
    <s v="Whitrod"/>
    <x v="968"/>
    <x v="0"/>
    <n v="60056"/>
    <n v="16"/>
    <x v="968"/>
    <n v="500000"/>
    <n v="625000"/>
    <n v="750000"/>
    <n v="1000000"/>
    <n v="1.3115520000000001"/>
    <s v="125-150%"/>
    <n v="50000"/>
    <n v="23750"/>
    <n v="7078.4800000000005"/>
    <n v="0"/>
    <n v="0"/>
    <n v="80828.479999999996"/>
    <n v="140884.47999999998"/>
    <n v="60000"/>
    <n v="21250"/>
    <n v="6155.2000000000007"/>
    <n v="0"/>
    <n v="0"/>
    <n v="87405.2"/>
    <n v="147461.20000000001"/>
  </r>
  <r>
    <n v="2958727874"/>
    <s v="Lucky"/>
    <s v="Whittlesey"/>
    <x v="969"/>
    <x v="0"/>
    <n v="43950"/>
    <n v="16"/>
    <x v="969"/>
    <n v="500000"/>
    <n v="625000"/>
    <n v="750000"/>
    <n v="1000000"/>
    <n v="1.085942"/>
    <s v="100-125%"/>
    <n v="50000"/>
    <n v="8164.49"/>
    <n v="0"/>
    <n v="0"/>
    <n v="0"/>
    <n v="58164.49"/>
    <n v="102114.48999999999"/>
    <n v="60000"/>
    <n v="7305.0700000000006"/>
    <n v="0"/>
    <n v="0"/>
    <n v="0"/>
    <n v="67305.070000000007"/>
    <n v="111255.07"/>
  </r>
  <r>
    <n v="1419116835"/>
    <s v="Martica"/>
    <s v="Whyler"/>
    <x v="970"/>
    <x v="2"/>
    <n v="117781"/>
    <n v="18"/>
    <x v="970"/>
    <n v="750000"/>
    <n v="937500"/>
    <n v="1125000"/>
    <n v="1500000"/>
    <n v="0.72536933333333331"/>
    <s v="0-100%"/>
    <n v="81604.05"/>
    <n v="0"/>
    <n v="0"/>
    <n v="0"/>
    <n v="0"/>
    <n v="81604.05"/>
    <n v="199385.05"/>
    <n v="81604.05"/>
    <n v="0"/>
    <n v="0"/>
    <n v="0"/>
    <n v="0"/>
    <n v="81604.05"/>
    <n v="199385.05"/>
  </r>
  <r>
    <n v="3764546336"/>
    <s v="Adolpho"/>
    <s v="Wickersham"/>
    <x v="971"/>
    <x v="2"/>
    <n v="116738"/>
    <n v="22"/>
    <x v="971"/>
    <n v="750000"/>
    <n v="937500"/>
    <n v="1125000"/>
    <n v="1500000"/>
    <n v="1.1023213333333333"/>
    <s v="100-125%"/>
    <n v="112500"/>
    <n v="11511.15"/>
    <n v="0"/>
    <n v="0"/>
    <n v="0"/>
    <n v="124011.15"/>
    <n v="240749.15"/>
    <n v="112500"/>
    <n v="16883.02"/>
    <n v="0"/>
    <n v="0"/>
    <n v="0"/>
    <n v="129383.02"/>
    <n v="246121.02000000002"/>
  </r>
  <r>
    <n v="5499856877"/>
    <s v="Deny"/>
    <s v="Wiffler"/>
    <x v="972"/>
    <x v="1"/>
    <n v="77267"/>
    <n v="13"/>
    <x v="972"/>
    <n v="600000"/>
    <n v="750000"/>
    <n v="900000"/>
    <n v="1200000"/>
    <n v="0.79193999999999998"/>
    <s v="0-100%"/>
    <n v="61771.32"/>
    <n v="0"/>
    <n v="0"/>
    <n v="0"/>
    <n v="0"/>
    <n v="61771.32"/>
    <n v="139038.32"/>
    <n v="71274.599999999991"/>
    <n v="0"/>
    <n v="0"/>
    <n v="0"/>
    <n v="0"/>
    <n v="71274.599999999991"/>
    <n v="148541.59999999998"/>
  </r>
  <r>
    <n v="5138969978"/>
    <s v="Norman"/>
    <s v="Wilden"/>
    <x v="973"/>
    <x v="1"/>
    <n v="69082"/>
    <n v="23"/>
    <x v="973"/>
    <n v="600000"/>
    <n v="750000"/>
    <n v="900000"/>
    <n v="1200000"/>
    <n v="1.3857666666666666"/>
    <s v="125-150%"/>
    <n v="78000"/>
    <n v="22500"/>
    <n v="14662.8"/>
    <n v="0"/>
    <n v="0"/>
    <n v="115162.8"/>
    <n v="184244.8"/>
    <n v="90000"/>
    <n v="27000"/>
    <n v="20365"/>
    <n v="0"/>
    <n v="0"/>
    <n v="137365"/>
    <n v="206447"/>
  </r>
  <r>
    <n v="6000780338"/>
    <s v="Erma"/>
    <s v="Wilder"/>
    <x v="974"/>
    <x v="1"/>
    <n v="78142"/>
    <n v="26"/>
    <x v="974"/>
    <n v="600000"/>
    <n v="750000"/>
    <n v="900000"/>
    <n v="1200000"/>
    <n v="1.5859616666666667"/>
    <s v="150-200%"/>
    <n v="78000"/>
    <n v="28500"/>
    <n v="34500"/>
    <n v="15473.099999999999"/>
    <n v="0"/>
    <n v="156473.1"/>
    <n v="234615.1"/>
    <n v="90000"/>
    <n v="27000"/>
    <n v="37500"/>
    <n v="15473.099999999999"/>
    <n v="0"/>
    <n v="169973.1"/>
    <n v="248115.1"/>
  </r>
  <r>
    <n v="7741079360"/>
    <s v="Donovan"/>
    <s v="Willingham"/>
    <x v="975"/>
    <x v="1"/>
    <n v="60165"/>
    <n v="22"/>
    <x v="975"/>
    <n v="600000"/>
    <n v="750000"/>
    <n v="900000"/>
    <n v="1200000"/>
    <n v="1.2772483333333333"/>
    <s v="125-150%"/>
    <n v="78000"/>
    <n v="22500"/>
    <n v="2942.8199999999997"/>
    <n v="0"/>
    <n v="0"/>
    <n v="103442.82"/>
    <n v="163607.82"/>
    <n v="90000"/>
    <n v="27000"/>
    <n v="4087.25"/>
    <n v="0"/>
    <n v="0"/>
    <n v="121087.25"/>
    <n v="181252.25"/>
  </r>
  <r>
    <n v="2936088178"/>
    <s v="Ariadne"/>
    <s v="Willshire"/>
    <x v="976"/>
    <x v="2"/>
    <n v="76155"/>
    <n v="15"/>
    <x v="976"/>
    <n v="750000"/>
    <n v="937500"/>
    <n v="1125000"/>
    <n v="1500000"/>
    <n v="0.64436533333333335"/>
    <s v="0-100%"/>
    <n v="72491.099999999991"/>
    <n v="0"/>
    <n v="0"/>
    <n v="0"/>
    <n v="0"/>
    <n v="72491.099999999991"/>
    <n v="148646.09999999998"/>
    <n v="72491.099999999991"/>
    <n v="0"/>
    <n v="0"/>
    <n v="0"/>
    <n v="0"/>
    <n v="72491.099999999991"/>
    <n v="148646.09999999998"/>
  </r>
  <r>
    <n v="2352201101"/>
    <s v="Umeko"/>
    <s v="Wilshaw"/>
    <x v="977"/>
    <x v="0"/>
    <n v="56725"/>
    <n v="20"/>
    <x v="977"/>
    <n v="500000"/>
    <n v="625000"/>
    <n v="750000"/>
    <n v="1000000"/>
    <n v="1.3797759999999999"/>
    <s v="125-150%"/>
    <n v="50000"/>
    <n v="21250"/>
    <n v="13626.48"/>
    <n v="0"/>
    <n v="0"/>
    <n v="84876.479999999996"/>
    <n v="141601.47999999998"/>
    <n v="60000"/>
    <n v="21250"/>
    <n v="12977.6"/>
    <n v="0"/>
    <n v="0"/>
    <n v="94227.6"/>
    <n v="150952.6"/>
  </r>
  <r>
    <n v="5347887761"/>
    <s v="Charlotta"/>
    <s v="Wines"/>
    <x v="978"/>
    <x v="1"/>
    <n v="77465"/>
    <n v="29"/>
    <x v="978"/>
    <n v="600000"/>
    <n v="750000"/>
    <n v="900000"/>
    <n v="1200000"/>
    <n v="1.7585033333333333"/>
    <s v="150-200%"/>
    <n v="78000"/>
    <n v="25500.000000000004"/>
    <n v="31500"/>
    <n v="40326.520000000004"/>
    <n v="0"/>
    <n v="175326.52000000002"/>
    <n v="252791.52000000002"/>
    <n v="90000"/>
    <n v="27000"/>
    <n v="37500"/>
    <n v="46530.6"/>
    <n v="0"/>
    <n v="201030.6"/>
    <n v="278495.59999999998"/>
  </r>
  <r>
    <n v="3041948354"/>
    <s v="Gerri"/>
    <s v="Witherbed"/>
    <x v="979"/>
    <x v="0"/>
    <n v="46292"/>
    <n v="20"/>
    <x v="979"/>
    <n v="500000"/>
    <n v="625000"/>
    <n v="750000"/>
    <n v="1000000"/>
    <n v="1.3489040000000001"/>
    <s v="125-150%"/>
    <n v="50000"/>
    <n v="23750"/>
    <n v="11373.960000000001"/>
    <n v="0"/>
    <n v="0"/>
    <n v="85123.96"/>
    <n v="131415.96000000002"/>
    <n v="60000"/>
    <n v="21250"/>
    <n v="9890.4000000000015"/>
    <n v="0"/>
    <n v="0"/>
    <n v="91140.4"/>
    <n v="137432.4"/>
  </r>
  <r>
    <n v="8748349712"/>
    <s v="Frankie"/>
    <s v="Witnall"/>
    <x v="980"/>
    <x v="2"/>
    <n v="105532"/>
    <n v="24"/>
    <x v="980"/>
    <n v="750000"/>
    <n v="937500"/>
    <n v="1125000"/>
    <n v="1500000"/>
    <n v="1.1521613333333334"/>
    <s v="100-125%"/>
    <n v="112500"/>
    <n v="21682.99"/>
    <n v="0"/>
    <n v="0"/>
    <n v="0"/>
    <n v="134182.99"/>
    <n v="239714.99"/>
    <n v="112500"/>
    <n v="25106.62"/>
    <n v="0"/>
    <n v="0"/>
    <n v="0"/>
    <n v="137606.62"/>
    <n v="243138.62"/>
  </r>
  <r>
    <n v="4768342426"/>
    <s v="Darci"/>
    <s v="Wixey"/>
    <x v="981"/>
    <x v="1"/>
    <n v="62604"/>
    <n v="18"/>
    <x v="981"/>
    <n v="600000"/>
    <n v="750000"/>
    <n v="900000"/>
    <n v="1200000"/>
    <n v="1.0996883333333334"/>
    <s v="100-125%"/>
    <n v="78000"/>
    <n v="11364.47"/>
    <n v="0"/>
    <n v="0"/>
    <n v="0"/>
    <n v="89364.47"/>
    <n v="151968.47"/>
    <n v="90000"/>
    <n v="10766.34"/>
    <n v="0"/>
    <n v="0"/>
    <n v="0"/>
    <n v="100766.34"/>
    <n v="163370.34"/>
  </r>
  <r>
    <n v="7885796000"/>
    <s v="Shea"/>
    <s v="Woodeson"/>
    <x v="982"/>
    <x v="1"/>
    <n v="63741"/>
    <n v="21"/>
    <x v="982"/>
    <n v="600000"/>
    <n v="750000"/>
    <n v="900000"/>
    <n v="1200000"/>
    <n v="1.2396366666666667"/>
    <s v="100-125%"/>
    <n v="78000"/>
    <n v="21567.3"/>
    <n v="0"/>
    <n v="0"/>
    <n v="0"/>
    <n v="99567.3"/>
    <n v="163308.29999999999"/>
    <n v="90000"/>
    <n v="25880.76"/>
    <n v="0"/>
    <n v="0"/>
    <n v="0"/>
    <n v="115880.76"/>
    <n v="179621.76000000001"/>
  </r>
  <r>
    <n v="3819859829"/>
    <s v="Hedwig"/>
    <s v="Wooding"/>
    <x v="983"/>
    <x v="1"/>
    <n v="59349"/>
    <n v="20"/>
    <x v="983"/>
    <n v="600000"/>
    <n v="750000"/>
    <n v="900000"/>
    <n v="1200000"/>
    <n v="0.99916833333333333"/>
    <s v="0-100%"/>
    <n v="77935.13"/>
    <n v="0"/>
    <n v="0"/>
    <n v="0"/>
    <n v="0"/>
    <n v="77935.13"/>
    <n v="137284.13"/>
    <n v="89925.15"/>
    <n v="0"/>
    <n v="0"/>
    <n v="0"/>
    <n v="0"/>
    <n v="89925.15"/>
    <n v="149274.15"/>
  </r>
  <r>
    <n v="4866916575"/>
    <s v="Garnette"/>
    <s v="Woodyear"/>
    <x v="984"/>
    <x v="0"/>
    <n v="45185"/>
    <n v="22"/>
    <x v="984"/>
    <n v="500000"/>
    <n v="625000"/>
    <n v="750000"/>
    <n v="1000000"/>
    <n v="1.773954"/>
    <s v="150-200%"/>
    <n v="50000"/>
    <n v="21250"/>
    <n v="26250"/>
    <n v="35614.020000000004"/>
    <n v="0"/>
    <n v="133114.02000000002"/>
    <n v="178299.02000000002"/>
    <n v="60000"/>
    <n v="21250"/>
    <n v="25000"/>
    <n v="30134.94"/>
    <n v="0"/>
    <n v="136384.94"/>
    <n v="181569.94"/>
  </r>
  <r>
    <n v="4428088442"/>
    <s v="Kiel"/>
    <s v="Woolveridge"/>
    <x v="985"/>
    <x v="1"/>
    <n v="65570"/>
    <n v="22"/>
    <x v="985"/>
    <n v="600000"/>
    <n v="750000"/>
    <n v="900000"/>
    <n v="1200000"/>
    <n v="1.1513549999999999"/>
    <s v="100-125%"/>
    <n v="78000"/>
    <n v="13621.949999999999"/>
    <n v="0"/>
    <n v="0"/>
    <n v="0"/>
    <n v="91621.95"/>
    <n v="157191.95000000001"/>
    <n v="90000"/>
    <n v="16346.34"/>
    <n v="0"/>
    <n v="0"/>
    <n v="0"/>
    <n v="106346.34"/>
    <n v="171916.34"/>
  </r>
  <r>
    <n v="544760832"/>
    <s v="Andris"/>
    <s v="Worboy"/>
    <x v="986"/>
    <x v="0"/>
    <n v="48646"/>
    <n v="22"/>
    <x v="986"/>
    <n v="500000"/>
    <n v="625000"/>
    <n v="750000"/>
    <n v="1000000"/>
    <n v="1.42628"/>
    <s v="125-150%"/>
    <n v="50000"/>
    <n v="23750"/>
    <n v="20272.2"/>
    <n v="0"/>
    <n v="0"/>
    <n v="94022.2"/>
    <n v="142668.20000000001"/>
    <n v="60000"/>
    <n v="21250"/>
    <n v="17628"/>
    <n v="0"/>
    <n v="0"/>
    <n v="98878"/>
    <n v="147524"/>
  </r>
  <r>
    <n v="549857826"/>
    <s v="Thoma"/>
    <s v="Worcester"/>
    <x v="987"/>
    <x v="0"/>
    <n v="62151"/>
    <n v="26"/>
    <x v="987"/>
    <n v="500000"/>
    <n v="625000"/>
    <n v="750000"/>
    <n v="1000000"/>
    <n v="1.902544"/>
    <s v="150-200%"/>
    <n v="50000"/>
    <n v="18750"/>
    <n v="22500"/>
    <n v="44279.840000000004"/>
    <n v="0"/>
    <n v="135529.84"/>
    <n v="197680.84"/>
    <n v="60000"/>
    <n v="21250"/>
    <n v="25000"/>
    <n v="44279.840000000004"/>
    <n v="0"/>
    <n v="150529.84"/>
    <n v="212680.84"/>
  </r>
  <r>
    <n v="3967370569"/>
    <s v="Darryl"/>
    <s v="Worgan"/>
    <x v="988"/>
    <x v="1"/>
    <n v="72987"/>
    <n v="33"/>
    <x v="988"/>
    <n v="600000"/>
    <n v="750000"/>
    <n v="900000"/>
    <n v="1200000"/>
    <n v="2.2816900000000002"/>
    <s v="&gt;200%"/>
    <n v="78000"/>
    <n v="25500.000000000004"/>
    <n v="31500"/>
    <n v="78000"/>
    <n v="21971.82"/>
    <n v="234971.82"/>
    <n v="307958.82"/>
    <n v="90000"/>
    <n v="27000"/>
    <n v="37500"/>
    <n v="90000"/>
    <n v="21971.82"/>
    <n v="266471.82"/>
    <n v="339458.82"/>
  </r>
  <r>
    <n v="5079859830"/>
    <s v="Tucker"/>
    <s v="Wurst"/>
    <x v="989"/>
    <x v="0"/>
    <n v="54395"/>
    <n v="22"/>
    <x v="989"/>
    <n v="500000"/>
    <n v="625000"/>
    <n v="750000"/>
    <n v="1000000"/>
    <n v="1.6770039999999999"/>
    <s v="150-200%"/>
    <n v="50000"/>
    <n v="23750"/>
    <n v="28750"/>
    <n v="26550.6"/>
    <n v="0"/>
    <n v="129050.6"/>
    <n v="183445.6"/>
    <n v="60000"/>
    <n v="21250"/>
    <n v="25000"/>
    <n v="19470.439999999999"/>
    <n v="0"/>
    <n v="125720.44"/>
    <n v="180115.44"/>
  </r>
  <r>
    <n v="8565880958"/>
    <s v="Austine"/>
    <s v="Wyer"/>
    <x v="990"/>
    <x v="1"/>
    <n v="55355"/>
    <n v="20"/>
    <x v="990"/>
    <n v="600000"/>
    <n v="750000"/>
    <n v="900000"/>
    <n v="1200000"/>
    <n v="1.3246983333333333"/>
    <s v="125-150%"/>
    <n v="78000"/>
    <n v="22500"/>
    <n v="8067.42"/>
    <n v="0"/>
    <n v="0"/>
    <n v="108567.42"/>
    <n v="163922.41999999998"/>
    <n v="90000"/>
    <n v="27000"/>
    <n v="11204.75"/>
    <n v="0"/>
    <n v="0"/>
    <n v="128204.75"/>
    <n v="183559.75"/>
  </r>
  <r>
    <n v="2607689635"/>
    <s v="Lulita"/>
    <s v="Wyke"/>
    <x v="991"/>
    <x v="1"/>
    <n v="53124"/>
    <n v="20"/>
    <x v="991"/>
    <n v="600000"/>
    <n v="750000"/>
    <n v="900000"/>
    <n v="1200000"/>
    <n v="0.99212166666666668"/>
    <s v="0-100%"/>
    <n v="77385.490000000005"/>
    <n v="0"/>
    <n v="0"/>
    <n v="0"/>
    <n v="0"/>
    <n v="77385.490000000005"/>
    <n v="130509.49"/>
    <n v="89290.95"/>
    <n v="0"/>
    <n v="0"/>
    <n v="0"/>
    <n v="0"/>
    <n v="89290.95"/>
    <n v="142414.95000000001"/>
  </r>
  <r>
    <n v="6842801095"/>
    <s v="Moll"/>
    <s v="Wylie"/>
    <x v="992"/>
    <x v="2"/>
    <n v="110949"/>
    <n v="12"/>
    <x v="992"/>
    <n v="750000"/>
    <n v="937500"/>
    <n v="1125000"/>
    <n v="1500000"/>
    <n v="0.58574266666666663"/>
    <s v="0-100%"/>
    <n v="65896.05"/>
    <n v="0"/>
    <n v="0"/>
    <n v="0"/>
    <n v="0"/>
    <n v="65896.05"/>
    <n v="176845.05"/>
    <n v="65896.05"/>
    <n v="0"/>
    <n v="0"/>
    <n v="0"/>
    <n v="0"/>
    <n v="65896.05"/>
    <n v="176845.05"/>
  </r>
  <r>
    <n v="7180536660"/>
    <s v="Rudolfo"/>
    <s v="Yanyushkin"/>
    <x v="993"/>
    <x v="0"/>
    <n v="34861"/>
    <n v="20"/>
    <x v="993"/>
    <n v="500000"/>
    <n v="625000"/>
    <n v="750000"/>
    <n v="1000000"/>
    <n v="1.394104"/>
    <s v="125-150%"/>
    <n v="50000"/>
    <n v="23750"/>
    <n v="16571.96"/>
    <n v="0"/>
    <n v="0"/>
    <n v="90321.959999999992"/>
    <n v="125182.95999999999"/>
    <n v="60000"/>
    <n v="21250"/>
    <n v="14410.400000000001"/>
    <n v="0"/>
    <n v="0"/>
    <n v="95660.4"/>
    <n v="130521.4"/>
  </r>
  <r>
    <n v="4075444457"/>
    <s v="Carlin"/>
    <s v="Yardley"/>
    <x v="994"/>
    <x v="2"/>
    <n v="91957"/>
    <n v="22"/>
    <x v="994"/>
    <n v="750000"/>
    <n v="937500"/>
    <n v="1125000"/>
    <n v="1500000"/>
    <n v="1.0899466666666666"/>
    <s v="100-125%"/>
    <n v="112500"/>
    <n v="10119"/>
    <n v="0"/>
    <n v="0"/>
    <n v="0"/>
    <n v="122619"/>
    <n v="214576"/>
    <n v="112500"/>
    <n v="14841.2"/>
    <n v="0"/>
    <n v="0"/>
    <n v="0"/>
    <n v="127341.2"/>
    <n v="219298.2"/>
  </r>
  <r>
    <n v="2292892200"/>
    <s v="Leelah"/>
    <s v="Yarnton"/>
    <x v="995"/>
    <x v="1"/>
    <n v="66242"/>
    <n v="16"/>
    <x v="995"/>
    <n v="600000"/>
    <n v="750000"/>
    <n v="900000"/>
    <n v="1200000"/>
    <n v="0.91857999999999995"/>
    <s v="0-100%"/>
    <n v="71649.240000000005"/>
    <n v="0"/>
    <n v="0"/>
    <n v="0"/>
    <n v="0"/>
    <n v="71649.240000000005"/>
    <n v="137891.24"/>
    <n v="82672.2"/>
    <n v="0"/>
    <n v="0"/>
    <n v="0"/>
    <n v="0"/>
    <n v="82672.2"/>
    <n v="148914.20000000001"/>
  </r>
  <r>
    <n v="2294342399"/>
    <s v="Chancey"/>
    <s v="Yarrell"/>
    <x v="996"/>
    <x v="1"/>
    <n v="74676"/>
    <n v="16"/>
    <x v="996"/>
    <n v="600000"/>
    <n v="750000"/>
    <n v="900000"/>
    <n v="1200000"/>
    <n v="0.78352833333333338"/>
    <s v="0-100%"/>
    <n v="61115.21"/>
    <n v="0"/>
    <n v="0"/>
    <n v="0"/>
    <n v="0"/>
    <n v="61115.21"/>
    <n v="135791.21"/>
    <n v="70517.55"/>
    <n v="0"/>
    <n v="0"/>
    <n v="0"/>
    <n v="0"/>
    <n v="70517.55"/>
    <n v="145193.54999999999"/>
  </r>
  <r>
    <n v="8034345962"/>
    <s v="Marillin"/>
    <s v="Yerrall"/>
    <x v="997"/>
    <x v="2"/>
    <n v="121088"/>
    <n v="23"/>
    <x v="997"/>
    <n v="750000"/>
    <n v="937500"/>
    <n v="1125000"/>
    <n v="1500000"/>
    <n v="0.92804266666666668"/>
    <s v="0-100%"/>
    <n v="104404.8"/>
    <n v="0"/>
    <n v="0"/>
    <n v="0"/>
    <n v="0"/>
    <n v="104404.8"/>
    <n v="225492.8"/>
    <n v="104404.8"/>
    <n v="0"/>
    <n v="0"/>
    <n v="0"/>
    <n v="0"/>
    <n v="104404.8"/>
    <n v="225492.8"/>
  </r>
  <r>
    <n v="7966083349"/>
    <s v="Rosella"/>
    <s v="Zamora"/>
    <x v="998"/>
    <x v="0"/>
    <n v="36923"/>
    <n v="25"/>
    <x v="998"/>
    <n v="500000"/>
    <n v="625000"/>
    <n v="750000"/>
    <n v="1000000"/>
    <n v="1.6771499999999999"/>
    <s v="150-200%"/>
    <n v="50000"/>
    <n v="21250"/>
    <n v="26250"/>
    <n v="23029.5"/>
    <n v="0"/>
    <n v="120529.5"/>
    <n v="157452.5"/>
    <n v="60000"/>
    <n v="21250"/>
    <n v="25000"/>
    <n v="19486.5"/>
    <n v="0"/>
    <n v="125736.5"/>
    <n v="162659.5"/>
  </r>
  <r>
    <n v="4783377790"/>
    <s v="Andria"/>
    <s v="Zimmermanns"/>
    <x v="999"/>
    <x v="2"/>
    <n v="110817"/>
    <n v="19"/>
    <x v="999"/>
    <n v="750000"/>
    <n v="937500"/>
    <n v="1125000"/>
    <n v="1500000"/>
    <n v="0.95157199999999997"/>
    <s v="0-100%"/>
    <n v="107051.84999999999"/>
    <n v="0"/>
    <n v="0"/>
    <n v="0"/>
    <n v="0"/>
    <n v="107051.84999999999"/>
    <n v="217868.84999999998"/>
    <n v="107051.84999999999"/>
    <n v="0"/>
    <n v="0"/>
    <n v="0"/>
    <n v="0"/>
    <n v="107051.84999999999"/>
    <n v="217868.84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2D0A6-5EA9-4AE3-8718-4BB6375F647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003" firstHeaderRow="1" firstDataRow="2" firstDataCol="1"/>
  <pivotFields count="28">
    <pivotField showAll="0"/>
    <pivotField showAll="0"/>
    <pivotField showAll="0"/>
    <pivotField axis="axisRow" showAll="0">
      <items count="1001">
        <item x="910"/>
        <item x="545"/>
        <item x="126"/>
        <item x="441"/>
        <item x="958"/>
        <item x="64"/>
        <item x="501"/>
        <item x="931"/>
        <item x="971"/>
        <item x="885"/>
        <item x="713"/>
        <item x="785"/>
        <item x="485"/>
        <item x="78"/>
        <item x="646"/>
        <item x="246"/>
        <item x="56"/>
        <item x="34"/>
        <item x="46"/>
        <item x="253"/>
        <item x="7"/>
        <item x="467"/>
        <item x="749"/>
        <item x="621"/>
        <item x="269"/>
        <item x="836"/>
        <item x="1"/>
        <item x="317"/>
        <item x="654"/>
        <item x="827"/>
        <item x="568"/>
        <item x="768"/>
        <item x="612"/>
        <item x="723"/>
        <item x="171"/>
        <item x="828"/>
        <item x="961"/>
        <item x="50"/>
        <item x="800"/>
        <item x="999"/>
        <item x="258"/>
        <item x="986"/>
        <item x="382"/>
        <item x="953"/>
        <item x="323"/>
        <item x="691"/>
        <item x="622"/>
        <item x="443"/>
        <item x="379"/>
        <item x="735"/>
        <item x="214"/>
        <item x="616"/>
        <item x="712"/>
        <item x="514"/>
        <item x="120"/>
        <item x="786"/>
        <item x="976"/>
        <item x="947"/>
        <item x="326"/>
        <item x="130"/>
        <item x="87"/>
        <item x="722"/>
        <item x="359"/>
        <item x="295"/>
        <item x="796"/>
        <item x="730"/>
        <item x="284"/>
        <item x="103"/>
        <item x="327"/>
        <item x="718"/>
        <item x="870"/>
        <item x="152"/>
        <item x="893"/>
        <item x="932"/>
        <item x="533"/>
        <item x="825"/>
        <item x="721"/>
        <item x="990"/>
        <item x="0"/>
        <item x="832"/>
        <item x="806"/>
        <item x="21"/>
        <item x="427"/>
        <item x="128"/>
        <item x="169"/>
        <item x="566"/>
        <item x="42"/>
        <item x="604"/>
        <item x="727"/>
        <item x="738"/>
        <item x="233"/>
        <item x="479"/>
        <item x="606"/>
        <item x="685"/>
        <item x="613"/>
        <item x="346"/>
        <item x="831"/>
        <item x="426"/>
        <item x="667"/>
        <item x="923"/>
        <item x="366"/>
        <item x="680"/>
        <item x="580"/>
        <item x="956"/>
        <item x="765"/>
        <item x="392"/>
        <item x="658"/>
        <item x="505"/>
        <item x="41"/>
        <item x="541"/>
        <item x="842"/>
        <item x="241"/>
        <item x="761"/>
        <item x="54"/>
        <item x="540"/>
        <item x="311"/>
        <item x="88"/>
        <item x="416"/>
        <item x="670"/>
        <item x="929"/>
        <item x="507"/>
        <item x="248"/>
        <item x="948"/>
        <item x="824"/>
        <item x="770"/>
        <item x="166"/>
        <item x="848"/>
        <item x="474"/>
        <item x="820"/>
        <item x="314"/>
        <item x="212"/>
        <item x="3"/>
        <item x="161"/>
        <item x="689"/>
        <item x="576"/>
        <item x="596"/>
        <item x="920"/>
        <item x="381"/>
        <item x="527"/>
        <item x="177"/>
        <item x="595"/>
        <item x="6"/>
        <item x="422"/>
        <item x="922"/>
        <item x="687"/>
        <item x="306"/>
        <item x="887"/>
        <item x="741"/>
        <item x="686"/>
        <item x="105"/>
        <item x="919"/>
        <item x="134"/>
        <item x="28"/>
        <item x="573"/>
        <item x="952"/>
        <item x="577"/>
        <item x="605"/>
        <item x="73"/>
        <item x="642"/>
        <item x="664"/>
        <item x="951"/>
        <item x="994"/>
        <item x="147"/>
        <item x="312"/>
        <item x="750"/>
        <item x="872"/>
        <item x="934"/>
        <item x="304"/>
        <item x="300"/>
        <item x="363"/>
        <item x="172"/>
        <item x="446"/>
        <item x="208"/>
        <item x="676"/>
        <item x="787"/>
        <item x="218"/>
        <item x="473"/>
        <item x="563"/>
        <item x="635"/>
        <item x="279"/>
        <item x="36"/>
        <item x="757"/>
        <item x="264"/>
        <item x="841"/>
        <item x="908"/>
        <item x="996"/>
        <item x="45"/>
        <item x="303"/>
        <item x="978"/>
        <item x="589"/>
        <item x="74"/>
        <item x="226"/>
        <item x="396"/>
        <item x="608"/>
        <item x="638"/>
        <item x="912"/>
        <item x="256"/>
        <item x="37"/>
        <item x="879"/>
        <item x="710"/>
        <item x="704"/>
        <item x="93"/>
        <item x="283"/>
        <item x="434"/>
        <item x="27"/>
        <item x="358"/>
        <item x="419"/>
        <item x="906"/>
        <item x="205"/>
        <item x="40"/>
        <item x="26"/>
        <item x="91"/>
        <item x="587"/>
        <item x="683"/>
        <item x="871"/>
        <item x="791"/>
        <item x="472"/>
        <item x="530"/>
        <item x="251"/>
        <item x="371"/>
        <item x="225"/>
        <item x="656"/>
        <item x="261"/>
        <item x="310"/>
        <item x="101"/>
        <item x="690"/>
        <item x="403"/>
        <item x="821"/>
        <item x="397"/>
        <item x="863"/>
        <item x="76"/>
        <item x="548"/>
        <item x="156"/>
        <item x="349"/>
        <item x="192"/>
        <item x="324"/>
        <item x="491"/>
        <item x="636"/>
        <item x="12"/>
        <item x="620"/>
        <item x="320"/>
        <item x="464"/>
        <item x="869"/>
        <item x="267"/>
        <item x="112"/>
        <item x="981"/>
        <item x="457"/>
        <item x="179"/>
        <item x="520"/>
        <item x="374"/>
        <item x="988"/>
        <item x="440"/>
        <item x="914"/>
        <item x="188"/>
        <item x="124"/>
        <item x="459"/>
        <item x="219"/>
        <item x="538"/>
        <item x="960"/>
        <item x="330"/>
        <item x="901"/>
        <item x="420"/>
        <item x="471"/>
        <item x="672"/>
        <item x="213"/>
        <item x="365"/>
        <item x="429"/>
        <item x="70"/>
        <item x="965"/>
        <item x="801"/>
        <item x="170"/>
        <item x="720"/>
        <item x="972"/>
        <item x="851"/>
        <item x="526"/>
        <item x="43"/>
        <item x="883"/>
        <item x="855"/>
        <item x="500"/>
        <item x="534"/>
        <item x="237"/>
        <item x="449"/>
        <item x="287"/>
        <item x="163"/>
        <item x="555"/>
        <item x="149"/>
        <item x="185"/>
        <item x="347"/>
        <item x="137"/>
        <item x="291"/>
        <item x="742"/>
        <item x="975"/>
        <item x="781"/>
        <item x="554"/>
        <item x="556"/>
        <item x="348"/>
        <item x="756"/>
        <item x="345"/>
        <item x="394"/>
        <item x="731"/>
        <item x="777"/>
        <item x="856"/>
        <item x="292"/>
        <item x="844"/>
        <item x="939"/>
        <item x="17"/>
        <item x="815"/>
        <item x="837"/>
        <item x="378"/>
        <item x="460"/>
        <item x="315"/>
        <item x="634"/>
        <item x="115"/>
        <item x="187"/>
        <item x="597"/>
        <item x="488"/>
        <item x="232"/>
        <item x="493"/>
        <item x="766"/>
        <item x="30"/>
        <item x="352"/>
        <item x="543"/>
        <item x="711"/>
        <item x="688"/>
        <item x="805"/>
        <item x="38"/>
        <item x="210"/>
        <item x="415"/>
        <item x="495"/>
        <item x="222"/>
        <item x="84"/>
        <item x="338"/>
        <item x="783"/>
        <item x="811"/>
        <item x="569"/>
        <item x="466"/>
        <item x="775"/>
        <item x="316"/>
        <item x="247"/>
        <item x="974"/>
        <item x="784"/>
        <item x="490"/>
        <item x="915"/>
        <item x="216"/>
        <item x="90"/>
        <item x="868"/>
        <item x="652"/>
        <item x="220"/>
        <item x="498"/>
        <item x="536"/>
        <item x="80"/>
        <item x="173"/>
        <item x="393"/>
        <item x="774"/>
        <item x="186"/>
        <item x="510"/>
        <item x="453"/>
        <item x="150"/>
        <item x="679"/>
        <item x="937"/>
        <item x="428"/>
        <item x="630"/>
        <item x="308"/>
        <item x="332"/>
        <item x="767"/>
        <item x="701"/>
        <item x="468"/>
        <item x="193"/>
        <item x="884"/>
        <item x="496"/>
        <item x="229"/>
        <item x="157"/>
        <item x="866"/>
        <item x="980"/>
        <item x="148"/>
        <item x="585"/>
        <item x="99"/>
        <item x="176"/>
        <item x="515"/>
        <item x="943"/>
        <item x="351"/>
        <item x="259"/>
        <item x="487"/>
        <item x="550"/>
        <item x="13"/>
        <item x="626"/>
        <item x="843"/>
        <item x="780"/>
        <item x="61"/>
        <item x="649"/>
        <item x="518"/>
        <item x="909"/>
        <item x="535"/>
        <item x="984"/>
        <item x="758"/>
        <item x="155"/>
        <item x="350"/>
        <item x="360"/>
        <item x="95"/>
        <item x="343"/>
        <item x="954"/>
        <item x="384"/>
        <item x="238"/>
        <item x="671"/>
        <item x="826"/>
        <item x="113"/>
        <item x="979"/>
        <item x="917"/>
        <item x="297"/>
        <item x="512"/>
        <item x="81"/>
        <item x="794"/>
        <item x="892"/>
        <item x="516"/>
        <item x="353"/>
        <item x="682"/>
        <item x="354"/>
        <item x="336"/>
        <item x="927"/>
        <item x="221"/>
        <item x="252"/>
        <item x="18"/>
        <item x="325"/>
        <item x="552"/>
        <item x="668"/>
        <item x="228"/>
        <item x="633"/>
        <item x="164"/>
        <item x="236"/>
        <item x="224"/>
        <item x="249"/>
        <item x="243"/>
        <item x="601"/>
        <item x="407"/>
        <item x="629"/>
        <item x="609"/>
        <item x="983"/>
        <item x="728"/>
        <item x="160"/>
        <item x="211"/>
        <item x="624"/>
        <item x="617"/>
        <item x="94"/>
        <item x="935"/>
        <item x="517"/>
        <item x="966"/>
        <item x="964"/>
        <item x="111"/>
        <item x="454"/>
        <item x="339"/>
        <item x="651"/>
        <item x="322"/>
        <item x="715"/>
        <item x="889"/>
        <item x="673"/>
        <item x="891"/>
        <item x="648"/>
        <item x="44"/>
        <item x="281"/>
        <item x="539"/>
        <item x="864"/>
        <item x="280"/>
        <item x="423"/>
        <item x="743"/>
        <item x="412"/>
        <item x="135"/>
        <item x="475"/>
        <item x="198"/>
        <item x="818"/>
        <item x="938"/>
        <item x="369"/>
        <item x="499"/>
        <item x="200"/>
        <item x="662"/>
        <item x="362"/>
        <item x="946"/>
        <item x="5"/>
        <item x="572"/>
        <item x="760"/>
        <item x="562"/>
        <item x="895"/>
        <item x="854"/>
        <item x="759"/>
        <item x="623"/>
        <item x="733"/>
        <item x="194"/>
        <item x="272"/>
        <item x="375"/>
        <item x="125"/>
        <item x="20"/>
        <item x="795"/>
        <item x="949"/>
        <item x="799"/>
        <item x="255"/>
        <item x="677"/>
        <item x="598"/>
        <item x="955"/>
        <item x="217"/>
        <item x="835"/>
        <item x="699"/>
        <item x="590"/>
        <item x="706"/>
        <item x="944"/>
        <item x="529"/>
        <item x="803"/>
        <item x="674"/>
        <item x="361"/>
        <item x="571"/>
        <item x="174"/>
        <item x="565"/>
        <item x="373"/>
        <item x="862"/>
        <item x="286"/>
        <item x="705"/>
        <item x="802"/>
        <item x="694"/>
        <item x="632"/>
        <item x="168"/>
        <item x="779"/>
        <item x="260"/>
        <item x="823"/>
        <item x="334"/>
        <item x="389"/>
        <item x="121"/>
        <item x="430"/>
        <item x="69"/>
        <item x="265"/>
        <item x="461"/>
        <item x="962"/>
        <item x="579"/>
        <item x="696"/>
        <item x="610"/>
        <item x="341"/>
        <item x="196"/>
        <item x="834"/>
        <item x="484"/>
        <item x="575"/>
        <item x="275"/>
        <item x="531"/>
        <item x="506"/>
        <item x="424"/>
        <item x="592"/>
        <item x="814"/>
        <item x="136"/>
        <item x="959"/>
        <item x="707"/>
        <item x="183"/>
        <item x="985"/>
        <item x="525"/>
        <item x="583"/>
        <item x="282"/>
        <item x="771"/>
        <item x="85"/>
        <item x="916"/>
        <item x="431"/>
        <item x="340"/>
        <item x="458"/>
        <item x="792"/>
        <item x="116"/>
        <item x="401"/>
        <item x="564"/>
        <item x="146"/>
        <item x="408"/>
        <item x="409"/>
        <item x="644"/>
        <item x="593"/>
        <item x="899"/>
        <item x="957"/>
        <item x="660"/>
        <item x="845"/>
        <item x="904"/>
        <item x="637"/>
        <item x="132"/>
        <item x="641"/>
        <item x="262"/>
        <item x="995"/>
        <item x="902"/>
        <item x="89"/>
        <item x="337"/>
        <item x="278"/>
        <item x="404"/>
        <item x="418"/>
        <item x="118"/>
        <item x="547"/>
        <item x="48"/>
        <item x="897"/>
        <item x="444"/>
        <item x="574"/>
        <item x="853"/>
        <item x="967"/>
        <item x="72"/>
        <item x="10"/>
        <item x="702"/>
        <item x="395"/>
        <item x="162"/>
        <item x="470"/>
        <item x="302"/>
        <item x="810"/>
        <item x="79"/>
        <item x="144"/>
        <item x="399"/>
        <item x="51"/>
        <item x="107"/>
        <item x="907"/>
        <item x="321"/>
        <item x="400"/>
        <item x="319"/>
        <item x="298"/>
        <item x="274"/>
        <item x="969"/>
        <item x="22"/>
        <item x="693"/>
        <item x="92"/>
        <item x="991"/>
        <item x="888"/>
        <item x="924"/>
        <item x="942"/>
        <item x="600"/>
        <item x="2"/>
        <item x="846"/>
        <item x="391"/>
        <item x="817"/>
        <item x="698"/>
        <item x="681"/>
        <item x="928"/>
        <item x="763"/>
        <item x="497"/>
        <item x="684"/>
        <item x="240"/>
        <item x="19"/>
        <item x="594"/>
        <item x="39"/>
        <item x="997"/>
        <item x="32"/>
        <item x="559"/>
        <item x="561"/>
        <item x="769"/>
        <item x="35"/>
        <item x="970"/>
        <item x="215"/>
        <item x="110"/>
        <item x="732"/>
        <item x="532"/>
        <item x="754"/>
        <item x="858"/>
        <item x="618"/>
        <item x="611"/>
        <item x="798"/>
        <item x="411"/>
        <item x="257"/>
        <item x="138"/>
        <item x="752"/>
        <item x="867"/>
        <item x="71"/>
        <item x="455"/>
        <item x="413"/>
        <item x="318"/>
        <item x="773"/>
        <item x="503"/>
        <item x="913"/>
        <item x="387"/>
        <item x="143"/>
        <item x="830"/>
        <item x="421"/>
        <item x="442"/>
        <item x="106"/>
        <item x="104"/>
        <item x="463"/>
        <item x="772"/>
        <item x="357"/>
        <item x="804"/>
        <item x="524"/>
        <item x="551"/>
        <item x="250"/>
        <item x="734"/>
        <item x="933"/>
        <item x="875"/>
        <item x="8"/>
        <item x="755"/>
        <item x="405"/>
        <item x="131"/>
        <item x="911"/>
        <item x="24"/>
        <item x="833"/>
        <item x="145"/>
        <item x="582"/>
        <item x="744"/>
        <item x="968"/>
        <item x="663"/>
        <item x="992"/>
        <item x="414"/>
        <item x="877"/>
        <item x="492"/>
        <item x="494"/>
        <item x="376"/>
        <item x="478"/>
        <item x="813"/>
        <item x="307"/>
        <item x="748"/>
        <item x="852"/>
        <item x="747"/>
        <item x="49"/>
        <item x="57"/>
        <item x="96"/>
        <item x="285"/>
        <item x="665"/>
        <item x="230"/>
        <item x="708"/>
        <item x="740"/>
        <item x="816"/>
        <item x="840"/>
        <item x="23"/>
        <item x="356"/>
        <item x="290"/>
        <item x="643"/>
        <item x="537"/>
        <item x="599"/>
        <item x="75"/>
        <item x="380"/>
        <item x="602"/>
        <item x="206"/>
        <item x="14"/>
        <item x="729"/>
        <item x="797"/>
        <item x="807"/>
        <item x="239"/>
        <item x="607"/>
        <item x="695"/>
        <item x="751"/>
        <item x="941"/>
        <item x="368"/>
        <item x="822"/>
        <item x="926"/>
        <item x="119"/>
        <item x="973"/>
        <item x="305"/>
        <item x="896"/>
        <item x="703"/>
        <item x="603"/>
        <item x="746"/>
        <item x="963"/>
        <item x="16"/>
        <item x="762"/>
        <item x="435"/>
        <item x="716"/>
        <item x="504"/>
        <item x="778"/>
        <item x="367"/>
        <item x="199"/>
        <item x="266"/>
        <item x="509"/>
        <item x="66"/>
        <item x="900"/>
        <item x="127"/>
        <item x="372"/>
        <item x="335"/>
        <item x="47"/>
        <item x="52"/>
        <item x="560"/>
        <item x="809"/>
        <item x="849"/>
        <item x="745"/>
        <item x="383"/>
        <item x="483"/>
        <item x="905"/>
        <item x="25"/>
        <item x="675"/>
        <item x="666"/>
        <item x="294"/>
        <item x="482"/>
        <item x="165"/>
        <item x="385"/>
        <item x="839"/>
        <item x="519"/>
        <item x="270"/>
        <item x="154"/>
        <item x="450"/>
        <item x="829"/>
        <item x="133"/>
        <item x="567"/>
        <item x="209"/>
        <item x="591"/>
        <item x="659"/>
        <item x="142"/>
        <item x="542"/>
        <item x="631"/>
        <item x="726"/>
        <item x="204"/>
        <item x="628"/>
        <item x="331"/>
        <item x="289"/>
        <item x="344"/>
        <item x="456"/>
        <item x="878"/>
        <item x="68"/>
        <item x="847"/>
        <item x="469"/>
        <item x="655"/>
        <item x="480"/>
        <item x="438"/>
        <item x="508"/>
        <item x="890"/>
        <item x="402"/>
        <item x="437"/>
        <item x="167"/>
        <item x="808"/>
        <item x="293"/>
        <item x="227"/>
        <item x="876"/>
        <item x="570"/>
        <item x="333"/>
        <item x="328"/>
        <item x="277"/>
        <item x="114"/>
        <item x="640"/>
        <item x="793"/>
        <item x="309"/>
        <item x="398"/>
        <item x="861"/>
        <item x="410"/>
        <item x="98"/>
        <item x="476"/>
        <item x="998"/>
        <item x="489"/>
        <item x="486"/>
        <item x="417"/>
        <item x="65"/>
        <item x="355"/>
        <item x="451"/>
        <item x="182"/>
        <item x="31"/>
        <item x="82"/>
        <item x="993"/>
        <item x="865"/>
        <item x="921"/>
        <item x="581"/>
        <item x="97"/>
        <item x="301"/>
        <item x="223"/>
        <item x="370"/>
        <item x="789"/>
        <item x="619"/>
        <item x="195"/>
        <item x="207"/>
        <item x="288"/>
        <item x="62"/>
        <item x="448"/>
        <item x="615"/>
        <item x="549"/>
        <item x="860"/>
        <item x="151"/>
        <item x="737"/>
        <item x="59"/>
        <item x="465"/>
        <item x="645"/>
        <item x="880"/>
        <item x="203"/>
        <item x="178"/>
        <item x="925"/>
        <item x="739"/>
        <item x="874"/>
        <item x="386"/>
        <item x="639"/>
        <item x="982"/>
        <item x="242"/>
        <item x="108"/>
        <item x="812"/>
        <item x="191"/>
        <item x="53"/>
        <item x="254"/>
        <item x="873"/>
        <item x="189"/>
        <item x="753"/>
        <item x="886"/>
        <item x="129"/>
        <item x="117"/>
        <item x="342"/>
        <item x="432"/>
        <item x="678"/>
        <item x="719"/>
        <item x="578"/>
        <item x="819"/>
        <item x="159"/>
        <item x="709"/>
        <item x="388"/>
        <item x="83"/>
        <item x="950"/>
        <item x="67"/>
        <item x="29"/>
        <item x="271"/>
        <item x="364"/>
        <item x="77"/>
        <item x="296"/>
        <item x="647"/>
        <item x="63"/>
        <item x="33"/>
        <item x="100"/>
        <item x="329"/>
        <item x="511"/>
        <item x="109"/>
        <item x="231"/>
        <item x="544"/>
        <item x="313"/>
        <item x="406"/>
        <item x="201"/>
        <item x="122"/>
        <item x="522"/>
        <item x="235"/>
        <item x="447"/>
        <item x="736"/>
        <item x="234"/>
        <item x="669"/>
        <item x="436"/>
        <item x="299"/>
        <item x="181"/>
        <item x="425"/>
        <item x="60"/>
        <item x="987"/>
        <item x="782"/>
        <item x="502"/>
        <item x="445"/>
        <item x="184"/>
        <item x="263"/>
        <item x="158"/>
        <item x="838"/>
        <item x="653"/>
        <item x="882"/>
        <item x="175"/>
        <item x="433"/>
        <item x="714"/>
        <item x="102"/>
        <item x="661"/>
        <item x="268"/>
        <item x="513"/>
        <item x="390"/>
        <item x="790"/>
        <item x="439"/>
        <item x="625"/>
        <item x="558"/>
        <item x="528"/>
        <item x="989"/>
        <item x="650"/>
        <item x="627"/>
        <item x="977"/>
        <item x="584"/>
        <item x="546"/>
        <item x="930"/>
        <item x="123"/>
        <item x="724"/>
        <item x="945"/>
        <item x="918"/>
        <item x="139"/>
        <item x="614"/>
        <item x="377"/>
        <item x="141"/>
        <item x="477"/>
        <item x="557"/>
        <item x="86"/>
        <item x="190"/>
        <item x="717"/>
        <item x="940"/>
        <item x="657"/>
        <item x="788"/>
        <item x="936"/>
        <item x="58"/>
        <item x="245"/>
        <item x="776"/>
        <item x="55"/>
        <item x="586"/>
        <item x="9"/>
        <item x="11"/>
        <item x="857"/>
        <item x="452"/>
        <item x="903"/>
        <item x="697"/>
        <item x="4"/>
        <item x="197"/>
        <item x="764"/>
        <item x="276"/>
        <item x="481"/>
        <item x="244"/>
        <item x="521"/>
        <item x="850"/>
        <item x="15"/>
        <item x="700"/>
        <item x="588"/>
        <item x="881"/>
        <item x="202"/>
        <item x="462"/>
        <item x="898"/>
        <item x="273"/>
        <item x="523"/>
        <item x="153"/>
        <item x="140"/>
        <item x="894"/>
        <item x="692"/>
        <item x="553"/>
        <item x="859"/>
        <item x="180"/>
        <item x="725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showAll="0"/>
    <pivotField dataField="1" numFmtId="164" showAll="0">
      <items count="1001">
        <item x="92"/>
        <item x="465"/>
        <item x="890"/>
        <item x="542"/>
        <item x="375"/>
        <item x="756"/>
        <item x="537"/>
        <item x="387"/>
        <item x="447"/>
        <item x="118"/>
        <item x="806"/>
        <item x="657"/>
        <item x="287"/>
        <item x="247"/>
        <item x="819"/>
        <item x="845"/>
        <item x="597"/>
        <item x="111"/>
        <item x="798"/>
        <item x="103"/>
        <item x="551"/>
        <item x="592"/>
        <item x="958"/>
        <item x="249"/>
        <item x="391"/>
        <item x="925"/>
        <item x="686"/>
        <item x="589"/>
        <item x="53"/>
        <item x="897"/>
        <item x="661"/>
        <item x="394"/>
        <item x="293"/>
        <item x="45"/>
        <item x="652"/>
        <item x="364"/>
        <item x="608"/>
        <item x="200"/>
        <item x="328"/>
        <item x="903"/>
        <item x="88"/>
        <item x="411"/>
        <item x="790"/>
        <item x="75"/>
        <item x="711"/>
        <item x="524"/>
        <item x="27"/>
        <item x="260"/>
        <item x="951"/>
        <item x="259"/>
        <item x="531"/>
        <item x="626"/>
        <item x="669"/>
        <item x="483"/>
        <item x="599"/>
        <item x="22"/>
        <item x="943"/>
        <item x="197"/>
        <item x="61"/>
        <item x="309"/>
        <item x="519"/>
        <item x="317"/>
        <item x="310"/>
        <item x="620"/>
        <item x="953"/>
        <item x="992"/>
        <item x="528"/>
        <item x="924"/>
        <item x="842"/>
        <item x="201"/>
        <item x="649"/>
        <item x="879"/>
        <item x="402"/>
        <item x="70"/>
        <item x="501"/>
        <item x="488"/>
        <item x="942"/>
        <item x="818"/>
        <item x="80"/>
        <item x="624"/>
        <item x="966"/>
        <item x="576"/>
        <item x="113"/>
        <item x="717"/>
        <item x="690"/>
        <item x="872"/>
        <item x="327"/>
        <item x="928"/>
        <item x="69"/>
        <item x="255"/>
        <item x="337"/>
        <item x="854"/>
        <item x="996"/>
        <item x="646"/>
        <item x="140"/>
        <item x="8"/>
        <item x="177"/>
        <item x="715"/>
        <item x="655"/>
        <item x="108"/>
        <item x="767"/>
        <item x="972"/>
        <item x="344"/>
        <item x="86"/>
        <item x="142"/>
        <item x="908"/>
        <item x="124"/>
        <item x="173"/>
        <item x="857"/>
        <item x="369"/>
        <item x="228"/>
        <item x="243"/>
        <item x="245"/>
        <item x="976"/>
        <item x="820"/>
        <item x="893"/>
        <item x="723"/>
        <item x="239"/>
        <item x="498"/>
        <item x="226"/>
        <item x="956"/>
        <item x="594"/>
        <item x="107"/>
        <item x="48"/>
        <item x="545"/>
        <item x="93"/>
        <item x="556"/>
        <item x="213"/>
        <item x="630"/>
        <item x="682"/>
        <item x="517"/>
        <item x="59"/>
        <item x="85"/>
        <item x="263"/>
        <item x="312"/>
        <item x="184"/>
        <item x="151"/>
        <item x="459"/>
        <item x="853"/>
        <item x="917"/>
        <item x="502"/>
        <item x="435"/>
        <item x="33"/>
        <item x="58"/>
        <item x="110"/>
        <item x="837"/>
        <item x="572"/>
        <item x="7"/>
        <item x="158"/>
        <item x="169"/>
        <item x="710"/>
        <item x="326"/>
        <item x="508"/>
        <item x="470"/>
        <item x="21"/>
        <item x="170"/>
        <item x="931"/>
        <item x="352"/>
        <item x="603"/>
        <item x="272"/>
        <item x="181"/>
        <item x="712"/>
        <item x="585"/>
        <item x="244"/>
        <item x="640"/>
        <item x="471"/>
        <item x="882"/>
        <item x="145"/>
        <item x="965"/>
        <item x="81"/>
        <item x="486"/>
        <item x="602"/>
        <item x="413"/>
        <item x="399"/>
        <item x="332"/>
        <item x="87"/>
        <item x="303"/>
        <item x="422"/>
        <item x="91"/>
        <item x="670"/>
        <item x="969"/>
        <item x="347"/>
        <item x="567"/>
        <item x="733"/>
        <item x="714"/>
        <item x="410"/>
        <item x="706"/>
        <item x="970"/>
        <item x="383"/>
        <item x="453"/>
        <item x="26"/>
        <item x="878"/>
        <item x="147"/>
        <item x="743"/>
        <item x="851"/>
        <item x="408"/>
        <item x="859"/>
        <item x="95"/>
        <item x="159"/>
        <item x="995"/>
        <item x="610"/>
        <item x="760"/>
        <item x="744"/>
        <item x="557"/>
        <item x="374"/>
        <item x="89"/>
        <item x="489"/>
        <item x="136"/>
        <item x="601"/>
        <item x="940"/>
        <item x="38"/>
        <item x="35"/>
        <item x="959"/>
        <item x="518"/>
        <item x="645"/>
        <item x="684"/>
        <item x="477"/>
        <item x="738"/>
        <item x="12"/>
        <item x="779"/>
        <item x="722"/>
        <item x="703"/>
        <item x="582"/>
        <item x="324"/>
        <item x="494"/>
        <item x="565"/>
        <item x="795"/>
        <item x="214"/>
        <item x="94"/>
        <item x="210"/>
        <item x="634"/>
        <item x="360"/>
        <item x="55"/>
        <item x="688"/>
        <item x="579"/>
        <item x="679"/>
        <item x="180"/>
        <item x="429"/>
        <item x="314"/>
        <item x="292"/>
        <item x="811"/>
        <item x="934"/>
        <item x="541"/>
        <item x="936"/>
        <item x="676"/>
        <item x="357"/>
        <item x="358"/>
        <item x="202"/>
        <item x="967"/>
        <item x="757"/>
        <item x="735"/>
        <item x="131"/>
        <item x="674"/>
        <item x="148"/>
        <item x="689"/>
        <item x="666"/>
        <item x="520"/>
        <item x="84"/>
        <item x="755"/>
        <item x="112"/>
        <item x="713"/>
        <item x="217"/>
        <item x="262"/>
        <item x="212"/>
        <item x="54"/>
        <item x="500"/>
        <item x="705"/>
        <item x="991"/>
        <item x="580"/>
        <item x="548"/>
        <item x="47"/>
        <item x="224"/>
        <item x="65"/>
        <item x="37"/>
        <item x="632"/>
        <item x="983"/>
        <item x="174"/>
        <item x="439"/>
        <item x="407"/>
        <item x="730"/>
        <item x="322"/>
        <item x="206"/>
        <item x="284"/>
        <item x="11"/>
        <item x="223"/>
        <item x="474"/>
        <item x="604"/>
        <item x="536"/>
        <item x="832"/>
        <item x="727"/>
        <item x="302"/>
        <item x="915"/>
        <item x="849"/>
        <item x="265"/>
        <item x="253"/>
        <item x="627"/>
        <item x="316"/>
        <item x="128"/>
        <item x="236"/>
        <item x="349"/>
        <item x="855"/>
        <item x="325"/>
        <item x="99"/>
        <item x="773"/>
        <item x="221"/>
        <item x="127"/>
        <item x="869"/>
        <item x="957"/>
        <item x="433"/>
        <item x="533"/>
        <item x="313"/>
        <item x="497"/>
        <item x="141"/>
        <item x="777"/>
        <item x="728"/>
        <item x="675"/>
        <item x="749"/>
        <item x="114"/>
        <item x="51"/>
        <item x="949"/>
        <item x="504"/>
        <item x="648"/>
        <item x="484"/>
        <item x="377"/>
        <item x="442"/>
        <item x="240"/>
        <item x="544"/>
        <item x="746"/>
        <item x="220"/>
        <item x="44"/>
        <item x="40"/>
        <item x="621"/>
        <item x="590"/>
        <item x="294"/>
        <item x="458"/>
        <item x="758"/>
        <item x="74"/>
        <item x="625"/>
        <item x="30"/>
        <item x="454"/>
        <item x="880"/>
        <item x="834"/>
        <item x="731"/>
        <item x="430"/>
        <item x="539"/>
        <item x="98"/>
        <item x="481"/>
        <item x="564"/>
        <item x="102"/>
        <item x="955"/>
        <item x="130"/>
        <item x="861"/>
        <item x="720"/>
        <item x="125"/>
        <item x="20"/>
        <item x="285"/>
        <item x="104"/>
        <item x="463"/>
        <item x="414"/>
        <item x="821"/>
        <item x="396"/>
        <item x="24"/>
        <item x="664"/>
        <item x="178"/>
        <item x="307"/>
        <item x="912"/>
        <item x="667"/>
        <item x="29"/>
        <item x="215"/>
        <item x="555"/>
        <item x="334"/>
        <item x="441"/>
        <item x="438"/>
        <item x="342"/>
        <item x="780"/>
        <item x="211"/>
        <item x="15"/>
        <item x="759"/>
        <item x="144"/>
        <item x="267"/>
        <item x="561"/>
        <item x="436"/>
        <item x="510"/>
        <item x="133"/>
        <item x="831"/>
        <item x="271"/>
        <item x="799"/>
        <item x="671"/>
        <item x="609"/>
        <item x="9"/>
        <item x="493"/>
        <item x="858"/>
        <item x="534"/>
        <item x="232"/>
        <item x="276"/>
        <item x="329"/>
        <item x="451"/>
        <item x="631"/>
        <item x="356"/>
        <item x="752"/>
        <item x="277"/>
        <item x="698"/>
        <item x="835"/>
        <item x="354"/>
        <item x="770"/>
        <item x="315"/>
        <item x="952"/>
        <item x="605"/>
        <item x="899"/>
        <item x="654"/>
        <item x="568"/>
        <item x="968"/>
        <item x="34"/>
        <item x="199"/>
        <item x="409"/>
        <item x="586"/>
        <item x="397"/>
        <item x="623"/>
        <item x="618"/>
        <item x="981"/>
        <item x="552"/>
        <item x="523"/>
        <item x="424"/>
        <item x="848"/>
        <item x="778"/>
        <item x="101"/>
        <item x="553"/>
        <item x="395"/>
        <item x="299"/>
        <item x="17"/>
        <item x="852"/>
        <item x="480"/>
        <item x="198"/>
        <item x="105"/>
        <item x="257"/>
        <item x="460"/>
        <item x="182"/>
        <item x="677"/>
        <item x="469"/>
        <item x="423"/>
        <item x="320"/>
        <item x="416"/>
        <item x="482"/>
        <item x="116"/>
        <item x="532"/>
        <item x="78"/>
        <item x="384"/>
        <item x="515"/>
        <item x="149"/>
        <item x="283"/>
        <item x="896"/>
        <item x="475"/>
        <item x="593"/>
        <item x="900"/>
        <item x="225"/>
        <item x="979"/>
        <item x="814"/>
        <item x="339"/>
        <item x="822"/>
        <item x="452"/>
        <item x="739"/>
        <item x="134"/>
        <item x="614"/>
        <item x="769"/>
        <item x="665"/>
        <item x="386"/>
        <item x="581"/>
        <item x="628"/>
        <item x="846"/>
        <item x="185"/>
        <item x="694"/>
        <item x="119"/>
        <item x="261"/>
        <item x="616"/>
        <item x="203"/>
        <item x="724"/>
        <item x="129"/>
        <item x="644"/>
        <item x="816"/>
        <item x="894"/>
        <item x="160"/>
        <item x="123"/>
        <item x="742"/>
        <item x="643"/>
        <item x="19"/>
        <item x="538"/>
        <item x="829"/>
        <item x="977"/>
        <item x="415"/>
        <item x="535"/>
        <item x="985"/>
        <item x="126"/>
        <item x="250"/>
        <item x="60"/>
        <item x="786"/>
        <item x="264"/>
        <item x="725"/>
        <item x="888"/>
        <item x="10"/>
        <item x="175"/>
        <item x="351"/>
        <item x="598"/>
        <item x="785"/>
        <item x="721"/>
        <item x="368"/>
        <item x="850"/>
        <item x="997"/>
        <item x="775"/>
        <item x="938"/>
        <item x="788"/>
        <item x="993"/>
        <item x="443"/>
        <item x="222"/>
        <item x="242"/>
        <item x="165"/>
        <item x="52"/>
        <item x="571"/>
        <item x="918"/>
        <item x="36"/>
        <item x="813"/>
        <item x="492"/>
        <item x="673"/>
        <item x="954"/>
        <item x="838"/>
        <item x="707"/>
        <item x="866"/>
        <item x="252"/>
        <item x="216"/>
        <item x="122"/>
        <item x="803"/>
        <item x="865"/>
        <item x="885"/>
        <item x="762"/>
        <item x="916"/>
        <item x="67"/>
        <item x="840"/>
        <item x="14"/>
        <item x="25"/>
        <item x="472"/>
        <item x="697"/>
        <item x="196"/>
        <item x="466"/>
        <item x="641"/>
        <item x="986"/>
        <item x="999"/>
        <item x="960"/>
        <item x="4"/>
        <item x="404"/>
        <item x="28"/>
        <item x="920"/>
        <item x="771"/>
        <item x="700"/>
        <item x="305"/>
        <item x="266"/>
        <item x="946"/>
        <item x="487"/>
        <item x="863"/>
        <item x="826"/>
        <item x="188"/>
        <item x="726"/>
        <item x="507"/>
        <item x="830"/>
        <item x="179"/>
        <item x="132"/>
        <item x="753"/>
        <item x="791"/>
        <item x="636"/>
        <item x="935"/>
        <item x="385"/>
        <item x="909"/>
        <item x="251"/>
        <item x="63"/>
        <item x="152"/>
        <item x="41"/>
        <item x="887"/>
        <item x="527"/>
        <item x="166"/>
        <item x="419"/>
        <item x="235"/>
        <item x="607"/>
        <item x="495"/>
        <item x="761"/>
        <item x="843"/>
        <item x="194"/>
        <item x="543"/>
        <item x="562"/>
        <item x="479"/>
        <item x="800"/>
        <item x="877"/>
        <item x="596"/>
        <item x="446"/>
        <item x="839"/>
        <item x="708"/>
        <item x="809"/>
        <item x="765"/>
        <item x="554"/>
        <item x="876"/>
        <item x="418"/>
        <item x="323"/>
        <item x="269"/>
        <item x="529"/>
        <item x="473"/>
        <item x="143"/>
        <item x="505"/>
        <item x="550"/>
        <item x="156"/>
        <item x="155"/>
        <item x="540"/>
        <item x="490"/>
        <item x="448"/>
        <item x="895"/>
        <item x="318"/>
        <item x="161"/>
        <item x="171"/>
        <item x="258"/>
        <item x="964"/>
        <item x="982"/>
        <item x="745"/>
        <item x="921"/>
        <item x="783"/>
        <item x="801"/>
        <item x="207"/>
        <item x="933"/>
        <item x="808"/>
        <item x="380"/>
        <item x="455"/>
        <item x="290"/>
        <item x="406"/>
        <item x="121"/>
        <item x="90"/>
        <item x="547"/>
        <item x="43"/>
        <item x="678"/>
        <item x="574"/>
        <item x="82"/>
        <item x="5"/>
        <item x="824"/>
        <item x="902"/>
        <item x="331"/>
        <item x="50"/>
        <item x="449"/>
        <item x="573"/>
        <item x="904"/>
        <item x="190"/>
        <item x="18"/>
        <item x="736"/>
        <item x="333"/>
        <item x="622"/>
        <item x="873"/>
        <item x="195"/>
        <item x="73"/>
        <item x="660"/>
        <item x="741"/>
        <item x="379"/>
        <item x="922"/>
        <item x="297"/>
        <item x="914"/>
        <item x="403"/>
        <item x="109"/>
        <item x="367"/>
        <item x="583"/>
        <item x="401"/>
        <item x="286"/>
        <item x="975"/>
        <item x="371"/>
        <item x="496"/>
        <item x="570"/>
        <item x="509"/>
        <item x="246"/>
        <item x="64"/>
        <item x="754"/>
        <item x="31"/>
        <item x="172"/>
        <item x="672"/>
        <item x="444"/>
        <item x="499"/>
        <item x="229"/>
        <item x="836"/>
        <item x="944"/>
        <item x="345"/>
        <item x="282"/>
        <item x="273"/>
        <item x="650"/>
        <item x="750"/>
        <item x="68"/>
        <item x="789"/>
        <item x="485"/>
        <item x="687"/>
        <item x="787"/>
        <item x="923"/>
        <item x="932"/>
        <item x="16"/>
        <item x="281"/>
        <item x="656"/>
        <item x="321"/>
        <item x="412"/>
        <item x="651"/>
        <item x="699"/>
        <item x="183"/>
        <item x="766"/>
        <item x="668"/>
        <item x="308"/>
        <item x="719"/>
        <item x="961"/>
        <item x="398"/>
        <item x="701"/>
        <item x="860"/>
        <item x="633"/>
        <item x="100"/>
        <item x="569"/>
        <item x="525"/>
        <item x="526"/>
        <item x="709"/>
        <item x="62"/>
        <item x="611"/>
        <item x="841"/>
        <item x="617"/>
        <item x="248"/>
        <item x="0"/>
        <item x="335"/>
        <item x="939"/>
        <item x="511"/>
        <item x="205"/>
        <item x="629"/>
        <item x="990"/>
        <item x="440"/>
        <item x="204"/>
        <item x="139"/>
        <item x="875"/>
        <item x="856"/>
        <item x="910"/>
        <item x="635"/>
        <item x="748"/>
        <item x="77"/>
        <item x="425"/>
        <item x="392"/>
        <item x="691"/>
        <item x="797"/>
        <item x="298"/>
        <item x="370"/>
        <item x="83"/>
        <item x="729"/>
        <item x="930"/>
        <item x="794"/>
        <item x="619"/>
        <item x="546"/>
        <item x="584"/>
        <item x="591"/>
        <item x="227"/>
        <item x="805"/>
        <item x="558"/>
        <item x="428"/>
        <item x="681"/>
        <item x="49"/>
        <item x="491"/>
        <item x="994"/>
        <item x="72"/>
        <item x="288"/>
        <item x="319"/>
        <item x="764"/>
        <item x="154"/>
        <item x="867"/>
        <item x="6"/>
        <item x="512"/>
        <item x="734"/>
        <item x="153"/>
        <item x="868"/>
        <item x="137"/>
        <item x="46"/>
        <item x="653"/>
        <item x="330"/>
        <item x="278"/>
        <item x="120"/>
        <item x="971"/>
        <item x="163"/>
        <item x="162"/>
        <item x="796"/>
        <item x="456"/>
        <item x="186"/>
        <item x="907"/>
        <item x="2"/>
        <item x="168"/>
        <item x="973"/>
        <item x="187"/>
        <item x="306"/>
        <item x="578"/>
        <item x="157"/>
        <item x="862"/>
        <item x="696"/>
        <item x="388"/>
        <item x="209"/>
        <item x="362"/>
        <item x="693"/>
        <item x="825"/>
        <item x="989"/>
        <item x="998"/>
        <item x="941"/>
        <item x="612"/>
        <item x="295"/>
        <item x="905"/>
        <item x="241"/>
        <item x="615"/>
        <item x="530"/>
        <item x="884"/>
        <item x="772"/>
        <item x="815"/>
        <item x="695"/>
        <item x="167"/>
        <item x="781"/>
        <item x="658"/>
        <item x="115"/>
        <item x="135"/>
        <item x="950"/>
        <item x="164"/>
        <item x="513"/>
        <item x="847"/>
        <item x="747"/>
        <item x="417"/>
        <item x="219"/>
        <item x="341"/>
        <item x="642"/>
        <item x="844"/>
        <item x="963"/>
        <item x="782"/>
        <item x="792"/>
        <item x="595"/>
        <item x="683"/>
        <item x="431"/>
        <item x="348"/>
        <item x="106"/>
        <item x="881"/>
        <item x="901"/>
        <item x="913"/>
        <item x="268"/>
        <item x="980"/>
        <item x="382"/>
        <item x="462"/>
        <item x="346"/>
        <item x="776"/>
        <item x="662"/>
        <item x="692"/>
        <item x="42"/>
        <item x="898"/>
        <item x="427"/>
        <item x="503"/>
        <item x="516"/>
        <item x="638"/>
        <item x="274"/>
        <item x="66"/>
        <item x="176"/>
        <item x="390"/>
        <item x="350"/>
        <item x="864"/>
        <item x="937"/>
        <item x="804"/>
        <item x="457"/>
        <item x="189"/>
        <item x="437"/>
        <item x="984"/>
        <item x="432"/>
        <item x="1"/>
        <item x="810"/>
        <item x="871"/>
        <item x="373"/>
        <item x="639"/>
        <item x="150"/>
        <item x="301"/>
        <item x="948"/>
        <item x="828"/>
        <item x="353"/>
        <item x="702"/>
        <item x="892"/>
        <item x="889"/>
        <item x="807"/>
        <item x="280"/>
        <item x="254"/>
        <item x="343"/>
        <item x="833"/>
        <item x="218"/>
        <item x="13"/>
        <item x="478"/>
        <item x="445"/>
        <item x="663"/>
        <item x="359"/>
        <item x="279"/>
        <item x="919"/>
        <item x="802"/>
        <item x="575"/>
        <item x="476"/>
        <item x="3"/>
        <item x="566"/>
        <item x="23"/>
        <item x="193"/>
        <item x="827"/>
        <item x="467"/>
        <item x="926"/>
        <item x="812"/>
        <item x="450"/>
        <item x="208"/>
        <item x="238"/>
        <item x="929"/>
        <item x="97"/>
        <item x="685"/>
        <item x="233"/>
        <item x="365"/>
        <item x="740"/>
        <item x="784"/>
        <item x="231"/>
        <item x="891"/>
        <item x="613"/>
        <item x="372"/>
        <item x="522"/>
        <item x="945"/>
        <item x="793"/>
        <item x="237"/>
        <item x="340"/>
        <item x="361"/>
        <item x="521"/>
        <item x="737"/>
        <item x="763"/>
        <item x="886"/>
        <item x="405"/>
        <item x="774"/>
        <item x="400"/>
        <item x="987"/>
        <item x="974"/>
        <item x="718"/>
        <item x="366"/>
        <item x="506"/>
        <item x="389"/>
        <item x="56"/>
        <item x="906"/>
        <item x="256"/>
        <item x="817"/>
        <item x="191"/>
        <item x="716"/>
        <item x="304"/>
        <item x="378"/>
        <item x="146"/>
        <item x="704"/>
        <item x="468"/>
        <item x="464"/>
        <item x="577"/>
        <item x="39"/>
        <item x="751"/>
        <item x="559"/>
        <item x="192"/>
        <item x="823"/>
        <item x="376"/>
        <item x="57"/>
        <item x="560"/>
        <item x="291"/>
        <item x="588"/>
        <item x="514"/>
        <item x="289"/>
        <item x="420"/>
        <item x="230"/>
        <item x="79"/>
        <item x="434"/>
        <item x="637"/>
        <item x="927"/>
        <item x="732"/>
        <item x="76"/>
        <item x="336"/>
        <item x="270"/>
        <item x="883"/>
        <item x="71"/>
        <item x="680"/>
        <item x="600"/>
        <item x="962"/>
        <item x="117"/>
        <item x="234"/>
        <item x="978"/>
        <item x="461"/>
        <item x="563"/>
        <item x="421"/>
        <item x="355"/>
        <item x="870"/>
        <item x="381"/>
        <item x="32"/>
        <item x="275"/>
        <item x="300"/>
        <item x="426"/>
        <item x="947"/>
        <item x="138"/>
        <item x="659"/>
        <item x="587"/>
        <item x="363"/>
        <item x="768"/>
        <item x="911"/>
        <item x="338"/>
        <item x="606"/>
        <item x="296"/>
        <item x="393"/>
        <item x="647"/>
        <item x="549"/>
        <item x="96"/>
        <item x="311"/>
        <item x="874"/>
        <item x="988"/>
        <item t="default"/>
      </items>
    </pivotField>
    <pivotField numFmtId="164" showAll="0"/>
    <pivotField numFmtId="168" showAll="0"/>
    <pivotField numFmtId="169" showAll="0"/>
    <pivotField numFmtId="164" showAll="0"/>
    <pivotField numFmtId="165" showAll="0"/>
    <pivotField showAll="0"/>
    <pivotField numFmtId="164" showAll="0"/>
    <pivotField numFmtId="44" showAll="0"/>
    <pivotField numFmtId="44" showAll="0"/>
    <pivotField numFmtId="44" showAll="0"/>
    <pivotField numFmtId="44" showAll="0"/>
    <pivotField numFmtId="164" showAll="0"/>
    <pivotField numFmtId="164" showAll="0"/>
    <pivotField numFmtId="164" showAll="0"/>
    <pivotField numFmtId="44" showAll="0"/>
    <pivotField numFmtId="44" showAll="0"/>
    <pivotField numFmtId="44" showAll="0"/>
    <pivotField numFmtId="44" showAll="0"/>
    <pivotField numFmtId="164" showAll="0"/>
    <pivotField numFmtId="164" showAll="0"/>
  </pivotFields>
  <rowFields count="1">
    <field x="3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495-1F3D-764A-9E60-15456212E4FD}">
  <dimension ref="A1:M14"/>
  <sheetViews>
    <sheetView showGridLines="0" tabSelected="1" workbookViewId="0">
      <selection activeCell="C18" sqref="C18"/>
    </sheetView>
  </sheetViews>
  <sheetFormatPr defaultColWidth="11.42578125" defaultRowHeight="15" x14ac:dyDescent="0.25"/>
  <cols>
    <col min="1" max="16384" width="11.42578125" style="34"/>
  </cols>
  <sheetData>
    <row r="1" spans="1:13" ht="26.25" x14ac:dyDescent="0.4">
      <c r="A1" s="94" t="s">
        <v>22351</v>
      </c>
      <c r="B1" s="94"/>
      <c r="C1" s="94"/>
      <c r="D1" s="94"/>
      <c r="E1" s="94"/>
      <c r="F1" s="94"/>
      <c r="G1" s="94"/>
      <c r="H1" s="94"/>
      <c r="I1" s="94"/>
      <c r="J1" s="94"/>
      <c r="K1" s="59"/>
      <c r="L1" s="59"/>
      <c r="M1" s="59"/>
    </row>
    <row r="2" spans="1:13" s="93" customFormat="1" ht="21" x14ac:dyDescent="0.35">
      <c r="A2" s="93" t="s">
        <v>22352</v>
      </c>
    </row>
    <row r="3" spans="1:13" s="93" customFormat="1" ht="21" x14ac:dyDescent="0.35">
      <c r="A3" s="93" t="s">
        <v>22353</v>
      </c>
    </row>
    <row r="4" spans="1:13" s="75" customFormat="1" ht="21" x14ac:dyDescent="0.35"/>
    <row r="5" spans="1:13" s="75" customFormat="1" ht="21" x14ac:dyDescent="0.35">
      <c r="A5" s="75" t="s">
        <v>22381</v>
      </c>
    </row>
    <row r="6" spans="1:13" s="96" customFormat="1" ht="21" x14ac:dyDescent="0.35">
      <c r="A6" s="95" t="s">
        <v>22374</v>
      </c>
    </row>
    <row r="7" spans="1:13" s="77" customFormat="1" ht="21" x14ac:dyDescent="0.35">
      <c r="A7" s="76" t="s">
        <v>23404</v>
      </c>
    </row>
    <row r="8" spans="1:13" s="96" customFormat="1" ht="21" x14ac:dyDescent="0.35">
      <c r="A8" s="96" t="s">
        <v>23403</v>
      </c>
    </row>
    <row r="9" spans="1:13" s="96" customFormat="1" ht="21" x14ac:dyDescent="0.35">
      <c r="A9" s="96" t="s">
        <v>22375</v>
      </c>
    </row>
    <row r="10" spans="1:13" ht="15.75" x14ac:dyDescent="0.25">
      <c r="A10" s="74" t="s">
        <v>22376</v>
      </c>
    </row>
    <row r="11" spans="1:13" ht="15.75" x14ac:dyDescent="0.25">
      <c r="A11" s="74" t="s">
        <v>22377</v>
      </c>
    </row>
    <row r="12" spans="1:13" ht="15.75" x14ac:dyDescent="0.25">
      <c r="A12" s="74" t="s">
        <v>22378</v>
      </c>
    </row>
    <row r="13" spans="1:13" ht="15.75" x14ac:dyDescent="0.25">
      <c r="A13" s="74" t="s">
        <v>22379</v>
      </c>
    </row>
    <row r="14" spans="1:13" ht="15.75" x14ac:dyDescent="0.25">
      <c r="A14" s="74" t="s">
        <v>22380</v>
      </c>
    </row>
  </sheetData>
  <sheetProtection sheet="1" objects="1" scenarios="1"/>
  <mergeCells count="6">
    <mergeCell ref="A3:XFD3"/>
    <mergeCell ref="A1:J1"/>
    <mergeCell ref="A2:XFD2"/>
    <mergeCell ref="A6:XFD6"/>
    <mergeCell ref="A9:XFD9"/>
    <mergeCell ref="A8:XFD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0001"/>
  <sheetViews>
    <sheetView workbookViewId="0"/>
  </sheetViews>
  <sheetFormatPr defaultColWidth="8.85546875" defaultRowHeight="15" x14ac:dyDescent="0.25"/>
  <cols>
    <col min="1" max="1" width="11.42578125" bestFit="1" customWidth="1"/>
    <col min="2" max="2" width="14.42578125" bestFit="1" customWidth="1"/>
    <col min="3" max="3" width="14.7109375" bestFit="1" customWidth="1"/>
    <col min="4" max="4" width="12.7109375" bestFit="1" customWidth="1"/>
  </cols>
  <sheetData>
    <row r="1" spans="1:4" x14ac:dyDescent="0.25">
      <c r="A1" t="s">
        <v>1926</v>
      </c>
      <c r="B1" t="s">
        <v>1927</v>
      </c>
      <c r="C1" t="s">
        <v>1928</v>
      </c>
      <c r="D1" t="s">
        <v>0</v>
      </c>
    </row>
    <row r="2" spans="1:4" x14ac:dyDescent="0.25">
      <c r="A2" t="s">
        <v>1929</v>
      </c>
      <c r="B2" t="s">
        <v>1930</v>
      </c>
      <c r="C2">
        <v>56950</v>
      </c>
      <c r="D2">
        <v>5422052862</v>
      </c>
    </row>
    <row r="3" spans="1:4" x14ac:dyDescent="0.25">
      <c r="A3" t="s">
        <v>1931</v>
      </c>
      <c r="B3" t="s">
        <v>1932</v>
      </c>
      <c r="C3">
        <v>48209</v>
      </c>
      <c r="D3">
        <v>8565880958</v>
      </c>
    </row>
    <row r="4" spans="1:4" x14ac:dyDescent="0.25">
      <c r="A4" t="s">
        <v>1933</v>
      </c>
      <c r="B4" t="s">
        <v>1934</v>
      </c>
      <c r="C4">
        <v>21451</v>
      </c>
      <c r="D4">
        <v>5511711233</v>
      </c>
    </row>
    <row r="5" spans="1:4" x14ac:dyDescent="0.25">
      <c r="A5" t="s">
        <v>1935</v>
      </c>
      <c r="B5" t="s">
        <v>1936</v>
      </c>
      <c r="C5">
        <v>25987</v>
      </c>
      <c r="D5">
        <v>3547596165</v>
      </c>
    </row>
    <row r="6" spans="1:4" x14ac:dyDescent="0.25">
      <c r="A6" t="s">
        <v>1937</v>
      </c>
      <c r="B6" t="s">
        <v>1938</v>
      </c>
      <c r="C6">
        <v>34774</v>
      </c>
      <c r="D6">
        <v>4175195971</v>
      </c>
    </row>
    <row r="7" spans="1:4" x14ac:dyDescent="0.25">
      <c r="A7" t="s">
        <v>1939</v>
      </c>
      <c r="B7" t="s">
        <v>1940</v>
      </c>
      <c r="C7">
        <v>14259</v>
      </c>
      <c r="D7">
        <v>6183510505</v>
      </c>
    </row>
    <row r="8" spans="1:4" x14ac:dyDescent="0.25">
      <c r="A8" t="s">
        <v>1941</v>
      </c>
      <c r="B8" t="s">
        <v>1942</v>
      </c>
      <c r="C8">
        <v>14971</v>
      </c>
      <c r="D8">
        <v>9483290694</v>
      </c>
    </row>
    <row r="9" spans="1:4" x14ac:dyDescent="0.25">
      <c r="A9" t="s">
        <v>1943</v>
      </c>
      <c r="B9" t="s">
        <v>1944</v>
      </c>
      <c r="C9">
        <v>56182</v>
      </c>
      <c r="D9">
        <v>264454596</v>
      </c>
    </row>
    <row r="10" spans="1:4" x14ac:dyDescent="0.25">
      <c r="A10" t="s">
        <v>1945</v>
      </c>
      <c r="B10" t="s">
        <v>1946</v>
      </c>
      <c r="C10">
        <v>37022</v>
      </c>
      <c r="D10">
        <v>3935718624</v>
      </c>
    </row>
    <row r="11" spans="1:4" x14ac:dyDescent="0.25">
      <c r="A11" t="s">
        <v>1947</v>
      </c>
      <c r="B11" t="s">
        <v>1948</v>
      </c>
      <c r="C11">
        <v>54203</v>
      </c>
      <c r="D11">
        <v>2355104786</v>
      </c>
    </row>
    <row r="12" spans="1:4" x14ac:dyDescent="0.25">
      <c r="A12" t="s">
        <v>1949</v>
      </c>
      <c r="B12" t="s">
        <v>1950</v>
      </c>
      <c r="C12">
        <v>17688</v>
      </c>
      <c r="D12">
        <v>2533903736</v>
      </c>
    </row>
    <row r="13" spans="1:4" x14ac:dyDescent="0.25">
      <c r="A13" t="s">
        <v>1951</v>
      </c>
      <c r="B13" t="s">
        <v>1952</v>
      </c>
      <c r="C13">
        <v>53718</v>
      </c>
      <c r="D13">
        <v>9293760045</v>
      </c>
    </row>
    <row r="14" spans="1:4" x14ac:dyDescent="0.25">
      <c r="A14" t="s">
        <v>1953</v>
      </c>
      <c r="B14" t="s">
        <v>1954</v>
      </c>
      <c r="C14">
        <v>22114</v>
      </c>
      <c r="D14">
        <v>3933561566</v>
      </c>
    </row>
    <row r="15" spans="1:4" x14ac:dyDescent="0.25">
      <c r="A15" t="s">
        <v>1955</v>
      </c>
      <c r="B15" t="s">
        <v>1956</v>
      </c>
      <c r="C15">
        <v>56954</v>
      </c>
      <c r="D15">
        <v>7402856011</v>
      </c>
    </row>
    <row r="16" spans="1:4" x14ac:dyDescent="0.25">
      <c r="A16" t="s">
        <v>1957</v>
      </c>
      <c r="B16" t="s">
        <v>1958</v>
      </c>
      <c r="C16">
        <v>36601</v>
      </c>
      <c r="D16">
        <v>4323171323</v>
      </c>
    </row>
    <row r="17" spans="1:4" x14ac:dyDescent="0.25">
      <c r="A17" t="s">
        <v>1959</v>
      </c>
      <c r="B17" t="s">
        <v>1960</v>
      </c>
      <c r="C17">
        <v>34798</v>
      </c>
      <c r="D17">
        <v>594961432</v>
      </c>
    </row>
    <row r="18" spans="1:4" x14ac:dyDescent="0.25">
      <c r="A18" t="s">
        <v>1961</v>
      </c>
      <c r="B18" t="s">
        <v>1962</v>
      </c>
      <c r="C18">
        <v>58683</v>
      </c>
      <c r="D18">
        <v>3381164996</v>
      </c>
    </row>
    <row r="19" spans="1:4" x14ac:dyDescent="0.25">
      <c r="A19" t="s">
        <v>1963</v>
      </c>
      <c r="B19" t="s">
        <v>1964</v>
      </c>
      <c r="C19">
        <v>39579</v>
      </c>
      <c r="D19">
        <v>8467388188</v>
      </c>
    </row>
    <row r="20" spans="1:4" x14ac:dyDescent="0.25">
      <c r="A20" t="s">
        <v>1965</v>
      </c>
      <c r="B20" t="s">
        <v>1966</v>
      </c>
      <c r="C20">
        <v>34362</v>
      </c>
      <c r="D20">
        <v>2138131904</v>
      </c>
    </row>
    <row r="21" spans="1:4" x14ac:dyDescent="0.25">
      <c r="A21" t="s">
        <v>1967</v>
      </c>
      <c r="B21" t="s">
        <v>1968</v>
      </c>
      <c r="C21">
        <v>36916</v>
      </c>
      <c r="D21">
        <v>3145039288</v>
      </c>
    </row>
    <row r="22" spans="1:4" x14ac:dyDescent="0.25">
      <c r="A22" t="s">
        <v>1969</v>
      </c>
      <c r="B22" t="s">
        <v>1970</v>
      </c>
      <c r="C22">
        <v>20514</v>
      </c>
      <c r="D22">
        <v>299663825</v>
      </c>
    </row>
    <row r="23" spans="1:4" x14ac:dyDescent="0.25">
      <c r="A23" t="s">
        <v>1971</v>
      </c>
      <c r="B23" t="s">
        <v>1972</v>
      </c>
      <c r="C23">
        <v>36420</v>
      </c>
      <c r="D23">
        <v>1839046880</v>
      </c>
    </row>
    <row r="24" spans="1:4" x14ac:dyDescent="0.25">
      <c r="A24" t="s">
        <v>1973</v>
      </c>
      <c r="B24" t="s">
        <v>1974</v>
      </c>
      <c r="C24">
        <v>29041</v>
      </c>
      <c r="D24">
        <v>7560031153</v>
      </c>
    </row>
    <row r="25" spans="1:4" x14ac:dyDescent="0.25">
      <c r="A25" t="s">
        <v>1975</v>
      </c>
      <c r="B25" t="s">
        <v>1976</v>
      </c>
      <c r="C25">
        <v>39244</v>
      </c>
      <c r="D25">
        <v>5637692440</v>
      </c>
    </row>
    <row r="26" spans="1:4" x14ac:dyDescent="0.25">
      <c r="A26" t="s">
        <v>1977</v>
      </c>
      <c r="B26" t="s">
        <v>1978</v>
      </c>
      <c r="C26">
        <v>49572</v>
      </c>
      <c r="D26">
        <v>4862005330</v>
      </c>
    </row>
    <row r="27" spans="1:4" x14ac:dyDescent="0.25">
      <c r="A27" t="s">
        <v>1979</v>
      </c>
      <c r="B27" t="s">
        <v>1980</v>
      </c>
      <c r="C27">
        <v>54376</v>
      </c>
      <c r="D27">
        <v>6286877770</v>
      </c>
    </row>
    <row r="28" spans="1:4" x14ac:dyDescent="0.25">
      <c r="A28" t="s">
        <v>1981</v>
      </c>
      <c r="B28" t="s">
        <v>1982</v>
      </c>
      <c r="C28">
        <v>54964</v>
      </c>
      <c r="D28">
        <v>7326611955</v>
      </c>
    </row>
    <row r="29" spans="1:4" x14ac:dyDescent="0.25">
      <c r="A29" t="s">
        <v>1983</v>
      </c>
      <c r="B29" t="s">
        <v>1984</v>
      </c>
      <c r="C29">
        <v>34620</v>
      </c>
      <c r="D29">
        <v>9163060264</v>
      </c>
    </row>
    <row r="30" spans="1:4" x14ac:dyDescent="0.25">
      <c r="A30" t="s">
        <v>1985</v>
      </c>
      <c r="B30" t="s">
        <v>1986</v>
      </c>
      <c r="C30">
        <v>17792</v>
      </c>
      <c r="D30">
        <v>3259018638</v>
      </c>
    </row>
    <row r="31" spans="1:4" x14ac:dyDescent="0.25">
      <c r="A31" t="s">
        <v>1987</v>
      </c>
      <c r="B31" t="s">
        <v>1988</v>
      </c>
      <c r="C31">
        <v>13775</v>
      </c>
      <c r="D31">
        <v>6819637888</v>
      </c>
    </row>
    <row r="32" spans="1:4" x14ac:dyDescent="0.25">
      <c r="A32" t="s">
        <v>1989</v>
      </c>
      <c r="B32" t="s">
        <v>1970</v>
      </c>
      <c r="C32">
        <v>45277</v>
      </c>
      <c r="D32">
        <v>5474718616</v>
      </c>
    </row>
    <row r="33" spans="1:4" x14ac:dyDescent="0.25">
      <c r="A33" t="s">
        <v>1990</v>
      </c>
      <c r="B33" t="s">
        <v>1991</v>
      </c>
      <c r="C33">
        <v>33594</v>
      </c>
      <c r="D33">
        <v>4192879565</v>
      </c>
    </row>
    <row r="34" spans="1:4" x14ac:dyDescent="0.25">
      <c r="A34" t="s">
        <v>1992</v>
      </c>
      <c r="B34" t="s">
        <v>1993</v>
      </c>
      <c r="C34">
        <v>25434</v>
      </c>
      <c r="D34">
        <v>6776868107</v>
      </c>
    </row>
    <row r="35" spans="1:4" x14ac:dyDescent="0.25">
      <c r="A35" t="s">
        <v>1994</v>
      </c>
      <c r="B35" t="s">
        <v>1995</v>
      </c>
      <c r="C35">
        <v>56499</v>
      </c>
      <c r="D35">
        <v>2565093969</v>
      </c>
    </row>
    <row r="36" spans="1:4" x14ac:dyDescent="0.25">
      <c r="A36" t="s">
        <v>1996</v>
      </c>
      <c r="B36" t="s">
        <v>1997</v>
      </c>
      <c r="C36">
        <v>38741</v>
      </c>
      <c r="D36">
        <v>9207464802</v>
      </c>
    </row>
    <row r="37" spans="1:4" x14ac:dyDescent="0.25">
      <c r="A37" t="s">
        <v>1998</v>
      </c>
      <c r="B37" t="s">
        <v>1999</v>
      </c>
      <c r="C37">
        <v>50162</v>
      </c>
      <c r="D37">
        <v>7132417177</v>
      </c>
    </row>
    <row r="38" spans="1:4" x14ac:dyDescent="0.25">
      <c r="A38" t="s">
        <v>2000</v>
      </c>
      <c r="B38" t="s">
        <v>2001</v>
      </c>
      <c r="C38">
        <v>58300</v>
      </c>
      <c r="D38">
        <v>9548500949</v>
      </c>
    </row>
    <row r="39" spans="1:4" x14ac:dyDescent="0.25">
      <c r="A39" t="s">
        <v>2002</v>
      </c>
      <c r="B39" t="s">
        <v>1940</v>
      </c>
      <c r="C39">
        <v>17246</v>
      </c>
      <c r="D39">
        <v>397599129</v>
      </c>
    </row>
    <row r="40" spans="1:4" x14ac:dyDescent="0.25">
      <c r="A40" t="s">
        <v>2003</v>
      </c>
      <c r="B40" t="s">
        <v>2004</v>
      </c>
      <c r="C40">
        <v>58781</v>
      </c>
      <c r="D40">
        <v>1518783783</v>
      </c>
    </row>
    <row r="41" spans="1:4" x14ac:dyDescent="0.25">
      <c r="A41" t="s">
        <v>2005</v>
      </c>
      <c r="B41" t="s">
        <v>2006</v>
      </c>
      <c r="C41">
        <v>44609</v>
      </c>
      <c r="D41">
        <v>8002426673</v>
      </c>
    </row>
    <row r="42" spans="1:4" x14ac:dyDescent="0.25">
      <c r="A42" t="s">
        <v>2007</v>
      </c>
      <c r="B42" t="s">
        <v>2008</v>
      </c>
      <c r="C42">
        <v>19443</v>
      </c>
      <c r="D42">
        <v>1268934771</v>
      </c>
    </row>
    <row r="43" spans="1:4" x14ac:dyDescent="0.25">
      <c r="A43" t="s">
        <v>2009</v>
      </c>
      <c r="B43" t="s">
        <v>2010</v>
      </c>
      <c r="C43">
        <v>20581</v>
      </c>
      <c r="D43">
        <v>4900475084</v>
      </c>
    </row>
    <row r="44" spans="1:4" x14ac:dyDescent="0.25">
      <c r="A44" t="s">
        <v>2011</v>
      </c>
      <c r="B44" t="s">
        <v>2012</v>
      </c>
      <c r="C44">
        <v>24071</v>
      </c>
      <c r="D44">
        <v>7338728615</v>
      </c>
    </row>
    <row r="45" spans="1:4" x14ac:dyDescent="0.25">
      <c r="A45" t="s">
        <v>2013</v>
      </c>
      <c r="B45" t="s">
        <v>2014</v>
      </c>
      <c r="C45">
        <v>31450</v>
      </c>
      <c r="D45">
        <v>6148235056</v>
      </c>
    </row>
    <row r="46" spans="1:4" x14ac:dyDescent="0.25">
      <c r="A46" t="s">
        <v>2015</v>
      </c>
      <c r="B46" t="s">
        <v>2016</v>
      </c>
      <c r="C46">
        <v>26995</v>
      </c>
      <c r="D46">
        <v>2376099331</v>
      </c>
    </row>
    <row r="47" spans="1:4" x14ac:dyDescent="0.25">
      <c r="A47" t="s">
        <v>2017</v>
      </c>
      <c r="B47" t="s">
        <v>2018</v>
      </c>
      <c r="C47">
        <v>28746</v>
      </c>
      <c r="D47">
        <v>9545462825</v>
      </c>
    </row>
    <row r="48" spans="1:4" x14ac:dyDescent="0.25">
      <c r="A48" t="s">
        <v>2019</v>
      </c>
      <c r="B48" t="s">
        <v>2020</v>
      </c>
      <c r="C48">
        <v>59225</v>
      </c>
      <c r="D48">
        <v>4852897158</v>
      </c>
    </row>
    <row r="49" spans="1:4" x14ac:dyDescent="0.25">
      <c r="A49" t="s">
        <v>2021</v>
      </c>
      <c r="B49" t="s">
        <v>2022</v>
      </c>
      <c r="C49">
        <v>57868</v>
      </c>
      <c r="D49">
        <v>4691333258</v>
      </c>
    </row>
    <row r="50" spans="1:4" x14ac:dyDescent="0.25">
      <c r="A50" t="s">
        <v>2023</v>
      </c>
      <c r="B50" t="s">
        <v>2024</v>
      </c>
      <c r="C50">
        <v>24547</v>
      </c>
      <c r="D50">
        <v>1739513533</v>
      </c>
    </row>
    <row r="51" spans="1:4" x14ac:dyDescent="0.25">
      <c r="A51" t="s">
        <v>2025</v>
      </c>
      <c r="B51" t="s">
        <v>2026</v>
      </c>
      <c r="C51">
        <v>23450</v>
      </c>
      <c r="D51">
        <v>5795848808</v>
      </c>
    </row>
    <row r="52" spans="1:4" x14ac:dyDescent="0.25">
      <c r="A52" t="s">
        <v>2027</v>
      </c>
      <c r="B52" t="s">
        <v>2028</v>
      </c>
      <c r="C52">
        <v>20598</v>
      </c>
      <c r="D52">
        <v>1462166245</v>
      </c>
    </row>
    <row r="53" spans="1:4" x14ac:dyDescent="0.25">
      <c r="A53" t="s">
        <v>2029</v>
      </c>
      <c r="B53" t="s">
        <v>2030</v>
      </c>
      <c r="C53">
        <v>20792</v>
      </c>
      <c r="D53">
        <v>9483290694</v>
      </c>
    </row>
    <row r="54" spans="1:4" x14ac:dyDescent="0.25">
      <c r="A54" t="s">
        <v>2031</v>
      </c>
      <c r="B54" t="s">
        <v>2032</v>
      </c>
      <c r="C54">
        <v>39299</v>
      </c>
      <c r="D54">
        <v>8127128031</v>
      </c>
    </row>
    <row r="55" spans="1:4" x14ac:dyDescent="0.25">
      <c r="A55" t="s">
        <v>2033</v>
      </c>
      <c r="B55" t="s">
        <v>1948</v>
      </c>
      <c r="C55">
        <v>54613</v>
      </c>
      <c r="D55">
        <v>3213290963</v>
      </c>
    </row>
    <row r="56" spans="1:4" x14ac:dyDescent="0.25">
      <c r="A56" t="s">
        <v>2034</v>
      </c>
      <c r="B56" t="s">
        <v>2035</v>
      </c>
      <c r="C56">
        <v>15967</v>
      </c>
      <c r="D56">
        <v>3986480021</v>
      </c>
    </row>
    <row r="57" spans="1:4" x14ac:dyDescent="0.25">
      <c r="A57" t="s">
        <v>2036</v>
      </c>
      <c r="B57" t="s">
        <v>2037</v>
      </c>
      <c r="C57">
        <v>25047</v>
      </c>
      <c r="D57">
        <v>1053331541</v>
      </c>
    </row>
    <row r="58" spans="1:4" x14ac:dyDescent="0.25">
      <c r="A58" t="s">
        <v>2038</v>
      </c>
      <c r="B58" t="s">
        <v>2039</v>
      </c>
      <c r="C58">
        <v>48477</v>
      </c>
      <c r="D58">
        <v>5197585250</v>
      </c>
    </row>
    <row r="59" spans="1:4" x14ac:dyDescent="0.25">
      <c r="A59" t="s">
        <v>2040</v>
      </c>
      <c r="B59" t="s">
        <v>2041</v>
      </c>
      <c r="C59">
        <v>21275</v>
      </c>
      <c r="D59">
        <v>3877279783</v>
      </c>
    </row>
    <row r="60" spans="1:4" x14ac:dyDescent="0.25">
      <c r="A60" t="s">
        <v>2042</v>
      </c>
      <c r="B60" t="s">
        <v>2043</v>
      </c>
      <c r="C60">
        <v>30039</v>
      </c>
      <c r="D60">
        <v>5079859830</v>
      </c>
    </row>
    <row r="61" spans="1:4" x14ac:dyDescent="0.25">
      <c r="A61" t="s">
        <v>2044</v>
      </c>
      <c r="B61" t="s">
        <v>2045</v>
      </c>
      <c r="C61">
        <v>14895</v>
      </c>
      <c r="D61">
        <v>5687748091</v>
      </c>
    </row>
    <row r="62" spans="1:4" x14ac:dyDescent="0.25">
      <c r="A62" t="s">
        <v>2046</v>
      </c>
      <c r="B62" t="s">
        <v>2047</v>
      </c>
      <c r="C62">
        <v>27539</v>
      </c>
      <c r="D62">
        <v>8267733809</v>
      </c>
    </row>
    <row r="63" spans="1:4" x14ac:dyDescent="0.25">
      <c r="A63" t="s">
        <v>2048</v>
      </c>
      <c r="B63" t="s">
        <v>2049</v>
      </c>
      <c r="C63">
        <v>10836</v>
      </c>
      <c r="D63">
        <v>7645724897</v>
      </c>
    </row>
    <row r="64" spans="1:4" x14ac:dyDescent="0.25">
      <c r="A64" t="s">
        <v>2050</v>
      </c>
      <c r="B64" t="s">
        <v>2051</v>
      </c>
      <c r="C64">
        <v>20834</v>
      </c>
      <c r="D64">
        <v>9885165231</v>
      </c>
    </row>
    <row r="65" spans="1:4" x14ac:dyDescent="0.25">
      <c r="A65" t="s">
        <v>2052</v>
      </c>
      <c r="B65" t="s">
        <v>1956</v>
      </c>
      <c r="C65">
        <v>15147</v>
      </c>
      <c r="D65">
        <v>9128677390</v>
      </c>
    </row>
    <row r="66" spans="1:4" x14ac:dyDescent="0.25">
      <c r="A66" t="s">
        <v>2053</v>
      </c>
      <c r="B66" t="s">
        <v>2054</v>
      </c>
      <c r="C66">
        <v>26500</v>
      </c>
      <c r="D66">
        <v>209942509</v>
      </c>
    </row>
    <row r="67" spans="1:4" x14ac:dyDescent="0.25">
      <c r="A67" t="s">
        <v>2055</v>
      </c>
      <c r="B67" t="s">
        <v>1976</v>
      </c>
      <c r="C67">
        <v>35913</v>
      </c>
      <c r="D67">
        <v>4162153728</v>
      </c>
    </row>
    <row r="68" spans="1:4" x14ac:dyDescent="0.25">
      <c r="A68" t="s">
        <v>2056</v>
      </c>
      <c r="B68" t="s">
        <v>2057</v>
      </c>
      <c r="C68">
        <v>52124</v>
      </c>
      <c r="D68">
        <v>3507341514</v>
      </c>
    </row>
    <row r="69" spans="1:4" x14ac:dyDescent="0.25">
      <c r="A69" t="s">
        <v>2058</v>
      </c>
      <c r="B69" t="s">
        <v>2059</v>
      </c>
      <c r="C69">
        <v>20964</v>
      </c>
      <c r="D69">
        <v>2314136845</v>
      </c>
    </row>
    <row r="70" spans="1:4" x14ac:dyDescent="0.25">
      <c r="A70" t="s">
        <v>2060</v>
      </c>
      <c r="B70" t="s">
        <v>2061</v>
      </c>
      <c r="C70">
        <v>49247</v>
      </c>
      <c r="D70">
        <v>7236563277</v>
      </c>
    </row>
    <row r="71" spans="1:4" x14ac:dyDescent="0.25">
      <c r="A71" t="s">
        <v>2062</v>
      </c>
      <c r="B71" t="s">
        <v>2063</v>
      </c>
      <c r="C71">
        <v>16928</v>
      </c>
      <c r="D71">
        <v>9312128221</v>
      </c>
    </row>
    <row r="72" spans="1:4" x14ac:dyDescent="0.25">
      <c r="A72" t="s">
        <v>2064</v>
      </c>
      <c r="B72" t="s">
        <v>2065</v>
      </c>
      <c r="C72">
        <v>57926</v>
      </c>
      <c r="D72">
        <v>1953937357</v>
      </c>
    </row>
    <row r="73" spans="1:4" x14ac:dyDescent="0.25">
      <c r="A73" t="s">
        <v>2066</v>
      </c>
      <c r="B73" t="s">
        <v>2067</v>
      </c>
      <c r="C73">
        <v>39932</v>
      </c>
      <c r="D73">
        <v>7205288142</v>
      </c>
    </row>
    <row r="74" spans="1:4" x14ac:dyDescent="0.25">
      <c r="A74" t="s">
        <v>2068</v>
      </c>
      <c r="B74" t="s">
        <v>2069</v>
      </c>
      <c r="C74">
        <v>19364</v>
      </c>
      <c r="D74">
        <v>1958063002</v>
      </c>
    </row>
    <row r="75" spans="1:4" x14ac:dyDescent="0.25">
      <c r="A75" t="s">
        <v>2070</v>
      </c>
      <c r="B75" t="s">
        <v>2071</v>
      </c>
      <c r="C75">
        <v>46426</v>
      </c>
      <c r="D75">
        <v>9163060264</v>
      </c>
    </row>
    <row r="76" spans="1:4" x14ac:dyDescent="0.25">
      <c r="A76" t="s">
        <v>2072</v>
      </c>
      <c r="B76" t="s">
        <v>2073</v>
      </c>
      <c r="C76">
        <v>31106</v>
      </c>
      <c r="D76">
        <v>19662963</v>
      </c>
    </row>
    <row r="77" spans="1:4" x14ac:dyDescent="0.25">
      <c r="A77" t="s">
        <v>2074</v>
      </c>
      <c r="B77" t="s">
        <v>2075</v>
      </c>
      <c r="C77">
        <v>49263</v>
      </c>
      <c r="D77">
        <v>3661649302</v>
      </c>
    </row>
    <row r="78" spans="1:4" x14ac:dyDescent="0.25">
      <c r="A78" t="s">
        <v>2076</v>
      </c>
      <c r="B78" t="s">
        <v>2077</v>
      </c>
      <c r="C78">
        <v>14614</v>
      </c>
      <c r="D78">
        <v>5837066497</v>
      </c>
    </row>
    <row r="79" spans="1:4" x14ac:dyDescent="0.25">
      <c r="A79" t="s">
        <v>2078</v>
      </c>
      <c r="B79" t="s">
        <v>2079</v>
      </c>
      <c r="C79">
        <v>47449</v>
      </c>
      <c r="D79">
        <v>6515844751</v>
      </c>
    </row>
    <row r="80" spans="1:4" x14ac:dyDescent="0.25">
      <c r="A80" t="s">
        <v>2080</v>
      </c>
      <c r="B80" t="s">
        <v>1958</v>
      </c>
      <c r="C80">
        <v>17319</v>
      </c>
      <c r="D80">
        <v>1419116835</v>
      </c>
    </row>
    <row r="81" spans="1:4" x14ac:dyDescent="0.25">
      <c r="A81" t="s">
        <v>2081</v>
      </c>
      <c r="B81" t="s">
        <v>1934</v>
      </c>
      <c r="C81">
        <v>59484</v>
      </c>
      <c r="D81">
        <v>4525743115</v>
      </c>
    </row>
    <row r="82" spans="1:4" x14ac:dyDescent="0.25">
      <c r="A82" t="s">
        <v>2082</v>
      </c>
      <c r="B82" t="s">
        <v>2083</v>
      </c>
      <c r="C82">
        <v>28158</v>
      </c>
      <c r="D82">
        <v>3524504531</v>
      </c>
    </row>
    <row r="83" spans="1:4" x14ac:dyDescent="0.25">
      <c r="A83" t="s">
        <v>2084</v>
      </c>
      <c r="B83" t="s">
        <v>2079</v>
      </c>
      <c r="C83">
        <v>52673</v>
      </c>
      <c r="D83">
        <v>244523738</v>
      </c>
    </row>
    <row r="84" spans="1:4" x14ac:dyDescent="0.25">
      <c r="A84" t="s">
        <v>2085</v>
      </c>
      <c r="B84" t="s">
        <v>1982</v>
      </c>
      <c r="C84">
        <v>50816</v>
      </c>
      <c r="D84">
        <v>3213290963</v>
      </c>
    </row>
    <row r="85" spans="1:4" x14ac:dyDescent="0.25">
      <c r="A85" t="s">
        <v>2086</v>
      </c>
      <c r="B85" t="s">
        <v>2087</v>
      </c>
      <c r="C85">
        <v>17278</v>
      </c>
      <c r="D85">
        <v>5907724676</v>
      </c>
    </row>
    <row r="86" spans="1:4" x14ac:dyDescent="0.25">
      <c r="A86" t="s">
        <v>2088</v>
      </c>
      <c r="B86" t="s">
        <v>2089</v>
      </c>
      <c r="C86">
        <v>24000</v>
      </c>
      <c r="D86">
        <v>7273123196</v>
      </c>
    </row>
    <row r="87" spans="1:4" x14ac:dyDescent="0.25">
      <c r="A87" t="s">
        <v>2090</v>
      </c>
      <c r="B87" t="s">
        <v>1997</v>
      </c>
      <c r="C87">
        <v>13677</v>
      </c>
      <c r="D87">
        <v>9854387496</v>
      </c>
    </row>
    <row r="88" spans="1:4" x14ac:dyDescent="0.25">
      <c r="A88" t="s">
        <v>2091</v>
      </c>
      <c r="B88" t="s">
        <v>2073</v>
      </c>
      <c r="C88">
        <v>53522</v>
      </c>
      <c r="D88">
        <v>1472093461</v>
      </c>
    </row>
    <row r="89" spans="1:4" x14ac:dyDescent="0.25">
      <c r="A89" t="s">
        <v>2092</v>
      </c>
      <c r="B89" t="s">
        <v>2093</v>
      </c>
      <c r="C89">
        <v>26620</v>
      </c>
      <c r="D89">
        <v>4786629839</v>
      </c>
    </row>
    <row r="90" spans="1:4" x14ac:dyDescent="0.25">
      <c r="A90" t="s">
        <v>2094</v>
      </c>
      <c r="B90" t="s">
        <v>2095</v>
      </c>
      <c r="C90">
        <v>54950</v>
      </c>
      <c r="D90">
        <v>1532722974</v>
      </c>
    </row>
    <row r="91" spans="1:4" x14ac:dyDescent="0.25">
      <c r="A91" t="s">
        <v>2096</v>
      </c>
      <c r="B91" t="s">
        <v>2097</v>
      </c>
      <c r="C91">
        <v>24489</v>
      </c>
      <c r="D91">
        <v>8349606134</v>
      </c>
    </row>
    <row r="92" spans="1:4" x14ac:dyDescent="0.25">
      <c r="A92" t="s">
        <v>2098</v>
      </c>
      <c r="B92" t="s">
        <v>2099</v>
      </c>
      <c r="C92">
        <v>47329</v>
      </c>
      <c r="D92">
        <v>6734537986</v>
      </c>
    </row>
    <row r="93" spans="1:4" x14ac:dyDescent="0.25">
      <c r="A93" t="s">
        <v>2100</v>
      </c>
      <c r="B93" t="s">
        <v>2101</v>
      </c>
      <c r="C93">
        <v>24507</v>
      </c>
      <c r="D93">
        <v>7160109333</v>
      </c>
    </row>
    <row r="94" spans="1:4" x14ac:dyDescent="0.25">
      <c r="A94" t="s">
        <v>2102</v>
      </c>
      <c r="B94" t="s">
        <v>2103</v>
      </c>
      <c r="C94">
        <v>29852</v>
      </c>
      <c r="D94">
        <v>9491257560</v>
      </c>
    </row>
    <row r="95" spans="1:4" x14ac:dyDescent="0.25">
      <c r="A95" t="s">
        <v>2104</v>
      </c>
      <c r="B95" t="s">
        <v>1952</v>
      </c>
      <c r="C95">
        <v>44345</v>
      </c>
      <c r="D95">
        <v>9854387496</v>
      </c>
    </row>
    <row r="96" spans="1:4" x14ac:dyDescent="0.25">
      <c r="A96" t="s">
        <v>2105</v>
      </c>
      <c r="B96" t="s">
        <v>2106</v>
      </c>
      <c r="C96">
        <v>45664</v>
      </c>
      <c r="D96">
        <v>2575500974</v>
      </c>
    </row>
    <row r="97" spans="1:4" x14ac:dyDescent="0.25">
      <c r="A97" t="s">
        <v>2107</v>
      </c>
      <c r="B97" t="s">
        <v>1956</v>
      </c>
      <c r="C97">
        <v>55090</v>
      </c>
      <c r="D97">
        <v>3097425365</v>
      </c>
    </row>
    <row r="98" spans="1:4" x14ac:dyDescent="0.25">
      <c r="A98" t="s">
        <v>2108</v>
      </c>
      <c r="B98" t="s">
        <v>2109</v>
      </c>
      <c r="C98">
        <v>44305</v>
      </c>
      <c r="D98">
        <v>5439294325</v>
      </c>
    </row>
    <row r="99" spans="1:4" x14ac:dyDescent="0.25">
      <c r="A99" t="s">
        <v>2110</v>
      </c>
      <c r="B99" t="s">
        <v>2111</v>
      </c>
      <c r="C99">
        <v>57491</v>
      </c>
      <c r="D99">
        <v>4786629839</v>
      </c>
    </row>
    <row r="100" spans="1:4" x14ac:dyDescent="0.25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25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25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25">
      <c r="A103" t="s">
        <v>2117</v>
      </c>
      <c r="B103" t="s">
        <v>2118</v>
      </c>
      <c r="C103">
        <v>44942</v>
      </c>
      <c r="D103">
        <v>25254650</v>
      </c>
    </row>
    <row r="104" spans="1:4" x14ac:dyDescent="0.25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25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25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25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25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25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25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25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25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25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25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25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25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25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25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25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25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25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25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25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25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25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25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25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25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25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25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25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25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25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25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25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25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25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25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25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25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25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25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25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25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25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25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25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25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25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25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25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25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25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25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25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25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25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25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25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25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25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25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25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25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25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25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25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25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25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25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25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25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25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25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25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25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25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25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25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25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25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25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25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25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25">
      <c r="A185" t="s">
        <v>2258</v>
      </c>
      <c r="B185" t="s">
        <v>1978</v>
      </c>
      <c r="C185">
        <v>34254</v>
      </c>
      <c r="D185">
        <v>27852261</v>
      </c>
    </row>
    <row r="186" spans="1:4" x14ac:dyDescent="0.25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25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25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25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25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25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25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25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25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25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25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25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25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25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25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25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25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25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25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25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25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25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25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25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25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25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25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25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25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25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25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25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25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25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25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25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25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25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25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25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25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25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25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25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25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25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25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25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25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25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25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25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25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25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25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25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25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25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25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25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25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25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25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25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25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25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25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25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25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25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25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25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25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25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25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25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25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25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25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25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25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25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25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25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25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25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25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25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25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25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25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25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25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25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25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25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25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25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25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25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25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25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25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25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25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25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25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25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25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25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25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25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25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25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25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25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25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25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25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25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25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25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25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25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25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25">
      <c r="A311" t="s">
        <v>2449</v>
      </c>
      <c r="B311" t="s">
        <v>2188</v>
      </c>
      <c r="C311">
        <v>18645</v>
      </c>
      <c r="D311">
        <v>37593587</v>
      </c>
    </row>
    <row r="312" spans="1:4" x14ac:dyDescent="0.25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25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25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25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25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25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25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25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25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25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25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25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25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25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25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25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25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25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25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25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25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25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25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25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25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25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25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25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25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25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25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25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25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25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25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25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25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25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25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25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25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25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25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25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25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25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25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25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25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25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25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25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25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25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25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25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25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25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25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25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25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25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25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25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25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25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25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25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25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25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25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25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25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25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25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25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25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25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25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25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25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25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25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25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25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25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25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25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25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25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25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25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25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25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25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25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25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25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25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25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25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25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25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25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25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25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25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25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25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25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25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25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25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25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25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25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25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25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25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25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25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25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25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25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25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25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25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25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25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25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25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25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25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25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25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25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25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25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25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25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25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25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25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25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25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25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25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25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25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25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25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25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25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25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25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25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25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25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25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25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25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25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25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25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25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25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25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25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25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25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25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25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25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25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25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25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25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25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25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25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25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25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25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25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25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25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25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25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25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25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25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25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25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25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25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25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25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25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25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25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25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25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25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25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25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25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25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25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25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25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25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25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25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25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25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25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25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25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25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25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25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25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25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25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25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25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25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25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25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25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25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25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25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25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25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25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25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25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25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25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25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25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25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25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25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25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25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25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25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25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25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25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25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25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25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25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25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25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25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25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25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25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25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25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25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25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25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25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25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25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25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25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25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25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25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25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25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25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25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25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25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25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25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25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25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25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25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25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25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25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25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25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25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25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25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25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25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25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25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25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25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25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25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25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25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25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25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25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25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25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25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25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25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25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25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25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25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25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25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25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25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25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25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25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25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25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25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25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25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25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25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25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25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25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25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25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25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25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25">
      <c r="A650" t="s">
        <v>2886</v>
      </c>
      <c r="B650" t="s">
        <v>2764</v>
      </c>
      <c r="C650">
        <v>23484</v>
      </c>
      <c r="D650">
        <v>17898579</v>
      </c>
    </row>
    <row r="651" spans="1:4" x14ac:dyDescent="0.25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25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25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25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25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25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25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25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25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25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25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25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25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25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25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25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25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25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25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25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25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25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25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25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25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25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25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25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25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25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25">
      <c r="A681" t="s">
        <v>2922</v>
      </c>
      <c r="B681" t="s">
        <v>2923</v>
      </c>
      <c r="C681">
        <v>54000</v>
      </c>
      <c r="D681">
        <v>76572129</v>
      </c>
    </row>
    <row r="682" spans="1:4" x14ac:dyDescent="0.25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25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25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25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25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25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25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25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25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25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25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25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25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25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25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25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25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25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25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25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25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25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25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25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25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25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25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25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25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25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25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25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25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25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25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25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25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25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25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25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25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25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25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25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25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25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25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25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25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25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25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25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25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25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25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25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25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25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25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25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25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25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25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25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25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25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25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25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25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25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25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25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25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25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25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25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25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25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25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25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25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25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25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25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25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25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25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25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25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25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25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25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25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25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25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25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25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25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25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25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25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25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25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25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25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25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25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25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25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25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25">
      <c r="A792" t="s">
        <v>3047</v>
      </c>
      <c r="B792" t="s">
        <v>1995</v>
      </c>
      <c r="C792">
        <v>41037</v>
      </c>
      <c r="D792">
        <v>25254650</v>
      </c>
    </row>
    <row r="793" spans="1:4" x14ac:dyDescent="0.25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25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25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25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25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25">
      <c r="A798" t="s">
        <v>3054</v>
      </c>
      <c r="B798" t="s">
        <v>2054</v>
      </c>
      <c r="C798">
        <v>34463</v>
      </c>
      <c r="D798">
        <v>85304042</v>
      </c>
    </row>
    <row r="799" spans="1:4" x14ac:dyDescent="0.25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25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25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25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25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25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25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25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25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25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25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25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25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25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25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25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25">
      <c r="A815" t="s">
        <v>3071</v>
      </c>
      <c r="B815" t="s">
        <v>1991</v>
      </c>
      <c r="C815">
        <v>44094</v>
      </c>
      <c r="D815">
        <v>37593587</v>
      </c>
    </row>
    <row r="816" spans="1:4" x14ac:dyDescent="0.25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25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25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25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25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25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25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25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25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25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25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25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25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25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25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25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25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25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25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25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25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25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25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25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25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25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25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25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25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25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25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25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25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25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25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25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25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25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25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25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25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25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25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25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25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25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25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25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25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25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25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25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25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25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25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25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25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25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25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25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25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25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25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25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25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25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25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25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25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25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25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25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25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25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25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25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25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25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25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25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25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25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25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25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25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25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25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25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25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25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25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25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25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25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25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25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25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25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25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25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25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25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25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25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25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25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25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25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25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25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25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25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25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25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25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25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25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25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25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25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25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25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25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25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25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25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25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25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25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25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25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25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25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25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25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25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25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25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25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25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25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25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25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25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25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25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25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25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25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25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25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25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25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25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25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25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25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25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25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25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25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25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25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25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25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25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25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25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25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25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25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25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25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25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25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25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25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25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25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25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25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25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25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25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25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25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25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25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25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25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25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25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25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25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25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25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25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25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25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25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25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25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25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25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25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25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25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25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25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25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25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25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25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25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25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25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25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25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25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25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25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25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25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25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25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25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25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25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25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25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25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25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25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25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25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25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25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25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25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25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25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25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25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25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25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25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25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25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25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25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25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25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25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25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25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25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25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25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25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25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25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25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25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25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25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25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25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25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25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25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25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25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25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25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25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25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25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25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25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25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25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25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25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25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25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25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25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25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25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25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25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25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25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25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25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25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25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25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25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25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25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25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25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25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25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25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25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25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25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25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25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25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25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25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25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25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25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25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25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25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25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25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25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25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25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25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25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25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25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25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25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25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25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25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25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25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25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25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25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25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25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25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25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25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25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25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25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25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25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25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25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25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25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25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25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25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25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25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25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25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25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25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25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25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25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25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25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25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25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25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25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25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25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25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25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25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25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25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25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25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25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25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25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25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25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25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25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25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25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25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25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25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25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25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25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25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25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25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25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25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25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25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25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25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25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25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25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25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25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25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25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25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25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25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25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25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25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25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25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25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25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25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25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25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25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25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25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25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25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25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25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25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25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25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25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25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25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25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25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25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25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25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25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25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25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25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25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25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25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25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25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25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25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25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25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25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25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25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25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25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25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25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25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25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25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25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25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25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25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25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25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25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25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25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25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25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25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25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25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25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25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25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25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25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25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25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25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25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25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25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25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25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25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25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25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25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25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25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25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25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25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25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25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25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25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25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25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25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25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25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25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25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25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25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25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25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25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25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25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25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25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25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25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25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25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25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25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25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25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25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25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25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25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25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25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25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25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25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25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25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25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25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25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25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25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25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25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25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25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25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25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25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25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25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25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25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25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25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25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25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25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25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25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25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25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25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25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25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25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25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25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25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25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25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25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25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25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25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25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25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25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25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25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25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25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25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25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25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25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25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25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25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25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25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25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25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25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25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25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25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25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25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25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25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25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25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25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25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25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25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25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25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25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25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25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25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25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25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25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25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25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25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25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25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25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25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25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25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25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25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25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25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25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25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25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25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25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25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25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25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25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25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25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25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25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25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25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25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25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25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25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25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25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25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25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25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25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25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25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25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25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25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25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25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25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25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25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25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25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25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25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25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25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25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25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25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25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25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25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25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25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25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25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25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25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25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25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25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25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25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25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25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25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25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25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25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25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25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25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25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25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25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25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25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25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25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25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25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25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25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25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25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25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25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25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25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25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25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25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25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25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25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25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25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25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25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25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25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25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25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25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25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25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25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25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25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25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25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25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25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25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25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25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25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25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25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25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25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25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25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25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25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25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25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25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25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25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25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25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25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25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25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25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25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25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25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25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25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25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25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25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25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25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25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25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25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25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25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25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25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25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25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25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25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25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25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25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25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25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25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25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25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25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25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25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25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25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25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25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25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25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25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25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25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25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25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25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25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25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25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25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25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25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25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25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25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25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25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25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25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25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25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25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25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25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25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25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25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25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25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25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25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25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25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25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25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25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25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25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25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25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25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25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25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25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25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25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25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25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25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25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25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25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25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25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25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25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25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25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25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25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25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25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25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25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25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25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25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25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25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25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25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25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25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25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25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25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25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25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25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25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25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25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25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25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25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25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25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25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25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25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25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25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25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25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25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25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25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25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25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25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25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25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25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25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25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25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25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25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25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25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25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25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25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25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25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25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25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25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25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25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25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25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25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25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25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25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25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25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25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25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25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25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25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25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25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25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25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25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25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25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25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25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25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25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25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25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25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25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25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25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25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25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25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25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25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25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25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25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25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25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25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25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25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25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25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25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25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25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25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25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25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25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25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25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25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25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25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25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25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25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25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25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25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25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25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25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25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25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25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25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25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25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25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25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25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25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25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25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25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25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25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25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25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25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25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25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25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25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25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25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25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25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25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25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25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25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25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25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25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25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25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25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25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25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25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25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25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25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25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25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25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25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25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25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25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25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25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25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25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25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25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25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25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25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25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25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25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25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25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25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25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25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25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25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25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25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25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25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25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25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25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25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25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25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25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25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25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25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25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25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25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25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25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25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25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25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25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25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25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25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25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25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25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25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25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25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25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25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25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25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25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25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25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25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25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25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25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25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25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25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25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25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25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25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25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25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25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25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25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25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25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25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25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25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25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25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25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25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25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25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25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25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25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25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25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25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25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25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25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25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25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25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25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25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25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25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25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25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25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25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25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25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25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25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25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25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25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25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25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25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25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25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25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25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25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25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25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25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25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25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25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25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25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25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25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25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25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25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25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25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25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25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25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25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25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25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25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25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25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25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25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25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25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25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25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25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25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25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25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25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25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25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25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25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25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25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25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25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25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25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25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25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25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25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25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25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25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25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25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25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25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25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25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25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25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25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25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25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25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25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25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25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25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25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25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25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25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25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25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25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25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25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25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25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25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25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25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25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25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25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25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25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25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25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25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25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25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25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25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25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25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25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25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25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25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25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25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25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25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25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25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25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25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25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25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25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25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25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25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25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25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25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25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25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25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25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25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25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25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25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25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25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25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25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25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25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25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25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25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25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25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25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25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25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25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25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25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25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25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25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25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25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25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25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25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25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25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25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25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25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25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25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25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25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25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25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25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25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25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25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25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25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25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25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25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25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25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25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25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25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25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25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25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25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25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25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25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25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25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25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25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25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25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25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25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25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25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25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25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25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25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25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25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25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25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25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25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25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25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25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25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25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25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25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25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25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25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25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25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25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25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25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25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25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25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25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25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25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25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25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25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25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25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25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25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25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25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25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25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25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25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25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25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25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25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25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25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25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25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25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25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25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25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25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25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25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25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25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25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25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25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25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25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25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25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25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25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25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25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25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25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25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25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25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25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25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25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25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25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25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25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25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25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25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25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25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25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25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25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25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25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25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25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25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25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25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25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25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25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25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25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25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25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25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25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25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25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25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25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25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25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25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25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25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25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25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25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25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25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25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25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25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25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25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25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25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25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25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25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25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25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25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25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25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25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25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25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25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25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25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25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25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25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25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25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25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25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25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25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25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25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25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25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25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25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25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25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25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25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25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25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25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25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25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25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25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25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25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25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25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25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25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25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25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25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25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25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25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25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25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25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25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25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25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25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25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25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25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25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25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25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25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25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25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25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25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25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25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25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25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25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25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25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25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25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25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25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25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25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25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25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25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25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25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25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25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25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25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25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25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25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25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25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25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25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25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25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25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25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25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25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25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25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25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25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25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25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25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25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25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25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25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25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25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25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25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25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25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25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25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25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25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25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25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25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25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25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25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25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25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25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25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25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25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25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25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25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25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25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25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25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25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25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25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25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25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25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25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25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25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25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25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25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25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25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25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25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25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25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25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25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25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25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25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25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25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25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25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25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25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25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25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25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25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25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25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25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25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25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25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25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25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25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25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25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25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25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25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25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25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25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25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25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25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25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25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25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25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25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25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25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25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25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25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25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25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25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25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25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25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25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25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25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25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25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25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25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25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25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25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25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25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25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25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25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25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25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25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25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25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25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25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25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25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25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25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25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25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25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25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25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25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25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25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25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25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25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25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25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25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25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25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25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25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25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25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25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25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25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25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25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25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25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25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25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25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25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25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25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25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25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25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25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25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25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25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25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25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25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25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25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25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25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25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25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25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25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25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25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25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25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25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25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25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25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25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25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25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25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25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25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25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25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25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25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25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25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25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25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25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25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25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25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25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25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25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25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25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25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25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25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25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25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25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25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25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25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25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25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25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25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25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25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25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25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25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25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25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25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25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25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25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25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25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25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25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25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25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25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25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25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25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25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25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25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25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25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25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25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25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25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25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25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25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25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25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25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25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25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25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25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25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25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25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25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25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25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25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25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25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25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25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25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25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25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25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25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25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25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25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25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25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25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25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25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25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25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25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25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25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25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25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25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25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25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25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25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25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25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25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25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25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25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25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25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25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25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25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25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25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25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25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25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25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25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25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25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25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25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25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25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25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25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25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25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25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25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25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25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25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25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25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25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25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25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25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25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25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25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25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25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25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25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25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25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25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25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25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25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25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25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25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25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25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25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25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25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25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25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25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25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25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25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25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25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25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25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25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25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25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25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25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25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25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25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25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25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25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25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25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25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25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25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25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25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25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25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25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25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25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25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25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25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25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25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25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25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25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25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25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25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25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25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25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25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25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25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25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25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25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25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25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25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25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25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25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25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25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25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25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25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25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25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25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25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25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25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25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25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25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25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25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25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25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25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25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25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25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25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25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25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25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25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25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25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25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25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25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25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25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25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25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25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25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25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25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25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25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25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25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25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25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25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25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25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25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25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25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25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25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25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25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25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25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25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25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25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25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25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25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25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25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25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25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25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25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25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25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25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25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25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25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25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25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25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25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25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25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25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25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25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25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25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25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25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25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25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25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25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25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25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25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25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25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25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25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25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25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25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25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25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25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25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25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25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25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25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25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25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25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25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25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25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25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25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25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25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25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25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25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25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25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25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25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25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25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25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25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25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25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25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25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25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25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25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25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25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25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25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25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25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25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25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25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25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25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25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25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25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25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25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25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25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25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25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25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25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25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25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25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25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25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25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25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25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25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25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25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25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25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25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25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25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25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25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25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25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25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25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25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25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25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25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25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25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25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25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25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25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25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25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25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25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25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25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25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25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25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25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25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25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25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25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25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25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25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25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25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25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25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25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25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25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25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25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25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25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25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25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25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25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25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25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25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25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25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25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25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25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25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25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25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25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25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25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25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25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25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25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25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25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25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25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25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25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25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25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25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25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25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25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25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25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25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25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25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25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25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25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25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25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25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25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25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25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25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25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25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25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25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25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25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25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25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25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25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25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25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25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25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25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25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25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25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25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25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25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25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25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25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25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25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25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25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25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25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25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25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25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25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25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25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25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25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25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25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25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25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25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25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25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25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25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25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25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25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25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25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25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25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25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25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25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25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25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25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25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25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25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25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25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25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25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25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25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25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25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25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25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25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25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25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25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25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25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25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25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25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25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25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25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25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25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25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25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25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25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25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25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25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25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25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25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25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25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25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25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25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25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25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25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25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25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25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25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25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25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25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25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25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25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25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25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25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25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25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25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25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25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25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25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25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25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25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25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25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25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25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25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25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25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25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25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25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25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25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25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25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25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25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25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25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25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25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25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25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25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25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25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25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25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25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25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25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25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25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25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25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25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25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25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25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25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25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25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25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25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25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25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25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25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25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25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25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25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25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25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25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25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25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25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25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25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25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25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25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25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25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25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25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25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25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25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25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25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25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25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25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25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25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25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25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25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25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25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25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25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25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25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25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25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25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25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25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25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25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25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25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25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25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25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25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25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25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25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25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25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25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25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25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25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25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25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25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25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25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25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25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25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25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25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25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25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25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25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25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25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25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25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25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25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25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25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25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25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25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25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25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25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25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25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25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25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25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25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25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25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25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25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25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25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25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25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25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25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25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25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25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25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25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25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25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25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25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25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25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25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25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25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25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25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25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25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25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25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25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25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25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25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25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25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25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25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25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25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25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25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25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25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25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25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25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25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25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25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25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25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25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25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25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25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25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25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25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25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25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25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25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25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25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25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25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25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25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25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25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25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25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25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25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25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25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25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25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25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25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25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25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25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25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25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25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25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25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25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25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25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25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25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25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25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25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25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25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25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25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25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25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25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25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25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25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25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25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25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25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25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25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25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25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25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25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25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25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25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25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25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25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25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25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25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25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25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25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25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25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25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25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25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25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25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25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25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25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25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25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25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25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25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25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25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25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25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25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25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25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25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25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25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25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25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25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25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25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25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25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25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25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25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25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25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25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25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25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25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25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25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25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25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25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25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25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25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25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25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25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25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25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25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25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25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25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25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25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25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25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25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25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25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25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25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25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25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25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25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25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25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25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25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25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25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25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25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25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25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25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25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25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25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25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25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25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25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25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25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25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25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25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25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25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25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25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25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25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25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25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25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25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25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25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25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25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25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25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25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25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25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25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25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25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25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25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25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25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25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25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25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25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25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25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25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25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25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25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25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25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25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25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25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25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25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25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25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25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25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25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25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25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25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25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25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25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25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25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25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25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25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25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25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25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25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25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25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25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25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25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25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25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25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25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25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25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25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25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25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25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25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25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25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25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25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25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25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25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25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25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25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25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25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25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25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25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25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25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25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25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25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25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25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25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25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25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25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25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25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25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25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25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25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25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25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25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25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25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25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25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25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25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25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25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25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25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25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25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25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25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25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25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25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25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25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25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25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25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25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25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25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25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25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25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25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25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25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25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25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25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25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25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25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25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25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25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25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25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25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25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25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25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25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25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25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25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25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25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25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25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25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25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25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25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25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25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25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25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25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25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25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25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25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25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25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25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25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25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25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25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25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25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25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25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25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25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25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25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25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25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25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25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25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25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25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25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25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25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25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25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25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25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25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25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25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25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25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25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25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25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25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25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25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25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25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25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25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25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25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25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25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25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25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25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25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25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25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25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25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25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25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25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25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25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25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25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25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25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25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25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25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25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25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25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25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25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25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25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25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25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25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25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25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25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25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25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25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25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25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25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25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25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25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25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25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25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25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25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25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25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25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25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25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25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25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25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25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25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25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25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25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25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25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25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25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25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25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25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25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25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25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25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25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25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25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25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25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25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25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25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25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25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25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25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25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25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25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25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25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25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25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25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25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25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25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25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25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25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25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25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25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25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25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25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25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25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25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25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25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25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25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25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25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25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25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25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25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25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25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25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25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25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25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25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25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25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25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25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25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25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25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25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25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25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25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25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25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25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25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25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25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25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25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25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25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25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25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25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25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25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25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25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25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25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25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25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25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25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25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25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25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25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25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25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25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25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25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25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25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25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25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25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25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25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25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25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25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25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25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25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25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25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25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25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25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25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25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25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25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25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25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25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25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25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25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25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25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25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25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25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25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25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25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25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25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25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25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25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25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25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25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25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25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25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25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25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25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25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25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25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25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25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25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25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25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25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25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25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25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25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25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25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25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25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25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25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25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25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25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25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25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25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25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25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25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25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25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25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25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25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25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25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25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25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25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25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25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25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25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25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25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25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25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25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25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25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25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25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25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25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25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25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25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25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25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25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25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25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25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25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25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25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25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25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25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25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25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25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25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25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25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25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25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25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25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25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25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25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25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25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25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25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25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25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25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25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25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25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25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25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25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25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25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25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25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25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25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25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25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25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25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25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25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25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25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25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25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25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25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25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25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25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25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25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25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25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25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25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25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25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25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25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25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25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25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25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25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25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25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25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25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25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25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25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25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25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25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25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25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25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25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25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25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25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25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25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25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25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25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25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25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25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25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25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25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25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25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25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25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25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25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25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25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25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25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25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25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25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25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25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25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25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25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25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25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25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25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25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25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25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25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25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25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25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25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25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25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25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25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25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25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25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25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25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25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25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25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25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25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25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25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25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25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25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25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25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25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25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25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25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25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25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25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25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25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25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25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25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25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25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25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25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25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25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25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25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25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25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25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25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25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25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25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25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25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25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25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25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25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25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25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25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25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25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25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25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25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25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25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25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25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25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25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25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25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25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25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25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25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25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25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25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25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25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25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25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25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25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25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25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25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25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25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25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25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25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25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25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25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25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25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25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25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25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25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25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25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25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25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25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25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25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25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25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25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25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25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25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25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25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25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25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25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25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25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25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25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25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25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25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25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25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25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25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25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25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25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25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25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25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25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25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25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25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25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25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25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25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25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25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25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25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25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25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25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25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25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25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25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25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25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25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25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25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25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25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25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25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25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25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25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25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25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25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25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25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25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25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25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25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25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25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25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25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25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25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25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25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25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25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25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25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25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25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25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25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25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25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25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25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25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25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25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25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25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25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25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25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25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25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25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25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25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25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25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25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25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25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25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25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25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25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25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25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25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25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25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25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25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25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25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25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25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25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25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25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25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25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25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25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25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25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25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25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25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25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25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25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25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25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25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25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25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25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25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25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25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25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25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25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25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25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25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25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25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25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25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25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25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25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25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25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25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25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25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25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25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25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25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25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25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25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25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25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25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25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25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25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25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25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25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25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25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25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25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25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25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25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25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25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25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25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25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25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25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25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25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25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25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25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25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25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25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25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25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25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25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25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25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25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25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25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25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25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25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25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25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25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25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25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25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25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25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25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25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25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25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25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25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25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25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25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25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25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25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25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25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25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25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25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25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25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25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25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25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25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25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25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25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25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25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25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25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25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25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25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25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25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25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25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25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25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25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25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25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25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25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25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25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25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25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25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25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25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25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25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25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25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25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25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25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25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25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25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25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25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25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25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25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25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25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25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25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25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25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25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25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25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25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25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25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25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25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25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25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25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25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25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25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25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25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25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25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25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25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25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25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25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25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25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25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25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25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25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25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25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25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25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25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25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25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25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25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25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25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25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25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25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25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25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25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25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25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25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25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25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25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25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25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25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25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25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25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25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25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25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25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25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25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25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25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25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25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25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25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25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25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25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25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25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25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25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25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25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25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25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25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25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25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25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25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25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25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25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25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25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25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25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25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25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25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25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25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25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25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25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25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25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25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25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25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25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25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25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25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25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25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25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25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25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25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25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25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25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25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25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25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25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25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25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25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25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25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25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25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25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25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25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25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25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25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25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25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25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25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25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25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25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25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25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25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25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25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25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25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25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25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25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25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25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25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25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25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25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25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25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25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25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25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25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25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25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25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25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25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25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25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25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25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25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25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25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25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25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25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25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25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25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25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25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25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25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25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25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25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25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25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25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25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25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25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25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25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25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25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25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25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25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25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25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25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25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25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25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25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25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25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25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25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25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25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25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25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25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25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25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25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25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25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25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25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25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25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25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25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25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25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25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25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25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25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25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25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25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25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25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25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25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25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25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25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25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25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25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25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25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25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25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25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25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25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25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25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25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25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25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25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25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25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25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25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25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25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25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25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25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25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25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25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25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25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25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25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25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25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25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25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25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25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25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25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25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25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25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25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25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25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25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25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25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25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25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25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25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25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25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25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25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25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25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25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25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25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25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25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25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25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25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25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25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25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25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25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25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25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25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25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25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25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25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25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25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25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25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25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25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25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25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25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25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25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25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25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25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25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25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25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25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25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25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25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25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25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25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25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25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25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25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25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25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25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25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25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25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25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25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25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25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25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25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25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25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25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25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25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25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25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25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25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25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25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25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25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25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25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25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25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25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25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25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25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25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25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25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25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25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25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25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25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25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25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25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25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25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25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25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25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25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25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25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25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25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25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25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25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25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25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25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25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25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25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25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25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25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25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25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25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25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25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25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25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25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25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25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25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25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25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25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25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25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25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25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25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25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25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25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25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25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25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25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25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25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25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25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25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25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25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25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25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25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25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25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25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25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25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25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25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25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25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25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25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25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25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25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25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25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25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25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25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25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25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25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25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25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25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25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25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25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25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25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25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25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25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25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25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25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25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25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25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25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25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25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25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25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25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25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25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25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25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25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25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25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25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25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25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25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25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25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25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25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25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25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25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25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25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25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25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25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25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25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25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25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25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25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25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25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25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25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25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25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25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25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25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25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25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25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25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25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25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25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25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25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25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25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25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25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25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25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25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25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25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25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25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25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25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25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25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25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25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25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25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25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25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25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25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25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25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25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25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25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25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25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25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25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25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25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25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25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25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25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25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25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25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25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25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25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25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25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25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25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25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25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25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25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25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25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25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25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25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25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25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25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25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25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25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25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25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25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25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25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25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25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25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25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25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25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25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25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25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25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25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25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25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25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25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25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25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25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25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25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25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25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25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25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25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25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25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25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25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25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25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25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25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25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25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25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25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25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25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25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25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25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25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25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25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25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25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25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25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25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25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25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25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25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25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25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25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25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25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25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25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25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25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25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25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25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25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25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25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25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25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25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25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25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25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25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25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25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25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25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25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25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25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25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25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25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25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25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25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25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25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25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25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25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25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25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25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25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25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25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25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25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25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25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25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25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25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25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25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25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25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25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25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25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25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25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25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25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25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25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25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25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25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25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25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25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25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25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25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25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25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25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25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25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25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25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25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25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25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25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25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25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25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25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25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25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25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25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25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25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25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25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25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25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25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25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25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25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25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25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25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25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25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25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25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25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25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25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25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25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25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25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25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25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25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25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25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25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25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25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25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25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25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25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25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25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25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25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25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25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25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25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25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25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25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25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25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25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25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25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25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25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25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25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25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25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25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25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25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25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25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25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25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25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25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25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25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25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25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25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25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25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25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25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25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25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25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25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25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25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25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25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25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25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25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25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25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25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25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25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25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25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25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25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25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25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25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25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25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25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25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25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25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25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25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25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25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25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25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25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25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25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25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25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25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25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25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25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25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25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25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25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25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25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25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25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25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25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25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25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25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25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25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25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25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25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25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25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25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25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25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25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25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25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25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25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25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25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25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25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25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25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25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25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25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25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25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25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25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25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25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25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25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25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25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25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25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25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25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25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25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25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25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25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25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25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25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25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25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25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25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25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25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25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25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25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25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25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25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25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25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25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25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25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25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25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25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25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25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25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25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25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25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25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25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25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25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25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25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25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25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25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25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25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25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25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25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25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25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25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25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25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25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25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25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25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25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25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25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25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25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25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25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25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25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25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25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25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25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25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25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25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25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25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25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25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25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25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25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25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25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25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25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25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25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25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25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25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25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25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25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25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25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25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25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25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25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25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25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25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25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25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25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25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25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25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25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25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25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25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25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25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25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25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25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25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25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25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25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25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25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25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25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25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25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25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25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25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25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25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25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25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25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25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25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25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25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25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25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25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25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25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25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25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25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25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25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25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25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25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25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25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25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25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25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25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25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25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25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25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25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25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25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25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25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25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25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25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25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25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25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25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25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25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25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25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25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25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25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25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25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25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25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25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25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25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25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25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25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25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25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25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25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25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25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25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25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25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25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25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25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25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25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25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25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25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25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25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25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25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25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25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25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25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25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25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25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25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25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25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25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25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25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25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25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25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25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25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25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25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25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25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25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25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25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25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25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25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25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25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25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25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25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25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25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25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25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25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25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25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25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25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25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25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25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25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25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25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25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25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25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25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25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25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25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25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25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25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25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25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25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25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25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25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25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25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25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25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25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25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25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25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25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25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25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25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25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25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25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25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25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25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25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25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25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25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25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25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25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25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25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25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25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25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25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25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25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25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25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25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25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25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25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25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25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25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25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25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25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25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25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25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25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25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25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25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25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25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25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25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25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25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25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25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25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25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25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25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25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25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25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25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25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25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25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25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25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25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25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25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25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25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25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25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25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25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25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25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25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25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25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25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25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25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25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25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25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25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25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25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25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25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25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25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25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25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25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25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25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25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25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25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25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25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25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25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25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25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25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25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25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25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25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25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25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25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25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25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25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25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25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25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25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25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25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25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25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25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25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25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25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25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25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25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25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25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25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25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25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25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25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25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25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25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25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25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25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25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25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25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25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25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25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25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25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25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25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25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25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25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25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25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25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25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25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25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25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25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25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25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25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25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25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25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25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25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25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25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25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25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25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25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25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25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25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25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25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25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25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25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25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25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25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25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25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25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25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25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25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25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25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25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25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25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25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25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25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25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25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25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25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25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25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25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25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25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25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25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25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25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25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25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25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25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25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25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25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25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25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25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25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25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25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25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25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25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25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25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25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25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25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25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25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25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25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25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25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25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25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25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25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25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25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25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25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25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25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25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25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25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25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25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25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25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25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25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25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25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25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25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25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25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25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25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25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25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25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25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25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25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25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25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25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25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25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25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25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25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25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25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25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25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25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25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25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25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25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25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25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25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25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25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25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25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25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25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25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25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25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25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25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25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25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25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25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25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25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25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25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25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25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25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25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25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25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25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25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25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25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25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25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25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25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25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25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25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25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25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25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25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25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25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25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25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25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25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25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25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25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25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25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25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25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25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25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25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25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25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25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25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25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25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25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25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25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25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25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25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25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25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25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25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25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25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25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25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25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25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25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25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25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25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25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25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25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25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25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25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25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25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25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25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25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25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25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25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25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25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25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25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25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25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25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25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25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25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25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25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25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25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25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25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25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25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25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25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25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25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25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25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25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25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25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25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25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25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25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25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25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25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25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25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25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25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25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25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25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25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25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25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25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25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25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25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25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25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25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25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25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25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25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25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25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25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25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25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25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25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25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25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25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25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25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25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25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25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25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25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25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25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25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25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25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25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25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25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25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25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25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25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25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25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25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25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25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25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25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25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25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25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25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25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25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25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25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25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25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25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25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25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25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25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25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25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25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25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25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25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25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25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25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25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25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25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25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25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25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25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25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25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25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25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25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25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25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25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25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25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25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25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25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25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25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25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25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25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25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25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25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25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25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25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25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25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25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25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25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25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25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25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25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25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25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25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25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25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25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25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25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25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25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25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25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25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25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25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25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25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25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25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25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25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25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25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25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25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25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25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25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25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25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25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25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25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25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25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25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25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25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25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25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25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25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25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25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25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25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25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25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25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25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25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25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25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25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25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25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25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25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25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25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25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25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25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25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25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25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25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25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25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25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25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25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25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25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25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25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25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25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25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25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25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25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25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25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25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25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25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25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25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25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25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25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25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25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25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25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25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25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25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25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25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25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25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25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25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25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25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25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25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25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25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25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25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25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25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25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25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25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25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25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25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25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25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25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25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25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25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25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25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25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25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25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25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25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25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25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25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25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25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25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25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25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25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25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25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25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25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25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25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25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25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25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25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25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25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25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25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25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25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25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25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25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25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25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25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25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25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25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25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25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25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25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25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25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25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25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25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25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25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25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25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25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25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25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25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25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25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25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25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25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25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25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25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25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25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25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25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25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25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25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25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25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25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25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25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25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25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25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25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25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25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25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25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25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25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25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25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25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25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25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25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25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25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25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25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25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25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25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25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25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25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25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25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25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25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25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25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25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25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25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25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25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25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25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25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25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25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25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25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25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25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25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25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25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25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25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25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25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25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25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25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25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25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25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25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25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25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25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25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25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25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25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25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25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25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25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25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25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25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25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25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25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25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25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25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25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25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25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25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25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25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25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25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25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25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25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25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25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25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25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25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25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25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25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25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25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25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25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25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25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25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25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25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25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25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25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25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25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25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25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25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25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25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25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25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25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25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25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25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25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25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25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25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25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25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25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25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25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25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25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25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25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25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25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25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25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25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25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25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25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25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25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25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25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25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25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25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25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25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25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25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25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25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25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25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25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25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25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25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25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25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25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25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25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25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25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25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25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25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25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25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25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25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25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25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25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25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25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25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25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25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25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25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25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25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25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25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25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25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25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25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25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25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25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25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25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25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25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25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25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25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25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25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25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25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25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25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25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25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25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25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25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25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25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25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25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25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25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25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25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25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25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25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25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25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25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25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25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25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25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25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25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25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25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25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25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25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25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25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25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25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25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25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25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25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25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25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25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25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25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25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25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25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25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25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25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25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25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25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25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25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25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25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25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25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25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25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25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25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25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25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25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25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25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25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25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25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25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25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25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25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25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25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25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25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25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25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25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25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25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25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25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25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25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25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25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25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25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25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25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25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25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25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25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25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25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25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25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25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25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25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25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25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25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25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25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25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25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25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25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25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25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25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25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25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25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25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25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25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25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25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25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25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25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25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25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25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25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25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25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25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25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25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25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25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25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25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25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25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25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25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25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25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25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25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25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25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25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25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25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25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25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25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25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25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25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25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25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25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25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25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25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25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25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25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25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25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25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25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25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25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25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25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25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25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25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25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25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25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25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25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25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25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25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25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25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25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25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25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25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25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25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25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25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25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25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25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25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25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25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25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25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25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25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25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25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25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25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25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25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25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25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25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25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25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25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25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25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25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25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25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25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25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25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25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25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25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25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25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25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25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25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25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25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25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25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25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25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25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25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25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25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25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25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25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25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25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25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25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25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25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25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25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25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25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25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25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25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25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25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25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25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25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25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25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25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25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25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25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25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25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25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25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25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25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25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25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25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25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25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25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25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25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25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25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25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25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25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25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25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25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25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25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25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25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25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25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25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25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25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25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25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25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25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25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25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25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25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25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25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25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25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25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25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25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25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25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25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25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25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25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25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25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25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25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25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25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25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25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25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25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25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25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25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25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25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25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25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25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25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25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25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25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25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25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25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25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25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25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25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25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25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25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25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25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25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25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25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25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25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25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25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25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25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25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25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25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25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25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25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25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25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25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25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25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25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25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25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25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25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25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25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25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25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25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25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25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25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25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25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25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25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25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25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25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25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25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25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25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25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25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25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25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25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25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25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25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25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25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25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25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25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25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25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25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25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25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25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25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25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25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25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25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25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25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25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25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25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25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25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25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25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25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25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25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25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25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25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25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25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25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25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25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25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25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25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25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25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25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25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25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25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25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25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25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25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25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25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25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25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25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25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25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25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25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25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25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25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25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25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25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25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25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25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25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25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25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25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25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25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25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25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25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25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25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25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25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25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25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25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25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25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25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25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25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25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25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25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25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25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25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25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25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25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25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25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25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25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25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25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25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25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25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25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25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25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25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25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25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25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25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25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25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25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25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25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25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25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25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25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25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25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25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25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25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25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25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25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25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25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25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25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25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25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25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25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25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25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25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25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25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25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25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25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25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25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25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25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25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25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25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25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25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25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25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25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25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25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25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25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25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25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25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25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25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25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25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25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25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25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25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25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25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25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25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25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25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25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25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25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25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25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25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25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25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25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25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25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25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25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25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25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25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25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25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25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25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25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25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25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25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25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25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25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25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25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25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25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25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25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25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25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25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25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25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25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25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25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25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25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25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25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25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25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25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25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25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25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25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25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25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25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25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25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25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25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25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25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25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25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25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25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25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25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25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25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25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25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25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25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25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25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25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25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25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25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25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25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25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25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25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25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25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25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25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25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25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25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25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25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25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25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25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25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25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25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25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25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25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25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25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25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25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25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25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25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25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25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25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25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25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25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25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25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25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25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25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25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25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25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25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25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25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25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25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25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25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25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25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25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25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25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25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25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25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25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25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25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25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25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25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25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25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25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25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25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25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25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25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25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25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25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25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25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25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25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25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25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25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25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25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25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25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25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25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25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25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25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25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25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25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25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25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25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25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25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25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25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25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25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25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25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25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25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25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25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25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25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25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25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25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25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25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25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25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25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25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25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25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25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25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25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25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25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25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25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25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25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25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25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25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25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25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25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25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25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25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25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25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25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25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25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25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25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25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25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25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25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25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25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25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25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25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25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25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25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25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25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25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25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25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25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25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25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25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25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25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25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25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25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25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25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25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25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25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25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25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25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25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25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25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25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25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25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25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25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25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25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25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25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25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25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25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25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25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25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25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25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25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25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25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25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25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25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25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25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25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25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25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25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25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25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25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25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25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25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25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25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25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25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25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25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25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25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25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25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25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25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25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25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25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25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25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25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25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25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25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25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25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25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25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25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25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25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25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25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25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25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25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25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25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25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25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25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25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25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25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25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25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25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25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25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25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25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25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25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25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25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25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25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25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25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25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25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25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25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25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25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25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25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25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25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25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25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25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25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25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25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25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25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25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25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25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25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25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25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25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25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25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25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25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25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25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25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25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25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25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25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25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25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25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25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25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25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25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25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25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25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25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25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25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25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25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25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25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25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25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25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25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25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25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25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25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25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25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25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25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25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25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25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25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25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25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25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25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25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25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25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25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25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25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25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25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25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25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25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25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25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25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25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25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25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25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25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25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25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25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25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25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25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25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25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25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25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25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25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25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25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25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25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25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25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25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25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25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25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25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25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25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25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25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25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25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25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25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25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25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25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25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25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25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25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25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25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25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25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25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25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25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25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25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25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25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25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25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25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25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25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25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25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25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25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25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25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25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25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25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25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25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25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25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25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25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25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25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25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25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25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25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25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25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25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25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25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25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25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25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25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25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25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25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25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25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25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25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25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25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25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25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25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25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25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25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25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25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25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25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25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25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25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25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25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25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25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25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25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25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25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25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25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25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25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25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25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25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25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25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25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25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25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25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25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25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25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25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25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25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25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25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25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25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25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25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25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25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25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25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25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25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25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25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25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25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25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25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25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25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25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25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25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25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25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25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25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25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25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25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25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25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25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25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25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25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25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25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25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25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25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25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25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25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25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25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25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25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25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25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25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25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25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25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25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25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25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25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25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25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25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25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25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25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25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25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25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25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25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25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25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25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25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25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25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25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25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25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25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25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25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25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25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25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25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25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25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25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25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25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25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25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25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25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25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25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25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25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25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25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25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25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25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25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25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25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25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25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25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25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25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25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25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25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25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25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25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25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25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25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25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25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25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25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25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25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25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25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25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25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25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25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25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25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25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25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25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25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25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25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25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25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25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25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25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25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25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25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25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25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25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25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25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25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25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25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25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25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25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25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25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25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25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25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25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25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25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25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25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25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25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25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25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25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25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25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25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25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25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25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25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25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25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25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25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25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25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25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25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25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25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25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25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25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25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25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25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25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25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25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25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25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25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25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25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25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25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25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25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25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25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25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25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25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25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25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25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25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25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25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25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25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25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25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25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25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25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25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25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25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25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25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25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25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25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25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25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25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25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25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25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25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25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25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25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25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25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25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25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25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25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25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25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25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25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25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25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25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25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25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25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25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25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25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25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25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25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25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25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25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25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25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25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25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25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25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25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25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25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25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25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25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25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25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25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25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25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25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25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25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25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25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25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25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25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25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25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25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25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25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25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25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25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25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25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25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25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25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25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25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25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25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25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25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25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25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25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25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25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25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25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25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25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25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25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25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25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25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25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25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25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25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25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25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25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25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25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25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25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25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25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25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25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25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25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25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25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25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25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25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25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25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25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25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25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25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25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25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25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25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25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25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25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25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25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25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25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25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25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25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25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25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25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25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25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25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25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25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25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25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25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25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25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25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25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25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25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25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25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25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25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25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25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25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25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25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25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25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25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25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25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25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25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25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25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25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25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25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25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25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25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25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25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25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25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25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25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25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25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25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25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25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25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25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25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25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25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25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25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25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25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25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25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25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25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25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25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25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25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25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25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25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25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25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25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25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25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25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25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25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25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25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25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25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25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25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25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25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25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25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25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25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25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25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25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25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25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25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25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25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25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25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25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25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25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25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25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25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25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25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25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25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25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25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25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25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25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25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25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25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25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25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25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25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25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25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25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25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25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25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25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25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25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25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25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25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25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25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25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25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25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25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25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25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25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25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25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25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25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25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25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25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25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25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25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25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25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25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25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25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25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25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25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25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25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25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25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25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25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25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25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25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25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25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25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25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25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25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25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25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25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25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25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25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25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25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25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25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25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25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25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25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25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25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25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25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25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25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25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25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25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25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25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25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25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25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25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25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25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25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25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25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25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25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25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25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25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25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25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25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25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25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25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25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25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25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25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25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25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25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25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25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25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25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25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25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25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25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25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25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25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25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25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25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25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25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25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25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25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25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25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25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25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25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25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25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25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25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25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25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25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25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25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25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25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25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25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25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25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25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25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25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25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25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25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25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25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25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25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25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25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25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25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25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25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25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25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25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25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25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25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25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25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25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25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25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25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25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25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25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25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25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25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25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25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25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25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25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25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25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25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25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25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25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25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25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25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25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25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25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25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25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25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25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25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25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25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25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25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25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25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25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25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25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25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25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25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25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25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25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25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25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25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25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25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25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25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25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25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25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25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25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25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25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25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25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25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25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25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25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25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25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25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25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25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25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25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25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25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25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25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25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25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25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25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25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25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25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25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25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25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25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25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25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25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25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25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25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25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25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25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25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25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25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25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25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25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25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25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25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25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25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25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25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25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25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25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25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25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25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25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25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25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25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25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25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25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25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25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25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25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25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25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25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25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25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25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25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25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25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25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25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25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25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25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25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25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25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25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25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25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25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25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25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25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25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25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25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25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25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25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25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25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25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25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25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25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25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25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25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25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25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25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25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25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25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25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25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25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25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25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25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25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25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25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25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25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25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25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25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25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25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25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25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25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25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25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25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25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25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25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25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25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25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25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25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25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25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25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25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25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25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25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25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25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25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25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25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25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25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25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25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25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25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25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25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25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25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25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25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25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25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25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25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25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25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25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25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25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25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25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25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25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25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25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25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25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25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25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25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25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25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25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25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25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25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25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25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25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25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25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25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25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25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25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25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25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25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25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25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25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25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25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25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25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25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25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25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25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25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25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25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25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25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25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25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25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25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25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25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25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25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25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25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25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25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25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25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25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25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25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25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25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25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25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25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25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25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25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25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25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25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25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25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25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25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25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25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25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25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25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25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25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25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25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25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25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25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25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25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25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25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25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25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25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25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25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25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25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25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25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25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25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25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25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25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25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25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25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25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25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25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25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25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25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25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25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25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25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25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25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25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25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25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25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25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25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25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25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25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25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25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25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25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25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25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25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25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25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25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25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25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25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25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25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25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25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25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25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25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25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25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25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25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25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25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25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25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25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25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25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25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25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25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25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25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25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25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25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25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25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25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25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25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25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25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25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25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25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25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25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25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25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25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25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25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25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25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25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25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25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25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25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25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25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25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25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25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25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25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25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25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25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25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25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25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25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25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25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25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25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25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25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25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25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25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25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25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25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25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25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25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25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25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25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25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25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25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25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25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25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25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25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25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25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25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25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25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25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25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25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25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25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25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25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25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25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25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25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25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25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25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25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25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25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25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25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25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25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25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25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25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25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25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25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25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25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25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25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25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25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25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25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25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25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25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25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25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25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25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25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25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25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25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25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25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25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25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25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25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25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25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25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25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25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25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25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25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25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25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25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25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25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25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25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25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25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25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25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25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25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25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25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25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25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25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25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25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25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25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25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25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25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25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25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25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25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25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25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25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25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25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25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25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25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25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25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25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25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25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25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25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25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25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25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25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25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25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25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25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25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25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25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25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25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25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25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25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25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25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25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25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25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25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25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25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25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25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25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25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25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25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25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25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25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25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25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25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25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25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25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25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25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25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25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25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25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25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25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25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25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25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25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25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25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25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25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25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25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25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25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25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25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25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25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25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25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25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25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25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25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25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25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25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25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25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25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25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25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25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25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25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25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25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25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25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25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25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25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25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25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25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25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25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25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25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25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25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25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25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25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25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25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25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25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25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25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25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25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25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25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25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25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25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25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25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25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25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25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25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25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25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25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25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25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25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25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25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25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25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25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25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25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25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25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25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25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25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25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25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25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25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25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25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25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25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25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25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25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25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25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25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25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25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25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25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25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25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25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25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25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25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25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25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25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25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25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25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25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25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25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25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25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25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25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25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25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25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25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25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25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25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25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25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25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25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25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25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25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25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25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25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25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25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25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25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25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25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25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25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25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25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25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25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25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25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25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25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25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25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25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25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25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25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25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25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25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25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25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25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25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25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25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25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25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25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25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25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25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25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25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25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25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25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25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25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25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25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25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25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25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25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25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25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25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25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25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25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25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25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25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25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25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25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25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25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25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25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25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25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25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25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25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25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25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25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25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25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25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25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25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25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25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25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25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25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25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25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25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25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25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25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25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25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25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25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25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25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25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25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25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25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25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25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25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25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25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25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25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25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25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25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25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25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25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25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25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25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25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25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25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25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25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25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25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25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25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25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25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25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25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25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25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25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25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25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25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25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25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25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25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25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25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25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25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25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25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25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25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25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25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25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25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25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25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25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25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25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25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25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25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25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25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25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25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25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25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25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25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25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25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25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25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25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25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25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25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25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25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25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25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25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25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25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25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25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25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25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25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25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25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25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25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25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25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25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25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25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25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25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25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25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25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25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25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25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25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25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25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25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25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25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25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25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25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25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25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25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25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25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25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25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25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25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25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25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25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25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25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25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25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25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25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25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25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25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25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25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25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25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25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25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25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25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25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25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25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25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25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25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25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25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25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25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25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25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25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25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25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25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25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25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25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25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25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25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25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25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25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25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25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25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25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25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25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25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25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25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25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25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25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25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25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25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25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25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25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25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25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25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25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25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25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25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25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25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25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25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25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25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25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25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25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25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25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25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25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25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25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25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25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25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25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25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25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25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25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25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25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25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25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25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25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25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25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25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25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25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25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25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25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25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25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25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25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25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25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25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25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25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25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25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25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25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25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25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25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25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25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25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25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25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25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25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25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25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25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25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25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25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25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25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25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25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25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25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25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25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25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25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25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25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25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25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25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25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25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25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25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25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25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25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25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25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25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25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25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25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25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25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25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25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25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25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25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25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25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25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25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25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25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25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25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25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25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25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25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25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25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25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25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25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25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25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25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25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25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25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25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25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25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25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25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25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25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25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25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25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25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25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25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25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25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25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25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25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25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25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25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25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25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25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25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25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25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25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25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25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25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25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25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25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25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25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25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25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25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25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25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25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25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25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25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25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25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25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25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25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25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25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25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25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25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25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25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25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25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25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25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25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25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25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25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25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25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25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25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25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25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25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25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25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25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25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25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25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25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25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25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25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25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25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25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25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25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25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25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25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25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25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25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25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25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25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25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25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25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25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25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25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25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25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25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25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25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25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25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25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25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25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25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25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25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25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25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25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25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25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25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25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25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25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25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25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25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25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25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25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25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25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25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25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25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25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25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25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25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25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25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25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25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25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25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25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25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25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25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25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25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25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25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25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25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25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25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25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25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25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25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25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25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25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25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25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25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25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25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25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25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25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25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25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25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25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25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25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25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25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25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25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25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25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25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25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25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25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25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25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25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25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25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25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25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25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25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25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25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25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25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25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25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25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25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25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25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25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25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25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25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25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25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25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25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25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25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25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25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25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25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25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25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25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25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25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25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25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25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25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25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25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25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25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25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25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25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25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25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25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25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25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25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25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25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25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25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25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25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25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25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25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25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25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25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25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25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25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25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25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25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25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25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25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25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25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25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25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25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25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25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25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25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25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25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25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25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25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25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25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25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25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25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25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25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25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25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25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25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25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25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25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25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25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25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25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25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25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25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25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25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25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25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25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25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25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25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25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25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25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25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25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25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25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25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25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25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25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25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25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25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25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25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25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25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25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25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25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25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25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25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25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25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25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25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25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25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25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25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25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25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25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25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25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25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25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25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25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25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25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25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25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25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25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25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25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25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25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25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25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25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25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25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25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25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25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25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25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25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25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25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25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25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25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25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25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25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25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25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25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25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25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25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25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25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25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25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25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25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25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25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25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25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25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25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25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25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25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25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25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25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25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25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25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25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25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25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25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25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25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25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25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25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25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25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25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25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25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25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25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25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25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25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25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25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25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25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25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25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25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25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25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25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25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25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25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25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25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25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25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25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25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25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25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25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25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25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25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25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25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25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25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25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25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25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25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25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25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25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25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25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25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25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25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25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25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25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25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25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25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25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25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25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25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25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25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25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25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25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25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25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25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25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25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25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25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25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25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25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25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25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25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25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25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25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25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25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25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25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25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25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25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25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25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25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25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25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25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25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25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25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25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25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25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25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25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25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25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25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25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25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25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25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25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25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25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25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25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25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25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25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25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25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25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25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25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25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25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25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25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25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25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25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25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25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25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25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25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25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25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25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25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25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25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25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25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25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25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25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25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25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25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25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25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25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25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25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25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25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25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25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25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25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25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25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25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25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25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25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25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25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25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25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25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25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25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25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25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25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25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25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25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25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25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25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25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25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25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25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25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25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25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25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25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25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25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25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25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25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25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25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25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25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25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25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25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25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25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25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25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25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25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25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25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25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25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25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25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25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25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25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25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25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25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25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25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25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25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25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25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25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25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25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25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25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25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25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25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25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25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25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25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25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25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25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25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25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25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25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25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25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25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25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25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25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25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25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25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25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25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25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25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25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25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25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25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25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25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25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25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25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25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25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25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25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25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25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25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25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25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25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25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25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25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25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25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25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25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25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25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25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25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25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25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25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25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25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25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25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25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25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25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25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25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25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25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25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25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25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25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25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25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25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25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25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25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25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25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25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25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25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25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25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25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25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25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25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25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25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25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25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25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25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25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25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25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25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25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25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25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25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25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25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25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25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25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25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25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25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25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25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25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25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25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25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25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25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25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25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25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25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25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25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25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25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25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25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25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25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25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25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25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25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25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25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25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25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25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25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25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25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25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25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25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25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25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25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25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25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25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25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25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25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25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25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25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25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25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25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25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25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25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25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25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25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25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25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25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25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25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25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25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25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25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25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25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25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25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25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25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25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25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25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25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25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25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25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25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25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25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25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25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25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25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25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25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25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25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25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25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25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25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25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25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25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25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25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25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25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25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25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25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25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25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25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25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25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25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25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25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25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25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25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25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25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25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25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25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25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25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25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25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25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25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25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25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25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25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25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25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25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25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25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25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25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25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25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25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25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25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25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25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25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25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25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25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25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25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25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25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25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25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25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25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25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25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25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25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25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25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25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25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25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25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25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25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25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25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25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25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25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25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25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25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25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25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25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25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25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25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25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25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25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25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25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25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25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25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25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25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25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25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25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25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25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25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25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25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25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25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25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25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25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25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25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25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25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25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25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25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25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25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25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25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25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25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25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25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25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25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25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25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25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25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25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25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25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25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25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25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25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25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25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25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25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25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25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25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25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25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25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25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25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25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25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25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25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25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25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25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25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25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25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25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25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25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25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25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25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25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25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25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25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25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25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25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25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25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25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25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25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25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25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25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25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25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25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25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25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25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25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25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25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25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25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25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25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25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25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25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25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25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25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25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25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25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25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25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25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25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25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25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25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25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25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25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25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25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25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25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25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25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25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25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25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25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25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25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25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25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25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25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25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25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25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25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25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25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25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25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25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25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25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25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25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25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25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25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25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25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25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25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25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25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25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25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25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25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25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25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25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25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25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25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25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25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25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25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25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25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25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25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25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25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25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25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25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25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25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25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25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25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25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25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25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25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25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25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25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25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25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25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25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25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25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25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25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25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25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25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25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25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25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25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25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25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25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25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25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25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25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25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25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25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25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25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25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25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25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25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25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25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25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25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25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25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25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25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25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25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25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25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25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25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25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25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25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25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25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25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25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25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25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25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25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25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25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25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25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25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25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25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25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25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25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25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25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25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25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25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25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25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25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25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25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25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25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25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25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25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25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25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25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25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25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25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25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25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25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25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25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25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25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25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25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25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25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25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25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25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25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25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25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25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25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25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25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25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25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25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25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25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25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25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25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25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25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25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25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25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25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25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25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25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25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25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25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25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25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25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25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25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25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25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25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25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25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25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25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25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25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25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25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25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25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25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25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25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25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25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25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25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25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25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25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25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25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25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25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25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25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25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25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25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25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25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25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25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25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25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25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25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25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25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25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25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25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25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25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25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25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25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25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25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25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25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25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25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25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25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25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25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25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25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25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25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25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25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25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25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25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25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25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25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25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25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25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25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25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25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25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25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25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25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25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25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25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25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25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25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25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25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25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25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25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25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25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25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25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25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25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25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25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25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25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25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25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25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25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25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25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25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25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25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25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25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25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25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25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25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25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25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25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25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25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25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25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25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25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25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25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25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25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25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25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25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25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25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25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25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25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25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25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25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25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25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25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25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25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25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25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25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25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25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25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25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25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25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25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25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25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25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25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25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25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25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25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25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25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25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25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25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25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25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25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25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25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25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25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25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25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25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25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25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25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25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25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25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25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25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25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25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25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25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25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25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25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25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25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25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25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25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25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25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25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25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25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25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25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25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25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25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25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25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25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25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25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25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25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25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25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25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25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25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25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25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25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25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25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25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25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25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25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25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25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25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25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25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25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25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25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25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25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25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25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25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25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25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25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25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25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25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25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25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25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25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25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25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25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25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25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25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25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25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25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25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25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25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25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25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25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25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25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25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25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25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25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25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25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25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25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25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25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25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25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25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25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25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25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25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25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25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25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25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25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25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25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25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25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25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25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25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25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25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25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25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25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25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25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25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25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25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25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25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25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25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25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25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25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25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25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25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25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25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25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25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25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25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25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25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25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25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25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25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25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25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25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25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25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25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25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25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25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25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25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25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25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25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25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25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25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25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25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25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25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25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25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25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25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25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25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25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25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25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25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25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25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25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25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25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25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25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25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25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25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25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25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25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25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25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25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25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25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25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25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25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25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25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25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25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25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25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25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25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25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25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25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25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25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25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25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25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25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25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25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25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25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25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25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25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25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25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25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25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25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25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25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25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25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25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25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25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25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25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25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25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25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25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25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25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25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25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25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25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25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25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25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25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25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25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25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25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25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25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25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25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25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25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25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25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25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25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25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25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25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25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25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25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25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25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25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25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25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25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25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25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25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25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25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25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25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25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25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25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25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25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25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25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25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25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25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25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25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25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25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25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25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25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25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25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25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25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25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25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25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25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25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25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25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25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25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25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25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25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25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25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25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25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25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25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25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25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25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25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25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25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25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25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25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25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25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25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25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25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25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25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25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25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25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25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25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25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25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25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25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25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25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25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25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25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25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25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25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25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25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25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25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25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25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25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25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25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25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25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25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25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25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25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25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25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25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25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25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25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25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25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25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25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25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25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25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25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25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25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25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25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25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25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25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25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25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25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25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25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25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25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25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25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25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25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25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25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25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25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25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25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25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25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25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25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25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25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25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25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25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25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25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25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25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25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25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25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25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25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25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25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25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25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25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25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25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25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25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25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25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25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25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25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25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25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25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25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25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25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25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25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25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25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25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25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25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25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25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25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25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25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25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25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25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25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25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25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25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25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25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25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25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25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25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25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25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25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25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25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25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25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25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25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25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25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25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25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25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25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25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25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25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25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25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25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25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25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25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25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25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25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25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25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25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25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25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25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25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25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25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25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25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25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25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25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25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25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25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25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25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25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25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25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25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25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25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25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25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25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25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25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25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25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25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25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25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25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25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25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25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25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25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25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25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25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25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25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25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25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25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25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25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25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25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25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25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25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25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25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25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25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25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25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25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25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25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25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25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25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25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25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25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25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25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25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25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25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25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25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25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25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25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25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25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25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25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25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25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25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25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25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25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25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25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25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25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25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25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25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25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25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25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25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25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25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25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25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25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25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25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25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25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25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25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25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25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25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25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25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25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25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25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25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25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25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25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25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25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25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25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25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25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25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25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25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25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25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25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25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25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25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25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25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25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25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25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25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25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25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25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25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25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25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25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25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25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25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25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25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25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25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25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25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25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25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25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25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25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25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25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25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25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25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25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25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25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25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25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25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25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25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25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25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25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25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25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25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25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25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25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25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25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25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25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25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25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25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25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25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25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25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25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25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25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25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25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25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25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25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25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25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25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25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25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25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25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25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25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25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25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25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25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25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25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25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25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25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25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25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25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25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25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25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25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25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25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25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25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25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25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25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25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25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25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25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25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25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25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25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25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25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25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25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25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25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25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25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25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25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25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25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25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25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25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25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25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25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25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25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25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25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25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25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25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25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25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25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25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25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25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25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25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25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25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25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25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25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25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25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25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25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25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25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25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25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25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25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25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25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25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25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25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25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25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25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25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25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25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25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25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25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25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25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25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25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25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25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25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25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25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25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25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25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25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25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25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25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25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25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25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25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25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25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25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25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25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25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25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25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25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25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25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25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25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25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25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25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25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25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25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25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25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25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25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25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25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25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25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25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25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25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25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25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25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25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25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25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25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25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25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25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25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25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25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25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25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25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25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25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25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25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25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25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25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25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25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25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25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25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25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25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25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25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25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25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25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25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25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25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25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25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25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25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25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25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25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25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25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25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25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25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25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25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25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25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25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25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25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25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25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25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25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25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25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25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25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25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25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25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25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25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25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25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25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25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25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25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25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25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25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25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25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25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25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25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25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25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25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25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25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25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25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25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25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25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25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25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25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25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25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25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25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25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25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25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25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25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25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25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25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25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25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25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25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25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25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25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25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25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25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25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25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25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25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25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25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25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25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25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25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25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25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25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25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25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25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25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25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25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25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25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25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25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25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25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25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25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25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25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25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25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25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25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25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25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25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25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25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25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25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25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25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25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25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25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25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25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25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25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25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25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25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25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25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25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25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25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25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25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25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25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25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25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25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25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25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25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25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25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25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25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25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25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25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25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25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25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25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25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25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25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25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25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25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25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25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25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25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25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25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25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25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25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25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25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25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25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25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25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25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25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25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25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25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25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25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25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25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25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25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25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25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25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25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25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25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25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25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25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25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25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25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25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25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25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25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25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25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25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25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25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25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25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25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25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25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25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25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25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25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25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25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25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25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25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25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25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25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25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25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25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25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25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25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25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25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25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25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25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25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25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25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25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25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25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25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25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25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25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25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25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25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25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25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25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25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25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25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25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25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25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25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25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25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25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25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25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25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25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25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25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25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25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25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25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25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25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25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25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25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25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25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25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25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25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25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25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25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25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25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25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25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25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25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25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25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25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25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25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25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25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25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25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25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25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25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25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25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25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25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25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25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25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25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25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25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25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25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25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25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25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25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25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25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25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25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25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25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25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25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25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25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25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25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25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25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25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25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25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25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25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25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25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25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25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25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25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25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25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25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25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25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25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25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25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25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25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25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25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25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25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25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25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25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25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25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25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25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25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25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25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25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25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25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25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25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25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25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25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25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25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25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25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25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25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25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25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25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25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25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25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25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25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25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25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25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25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25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25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25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25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25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25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25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25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25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25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25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25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25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25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25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25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25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25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25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25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25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25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25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25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25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25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25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25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25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25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25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25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25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25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25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25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25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25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25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25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25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25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25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25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25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25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25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25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25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25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25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25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25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25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25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25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25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25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25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25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25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25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25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25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25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25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25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25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25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25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25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25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25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25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25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25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25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25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25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25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25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25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25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25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25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25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25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25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25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25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25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25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25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25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25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25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25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25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25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25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25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25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25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25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25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25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25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25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25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25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25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25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25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25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25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25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25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25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25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25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25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25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25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25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25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25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25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25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25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25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25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25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25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25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25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25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25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25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25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25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25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25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25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25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25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25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25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25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25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25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25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25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25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25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25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25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25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25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25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25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25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25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25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25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25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25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25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25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25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25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25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25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25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25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25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25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25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25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25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25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25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25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25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25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25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25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25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25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25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25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25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25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25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25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25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25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25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25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25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25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25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25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25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25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25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25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25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25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25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25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25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25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25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25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25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25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25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25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25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25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25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25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25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25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25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25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25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25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25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25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25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25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25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25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25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25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25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25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25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25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25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25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25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25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25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25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25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25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25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25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25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25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25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25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25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25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25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25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25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25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25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25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25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25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25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25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25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25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25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25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25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25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25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25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25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25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25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25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25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25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25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25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25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25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25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25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25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25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25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25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25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25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25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25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25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25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25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25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25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25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25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25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25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25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25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25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25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25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25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25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25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25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25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25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25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25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25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25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25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25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25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25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25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25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25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25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25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25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25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25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25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25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25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25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25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25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25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25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25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25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25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25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25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25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25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25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25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25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25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25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25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25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25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25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25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25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25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25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25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25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25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25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25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25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25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25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25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25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25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25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25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25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25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25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25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25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25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25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25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25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25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25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25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25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25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25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25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25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25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25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25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25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25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25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25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25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25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25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25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25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25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25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25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25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25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25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25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25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25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25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25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25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25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25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25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25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25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25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25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25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25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25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25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25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25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25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25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25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25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25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25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25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25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25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25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25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25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25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25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25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25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25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25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25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25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25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25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25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25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25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25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25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25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25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25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25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25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25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25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25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25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25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25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25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25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25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25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25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25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25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25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25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25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25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25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25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25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25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25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25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25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25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25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25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25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25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25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25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25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25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25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25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25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25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25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25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25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25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25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25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25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25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25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25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25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25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25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25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25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25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25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25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25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25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25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25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25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25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25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25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25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25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25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25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25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25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25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25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25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25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25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25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25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25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25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25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25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25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25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25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25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25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25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25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25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25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25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25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25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25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25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25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25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25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25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25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25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25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25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25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25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25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25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25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25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25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25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25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25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25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25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25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25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25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25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25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25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25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25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25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25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25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25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25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25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25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25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25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25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25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25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25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25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25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25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25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25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25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25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25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25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25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25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25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25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25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25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25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25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25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25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25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25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25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25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25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25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25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25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25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25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25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25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25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25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25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25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25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25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25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25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25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25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25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25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25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25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25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25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25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25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25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25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25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25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25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25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25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25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25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25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25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25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25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25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25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25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25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25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25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25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25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25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25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25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25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25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25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25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25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25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25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25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25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25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25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25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25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25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25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25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25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25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25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25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25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25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25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25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25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25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25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25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25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25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25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25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25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25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25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25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25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25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25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25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25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25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25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25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25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25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25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25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25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25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25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25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25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25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25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25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25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25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25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25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25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25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25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25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25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25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25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25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25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25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25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25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25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25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25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25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25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25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25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25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25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25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25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25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25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25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25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25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25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25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25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25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25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25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25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25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25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25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25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25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25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25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25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25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25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25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25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25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25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25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25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25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25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25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25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25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25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25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25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25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25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25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25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25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25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25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25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25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25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25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25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25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25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25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25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25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25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25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25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25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25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25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25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25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25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25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25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25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25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25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25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25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25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25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25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25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25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25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25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25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25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25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25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25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25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25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25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25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25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25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25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25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25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25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25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25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25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25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25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25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25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25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25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25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25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25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25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25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25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25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25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25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25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25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25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25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25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25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25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25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25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25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25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25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25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25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25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25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25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25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25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25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25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25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25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25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25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25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25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25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25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25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25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25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25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25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25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25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25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25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25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25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25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25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25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25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25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25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25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25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25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25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25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25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25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25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25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25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25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25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25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25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25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25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25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25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25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25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25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25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25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25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25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25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25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25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25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25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25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25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25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25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25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25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25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25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25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25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25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25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25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25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25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25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25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25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25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25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25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25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25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25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25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25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25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25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25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25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25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25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25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25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25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25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25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25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25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25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25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25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25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25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25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25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25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25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25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25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25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25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25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25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25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25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25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25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25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25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25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25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25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25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25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25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25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25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25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25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25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25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25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25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25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25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25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25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25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25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25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25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25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25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25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25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25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25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25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25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25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25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25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25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25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25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25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25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25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25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25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25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25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25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25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25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25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25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25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25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25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25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25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25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25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25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25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25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25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25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25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25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25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25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25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25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25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25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25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25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25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25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25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25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25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25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25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25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25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25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25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25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25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25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25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25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25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25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25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25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25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25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25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25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25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25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25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25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25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25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25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25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25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25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25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25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25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25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25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25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25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25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25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25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25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25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25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25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25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25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25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25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25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25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25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25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25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25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25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25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25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25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25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25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25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25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25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25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25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25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25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25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25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25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25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25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25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25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25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25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25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25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25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25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25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25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25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25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25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25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25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25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25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25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25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25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25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25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25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25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25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25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25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25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25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25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25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25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25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25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25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25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25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25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25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25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25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25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25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25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25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25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25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25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25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25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25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25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25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25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25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25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25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25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25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25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25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25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25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25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25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25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25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25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25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25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25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25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25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25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25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25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25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25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25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25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25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25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25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25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25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25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25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25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25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25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25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25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25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25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25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25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25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25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25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25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25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25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25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25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25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25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25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25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25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25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25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25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25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25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25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25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25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25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25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25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25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25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25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25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25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25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25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25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25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25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25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25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25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25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25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25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25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25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25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25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25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25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25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25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25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25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25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25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25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25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25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25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25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25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25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25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25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25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25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25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25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25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25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25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25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25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25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25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25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25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25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25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25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25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25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25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25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25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25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25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25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25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25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25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25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25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25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25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25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25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25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25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25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25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25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25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25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25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25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25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25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25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25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25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25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25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25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25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25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25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25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25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25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25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25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25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25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25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25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25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25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25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25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25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25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25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25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25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25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25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25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25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25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25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25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25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25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25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25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25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25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25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25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25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25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25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25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25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25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25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25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25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25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25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25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25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25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25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25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25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25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25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25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25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25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25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25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25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25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25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25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25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25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25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25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25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25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25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25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25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25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25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25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25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25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25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25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25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25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25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25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25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25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25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25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25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25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25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25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25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25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25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25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25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25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25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25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25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25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25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25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25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25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25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25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25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25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25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25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25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25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25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25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25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25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25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25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25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25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25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25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25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25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25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25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25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25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25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25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25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25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25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25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25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25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25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25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25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25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25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25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25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25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25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25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25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25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25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25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25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25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25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25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25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25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25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25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25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25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25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25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25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25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25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25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25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25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25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25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25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25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25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25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25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25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25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25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25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25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25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25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25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25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25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25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25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25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25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25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25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25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25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25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25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25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25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25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25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25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25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25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25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25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25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25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25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25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25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25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25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25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25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25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25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25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25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25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25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25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25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25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25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25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25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25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25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25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25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25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25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25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25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25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25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25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25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25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25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25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25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25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25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25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25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25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25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25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25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25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25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25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25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25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25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25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25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25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25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25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25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25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25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25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25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25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25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25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25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25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25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25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25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25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25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25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25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25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25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25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25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25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25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25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25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25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25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25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25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25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25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25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25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25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25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25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25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25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25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25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25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25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25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25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25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25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25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25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25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25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25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25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25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25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25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25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25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25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25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25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25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25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25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25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25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25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25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25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25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25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25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25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25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25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25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25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25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25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25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25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25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25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25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25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25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25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25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25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25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25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25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25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25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25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25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25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25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25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25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25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25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25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25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25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25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25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25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25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25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25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25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25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25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25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25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25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25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25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25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25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25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25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25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25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25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25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25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25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25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25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25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25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25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25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25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25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25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25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25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25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25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25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25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25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25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25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25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25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25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25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25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25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25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25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25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25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25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25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25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25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25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25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25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25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25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25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25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25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25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25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25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25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25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25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25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25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25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25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25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25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25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25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25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25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25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25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25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25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25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25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25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25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25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25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25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25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25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25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25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25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25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25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25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25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25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25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25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25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25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25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25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25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25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25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25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25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25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25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25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25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25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25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25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25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25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25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25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25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25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25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25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25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25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25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25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25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25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25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25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25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25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25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25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25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25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25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25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25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25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25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25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25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25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25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25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25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25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25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25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25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25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25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25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25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25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25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25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25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25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25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25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25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25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25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25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25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25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25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25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25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25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25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25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25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25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25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25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25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25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25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25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25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25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25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25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25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25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25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25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25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25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25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25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25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25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25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25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25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25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25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25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25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25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25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25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25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25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25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25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25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25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25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25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25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25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25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25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25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25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25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25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25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25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25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25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25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25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25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25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25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25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25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25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25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25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25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25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25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25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25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25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25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25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25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25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25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25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25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25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25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25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25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25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25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25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25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25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25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25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25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25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25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25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25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25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25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25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25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25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25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25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25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25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25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25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25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25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25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25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25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25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25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25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25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25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25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25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25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25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25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25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25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25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25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25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25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25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25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25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25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25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25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25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25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25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25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25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25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25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25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25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25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25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25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25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25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25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25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25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25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25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25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25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25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25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25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25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25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25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25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25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25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25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25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25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25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25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25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25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25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25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25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25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25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25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25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25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25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25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25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25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25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25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25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25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25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25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25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25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25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25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25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25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25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25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25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25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25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25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25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25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25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25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25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25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25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25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25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25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25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25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25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25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25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25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25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25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25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25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25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25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25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25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25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25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25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25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25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25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25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25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25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25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25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25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25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25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25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25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25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25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25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25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25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25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25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25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25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25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25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25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25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25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25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25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25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25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25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25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25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25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25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25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25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25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25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25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25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25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25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25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25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25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25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25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25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25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25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25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25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25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25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25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25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25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25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25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25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25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25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25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25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25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25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25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25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25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25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25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25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25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25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25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25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25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25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25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25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25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25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25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25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25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25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25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25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25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25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25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25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25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25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25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25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25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25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25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25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25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25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25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25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25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25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25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25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25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25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25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25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25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25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25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25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25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25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25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25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25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25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25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25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25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25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25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25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25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25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25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25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25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25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25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25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25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25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25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25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25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25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25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25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25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25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25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25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25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25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25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25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25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25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25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25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25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25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25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25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25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25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25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25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25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25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25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25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25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25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25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25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25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25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25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25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25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25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25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25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25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25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25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25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25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25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25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25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25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25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25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25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25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25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25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25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25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25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25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25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25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25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25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25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25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25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25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25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25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25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25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25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25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25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25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25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25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25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25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25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25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25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25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25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25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25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25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25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25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25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25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25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25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25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25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25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25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25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25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25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25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25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25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25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25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25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25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25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25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25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25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25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25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25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25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25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25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25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25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25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25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25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25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25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25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25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25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25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25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25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25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25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25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25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25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25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25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25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25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25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25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25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25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25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25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25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25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25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25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25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25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25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25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25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25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25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25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25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25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25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25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25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25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25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25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25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25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25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25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25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25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25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25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25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25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25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25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25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25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25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25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25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25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25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25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25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25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25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25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25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25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25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25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25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25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25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25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25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25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25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25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25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25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25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25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25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25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25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25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25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25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25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25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25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25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25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25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25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25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25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25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25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25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25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25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25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25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25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25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25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25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25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25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25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25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25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25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25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25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25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25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25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25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25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25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25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25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25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25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25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25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25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25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25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25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25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25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25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25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25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25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25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25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25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25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25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25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25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25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25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25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25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25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25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25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25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25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25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25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25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25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25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25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25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25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25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25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25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25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25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25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25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25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25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25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25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25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25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25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25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25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25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25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25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25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25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25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25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25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25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25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25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25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25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25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25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25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25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25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25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25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25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25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25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25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25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25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25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25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25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25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25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25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25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25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25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25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25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25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25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25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25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25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25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25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25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25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25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25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25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25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25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25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25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25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25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25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25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25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25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25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25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25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25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25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25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25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25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25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25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25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25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25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25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25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25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25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25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25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25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25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25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25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25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25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25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25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25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25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25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25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25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25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25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25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25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25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25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25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25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25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25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25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25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25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25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25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25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25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25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25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25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25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25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25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25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25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25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25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25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25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25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25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25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25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25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25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25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25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25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25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25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25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25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25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25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25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25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25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25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25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25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25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25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25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25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25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25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25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25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25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25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25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25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25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25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25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25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25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25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25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25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25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25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25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25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25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25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25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25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25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25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25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25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25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25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25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25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25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25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25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25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25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25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25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25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25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25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25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25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25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25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25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25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25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25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25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25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25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25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25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25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25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25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25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25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25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25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25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25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25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25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25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25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25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25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25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25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25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25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25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25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25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25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25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25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25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25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25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25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25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25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25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25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25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25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25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25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25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25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25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25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25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25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25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25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25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25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25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25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25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25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25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25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25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25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25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25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25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25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25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25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25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25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25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25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25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25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25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25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25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25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25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25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25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25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25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25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25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25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25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25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25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25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25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25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25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25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25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25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25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25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25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25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25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25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25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25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25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25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25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25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25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25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25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25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25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25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25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25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25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25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25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25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25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25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25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25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25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25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25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25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25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25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25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25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25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25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25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25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25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25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25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25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25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25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25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25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25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25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25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25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25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25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25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25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25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25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25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25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25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25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25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25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25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25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25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25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25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25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25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25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25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25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25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25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25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25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25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25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25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25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25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25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25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25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25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25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25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25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25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25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25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25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25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25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25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25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25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25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25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25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25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25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25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25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25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25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25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25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25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25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25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25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25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25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25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25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25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25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25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25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25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25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25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25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25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25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25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25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25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25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25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25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25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25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25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25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25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25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25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25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25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25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25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25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25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25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25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25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25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25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25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25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25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25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25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25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25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25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25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25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25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25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25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25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25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25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25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25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25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25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25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25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25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25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25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25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25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25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25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25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25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25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25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25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25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25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25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25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25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25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25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25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25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25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25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25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25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25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25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25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25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25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25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25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25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25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25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25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25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25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25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25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25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25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25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25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25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25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25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25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25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25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25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25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25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25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25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25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25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25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25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25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25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25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25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25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25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25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25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25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25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25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25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25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25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25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25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25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25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25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25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25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25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25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25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25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25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25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25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25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25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25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25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25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25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25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25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25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25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25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25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25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25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25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25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25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25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25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25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25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25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25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25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25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25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25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25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25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25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25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25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25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25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25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25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25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25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25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25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25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25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25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25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25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25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25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25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25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25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25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25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25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25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25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25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25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25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25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25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25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25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25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25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25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25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25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25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25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25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25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25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25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25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25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25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25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25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25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25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25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25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25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25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25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25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25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25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25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25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25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25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25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25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25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25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25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25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25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25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25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25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25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25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25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25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25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25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25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25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25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25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25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25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25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25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25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25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25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25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25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25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25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25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25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25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25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25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25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25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25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25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25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25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25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25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25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25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25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25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25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25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25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25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25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25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25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25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25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25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25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25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25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25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25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25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25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25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25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25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25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25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25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25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25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25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25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25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25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25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25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25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25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25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25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25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25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25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25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25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25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25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25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25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25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25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25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25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25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25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25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25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25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25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25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25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25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25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25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25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25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25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25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25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25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25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25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25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25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25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25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25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25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25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25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25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25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25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25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25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25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25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25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25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25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25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25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25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25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25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25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25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25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25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25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25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25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25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25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25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25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25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25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25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25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25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25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25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25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25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25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25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25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25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25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25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25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25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25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25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25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25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25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25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25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25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25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25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25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25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25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25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25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25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25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25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25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25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25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25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25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25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25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25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25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25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25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25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25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25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25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25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25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25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25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25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25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25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25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25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25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25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25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25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25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25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25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25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25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25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25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25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25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25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25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25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25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25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25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25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25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25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25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25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25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25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25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25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25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25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25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25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25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25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25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25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25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25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25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25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25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25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25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25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25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25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25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25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25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25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25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25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25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25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25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25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25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25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25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25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25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25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25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25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25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25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25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25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25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25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25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25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25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25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25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25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25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25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25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25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25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25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25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25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25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25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25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25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25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25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25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25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25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25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25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25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25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25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25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25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25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25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25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25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25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25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25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25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25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25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25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25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25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25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25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25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25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25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25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25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25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25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25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25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25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25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25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25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25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25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25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25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25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25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25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25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25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25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25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25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25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25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25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25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25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25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25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25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25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25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25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25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25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25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25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25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25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25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25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25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25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25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25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25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25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25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25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25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25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25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25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25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25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25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25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25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25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25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25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25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25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25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25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25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25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25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25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25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25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25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25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25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25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25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25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25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25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25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25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25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25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25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25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25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25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25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25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25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25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25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25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25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25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25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25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25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25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25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25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25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25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25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25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25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25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25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25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25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25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25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25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25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25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25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25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25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25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25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25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25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25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25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25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25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25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25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25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25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25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25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25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25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25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25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25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25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25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25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25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25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25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25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25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25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25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25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25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25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25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25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25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25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25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25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25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25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25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25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25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25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25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25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25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25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25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25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25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25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25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25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25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25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25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25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25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25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25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25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25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25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25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25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25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25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25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25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25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25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25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25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25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25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25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25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25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25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25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25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25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25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25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25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25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25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25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25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25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25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25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25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25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25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25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25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25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25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25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25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25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25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25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25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25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25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25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25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25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25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25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25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25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25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25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25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25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25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25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25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25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25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25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25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25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25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25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25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25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25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25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25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25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25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25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25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25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25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25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25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25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25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25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25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25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25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25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25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25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25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25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25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25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25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25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25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25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25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25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25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25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25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25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25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25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25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25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25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25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25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25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25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25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25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25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25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25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25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25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25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25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25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25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25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25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25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25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25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25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25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25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25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25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25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25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25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25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25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25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25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25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25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25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25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25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25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25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25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25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25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25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25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25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25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25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25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25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25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25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25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25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25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25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25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25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25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25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25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25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25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25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25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25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25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25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25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25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25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25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25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25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25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25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25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25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25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25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25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25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25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25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25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25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25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25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25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25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25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25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25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25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25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25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25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25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25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25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25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25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25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25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25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25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25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25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25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25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25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25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25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25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25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25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25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25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25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25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25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25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25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25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25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25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25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25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25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25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25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25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25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25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25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25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25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25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25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25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25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25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25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25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25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25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25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25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25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25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25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25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25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25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25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25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25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25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25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25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25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25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25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25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25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25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25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25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25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25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25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25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25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25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25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25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25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25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25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25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25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25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25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25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25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25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25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25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25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25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25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25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25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25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25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25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25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25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25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25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25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25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25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25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25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25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25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25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25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25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25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25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25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25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25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25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25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25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25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25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25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25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25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25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25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25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25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25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25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25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25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25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25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25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25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25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25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25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25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25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25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25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25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25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25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25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25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25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25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25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25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25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25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25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25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25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25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25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25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25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25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25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25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25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25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25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25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25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25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25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25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25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25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25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25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25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25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25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25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25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25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25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25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25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25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25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25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25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25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25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25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25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25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25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25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25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25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25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25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25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25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25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25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25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25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25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25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25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25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25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25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25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25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25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25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25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25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25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25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25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25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25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25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25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25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25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25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25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25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25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25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25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25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25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25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25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25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25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25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25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25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25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25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25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25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25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25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25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25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25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25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25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25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25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25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25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25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25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25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25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25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25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25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25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25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25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25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25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25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25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25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25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25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25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25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25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25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25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25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25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25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25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25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25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25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25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25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25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25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25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25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25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25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25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25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25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25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25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25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25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25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25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25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25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25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25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25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25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25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25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25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25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25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25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25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25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25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25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25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25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25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25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25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25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25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25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25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25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25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25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25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25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25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25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25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25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25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25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25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25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25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25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25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25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25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25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25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25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25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25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25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25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25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25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25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25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25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25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25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25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25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25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25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25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25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25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25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25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25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25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25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25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25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25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25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25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25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25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25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25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25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25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25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25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25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25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25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25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25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25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25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25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25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25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25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25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25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25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25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25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25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25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25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25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25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25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25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25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25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25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25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25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25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25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25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25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25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25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25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25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25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25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25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25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25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25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25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25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25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25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25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25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25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25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25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25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25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25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25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25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25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25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25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25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25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25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25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25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25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25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25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25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25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25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25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25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25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25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25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25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25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25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25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25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25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25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25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25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25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25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25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25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25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25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25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25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25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25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25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25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25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25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25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25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25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25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25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25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25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25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25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25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25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25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25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25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25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25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25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25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25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25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25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25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25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25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25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25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25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25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25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25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25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25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25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25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25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25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25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25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25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25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25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25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25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25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25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25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25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25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25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25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25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25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25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25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25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25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25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25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25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25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25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25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25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25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25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25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25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25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25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25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25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25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25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25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25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25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25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25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25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25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25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25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25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25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25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25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25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25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25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25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25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25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25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25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25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25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25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25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25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25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25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25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25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25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25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25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25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25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25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25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25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25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25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25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25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25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25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25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25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25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25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25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25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25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25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25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25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25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25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25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25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25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25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25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25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25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25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25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25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25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25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25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25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25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25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25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25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25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25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25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25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25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25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25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25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25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25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25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25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25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25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25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25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25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25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25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25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25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25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25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25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25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25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25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25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25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25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25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25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25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25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25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25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25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25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25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25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25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25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25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25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25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25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25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25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25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25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25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25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25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25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25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25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25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25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25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25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25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25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25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25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25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25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25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25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25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25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25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25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25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25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25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25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25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25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25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25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25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25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25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25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25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25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25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25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25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25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25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25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25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25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25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25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25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25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25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25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25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25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25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25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25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25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25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25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25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25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25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25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25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25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25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25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25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25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25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25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25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25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25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25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25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25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25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25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25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25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25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25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25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25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25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25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25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25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25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25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25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25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25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25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25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25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25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25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25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25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25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25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25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25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25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25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25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25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25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25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25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25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25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25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25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25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25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25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25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25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25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25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25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25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25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25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25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25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25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25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25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25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25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25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25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25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25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25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25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25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25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25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25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25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25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25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25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25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25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25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25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25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25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25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25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25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25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25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25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25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25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25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25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25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25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25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25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25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25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25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25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25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25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25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25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25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25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25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25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25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25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25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25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25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25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25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25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25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25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25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25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25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25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25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25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25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25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25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25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25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25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25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25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25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25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25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25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25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25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25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25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25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25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25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25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25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25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25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25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25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25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25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25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25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25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25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25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25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25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25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25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25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25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25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25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25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25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25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25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25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25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25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25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25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25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25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25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25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25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25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25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25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25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25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25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25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25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25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25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25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25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25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25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25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25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25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25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25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25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25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25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25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25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25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25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25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25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25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25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25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25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25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25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25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25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25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25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25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25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25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25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25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25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25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25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25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25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25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25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25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25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25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25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25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25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25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25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25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25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25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25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25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25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25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25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25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25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25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25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25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25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25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25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25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25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25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25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25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25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25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25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25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25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25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25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25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25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25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25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25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25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25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25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25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25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25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25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25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25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25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25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25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25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25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25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25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25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25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25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25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25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25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25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25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25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25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25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25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25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25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25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25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25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25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25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25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25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25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25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25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25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25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25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25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25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25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25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25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25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25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25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25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25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25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25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25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25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25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25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25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25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25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25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25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25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25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25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25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25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25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25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25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25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25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25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25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25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25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25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25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25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25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25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25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25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25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25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25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25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25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25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25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25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25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25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25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25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25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25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25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25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25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25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25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25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25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25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25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25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25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25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25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25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25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25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25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25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25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25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25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25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25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25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25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25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25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25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25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25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25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25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25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25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25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25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25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25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25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25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25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25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25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25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25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25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25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25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25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25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25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25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25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25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25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25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25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25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25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25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25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25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25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25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25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25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25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25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25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25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25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25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25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25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25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25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25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25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25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25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25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25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25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25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25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25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25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25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25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25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25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25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25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25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25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25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25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25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25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25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25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25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25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25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25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25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25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25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25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25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25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25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25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25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25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25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25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25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25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25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25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25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25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25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25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25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25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25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25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25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25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25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25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25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25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25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25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25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25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25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25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25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25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25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25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25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25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25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25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25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25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25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25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25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25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25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25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25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25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25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25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25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25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25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25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25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25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25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25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25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25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25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25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25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25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25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25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25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25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25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25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25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25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25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25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25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25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25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25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25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25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25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25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25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25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25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25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25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25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25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25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25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25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25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25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25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25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25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25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25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25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25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25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25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25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25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25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25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25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25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25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25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25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25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25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25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25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25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25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25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25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25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25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25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25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25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25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25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25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25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25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25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25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25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25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25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25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25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25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25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25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25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25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25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25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25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25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25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25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25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25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25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25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25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25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25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25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25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25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25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25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25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25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25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25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25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25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25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25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25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25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25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25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25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25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25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25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25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25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25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25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25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25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25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25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25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25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25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25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25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25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25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25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25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25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25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25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25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25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25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25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25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25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25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25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25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25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25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25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25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25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25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25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25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25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25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25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25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25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25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25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25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25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25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25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25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25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25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25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25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25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25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25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25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25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25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25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25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25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25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25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25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25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25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25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25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25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25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25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25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25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25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25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25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25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25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25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25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25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25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25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25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25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25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25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25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25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25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25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25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25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25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25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25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25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25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25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25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25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25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25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25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25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25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25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25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25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25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25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25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25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25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25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25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25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25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25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25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25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25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25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25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25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25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25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25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25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25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25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25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25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25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25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25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25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25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25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25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25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25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25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25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25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25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25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25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25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25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25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25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25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25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25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25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25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25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25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25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25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25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25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25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25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25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25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25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25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25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25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25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25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25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25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25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25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25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25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25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25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25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25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25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25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25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25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25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25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25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25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25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25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25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25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25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25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25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25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25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25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25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25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25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25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25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25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25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25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25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25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25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25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25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25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25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25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25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25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25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25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25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25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25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25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25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25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25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25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25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25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25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25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25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25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25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25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25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25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25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25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25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25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25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25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25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25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25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25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25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25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25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25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25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25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25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25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25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25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25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25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25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25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25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25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25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25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25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25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25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25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25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25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25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25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25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25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25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25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25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25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25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25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25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25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25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25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25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25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25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25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25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25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25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25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25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25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25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25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25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25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25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25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25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25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25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25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25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25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25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25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25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25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25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25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25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25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25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25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25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25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25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25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25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25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25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25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25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25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25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25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25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25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25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25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25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25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25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25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25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25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25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25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25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25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25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25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25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25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25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25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25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25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25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25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25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25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25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25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25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25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25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25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25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25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25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25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25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25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25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25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25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25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25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25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25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25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25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25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25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25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25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25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25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25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25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25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25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25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25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25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25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25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25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25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25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25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25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25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25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25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25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25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25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25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25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25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25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25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25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25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25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25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25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25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25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25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25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25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25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25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25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25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25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25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25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25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25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25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25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25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25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25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25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25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25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25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25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25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25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25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25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25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25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25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25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25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25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25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25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25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25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25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25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25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25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25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25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25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25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25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25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25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25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25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25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25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25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25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25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25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25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25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25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25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25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25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25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25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25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25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25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25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25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25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25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25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25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25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25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25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25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25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25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25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25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25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25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25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25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25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25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25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25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25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25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25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25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25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25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25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25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25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25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25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25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25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25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25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25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25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25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25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25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25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25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25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25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25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25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25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25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25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25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25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25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25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25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25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25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25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25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25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25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25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25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25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25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25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25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25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25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25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25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25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25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25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25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25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25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25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25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25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25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25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25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25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25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25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25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25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25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25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25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25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25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25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25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25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25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25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25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25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25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25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25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25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25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25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25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25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25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25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25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25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25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25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25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25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25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25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25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25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25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25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25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25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25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25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25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25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25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25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25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25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25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25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25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25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25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25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25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25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25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25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25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25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25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25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25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25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25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25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25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25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25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25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25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25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25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25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25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25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25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25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25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25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25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25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25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25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25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25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25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25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25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25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25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25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25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25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25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25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25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25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25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25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25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25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25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25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25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25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25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25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25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25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25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25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25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25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25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25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25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25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25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25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25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25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25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25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25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25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25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25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25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25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25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25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25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25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25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25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25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25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25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25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25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25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25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25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25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25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25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25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25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25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25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25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25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25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25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25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25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25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25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25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25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25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25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25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25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25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25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25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25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25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25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25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25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25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25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25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25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25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25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25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25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25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25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25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25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25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25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25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25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25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25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25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25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25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25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25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25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25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25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25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25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25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25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25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25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25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25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25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25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25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25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25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25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25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25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25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25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25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25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25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25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25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25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25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25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25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25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25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25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25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25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25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25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25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25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25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25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25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25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25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25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25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25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25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25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25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25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25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25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25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25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25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25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25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25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25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25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25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25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25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25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25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25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25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25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25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25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25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25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25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25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25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25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25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25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25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25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25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25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25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25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25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25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25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25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25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25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25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25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25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25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25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25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25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25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25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25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25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25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25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25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25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25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25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25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25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25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25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25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25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25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25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25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25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25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25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25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25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25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25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25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25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25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25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25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25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25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25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25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25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25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25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25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25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25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25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25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25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25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25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25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25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25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25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25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25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25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25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25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25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25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25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25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25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25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25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25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25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25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25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25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25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25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25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25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25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25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25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25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25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25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25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25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25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25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25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25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25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25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25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25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25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25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25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25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25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25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25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25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25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25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25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25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25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25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25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25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25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25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25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25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25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25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25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25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25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25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25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25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25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25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25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25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25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25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25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25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25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25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25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25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25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25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25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25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25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25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25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25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25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25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25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25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25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25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25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25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25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25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25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25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25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25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25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25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25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25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25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25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25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25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25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25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25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25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25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25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25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25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25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25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25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25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25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25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25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25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25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25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25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25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25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25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25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25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25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25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25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25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25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25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25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25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25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25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25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25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25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25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25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25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25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25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25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25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25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25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25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25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25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25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25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25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25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25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25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25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25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25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25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25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25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25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25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25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25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25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25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25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25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25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25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25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25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25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25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25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25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25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25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25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25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25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25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25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25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25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25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25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25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25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25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25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25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25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25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25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25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25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25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25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25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25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25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25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25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25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25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25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25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25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25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25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25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25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25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25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25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25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25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25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25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25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25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25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25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25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25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25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25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25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25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25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25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25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25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25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25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25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25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25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25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25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25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25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25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25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25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25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25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25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25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25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25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25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25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25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25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25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25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25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25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25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25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25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25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25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25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25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25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25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25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25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25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25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25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25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25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25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25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25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25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25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25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25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25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25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25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25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25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25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25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25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25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25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25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25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25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25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25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25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25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25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25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25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25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25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25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25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25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25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25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25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25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25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25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25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25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25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25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25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25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25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25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25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25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25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25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25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25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25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25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25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25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25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25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25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25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25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25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25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25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25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25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25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25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25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25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25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25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25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25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25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25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25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25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25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25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25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25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25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25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25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25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25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25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25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25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25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25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25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25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25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25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25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25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25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25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25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25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25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25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25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25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25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25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25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25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25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25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25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25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25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25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25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25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25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25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25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25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25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25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25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25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25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25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25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25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25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25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25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25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25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25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25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25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25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25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25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25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25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25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25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25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25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25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25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25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25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25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25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25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25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25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25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25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25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25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25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25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25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25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25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25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25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25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25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25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25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25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25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25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25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25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25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25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25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25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25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25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25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25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25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25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25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25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25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25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25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25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25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25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25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25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25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25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25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25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25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25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25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25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25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25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25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25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25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25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25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25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25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25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25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25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25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25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25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25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25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25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25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25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25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25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25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25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25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25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25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25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25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25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25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25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25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25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25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25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25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25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25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25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25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25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25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25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25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25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25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25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25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25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25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25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25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25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25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25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25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25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25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25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25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25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25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25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25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25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25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25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25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25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25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25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25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25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25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25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25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25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25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25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25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25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25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25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25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25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25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25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25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25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25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25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25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25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25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25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25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25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25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25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25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25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25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25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25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25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25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25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25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25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25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25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25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25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25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25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25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25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25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25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25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25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25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25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25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25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25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25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25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25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25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25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25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25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25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25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25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25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25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25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25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25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25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25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25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25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25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25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25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25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25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25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25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25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25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25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25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25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25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25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25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25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25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25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25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25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25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25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25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25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25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25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25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25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25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25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25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25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25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25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25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25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25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25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25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25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25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25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25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25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25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25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25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25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25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25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25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25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25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25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25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25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25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25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25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25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25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25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25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25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25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25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25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25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25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25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25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25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25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25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25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25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25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25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25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25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25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25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25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25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25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25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25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25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25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25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25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25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25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25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25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25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25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25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25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25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25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25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25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25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25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25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25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25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25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25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25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25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25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25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25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25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25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25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25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25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25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25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25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25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25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25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25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25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25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25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25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25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25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25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25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25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25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25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25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25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25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25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25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25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25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25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25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25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25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25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25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25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25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25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25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25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25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25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25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25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25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25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25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25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25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25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25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25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25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25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25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25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25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25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25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25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25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25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25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25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25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25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25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25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25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25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25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25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25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25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25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25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25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25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25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25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25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25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25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25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25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25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25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25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25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25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25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25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25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25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25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25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25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25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25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25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25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25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25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25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25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25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25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25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25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25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25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25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25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25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25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25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25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25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25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25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25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25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25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25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25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25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25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25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25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25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25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25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25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25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25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25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25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25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25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25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25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25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25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25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25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25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25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25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25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25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25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25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25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25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25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25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25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25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25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25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25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25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25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25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25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25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25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25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25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25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25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25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25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25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25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25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25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25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25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25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25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25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25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25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25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25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25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25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25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25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25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25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25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25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25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25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25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25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25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25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25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25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25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25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25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25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25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25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25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25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25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25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25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25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25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25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25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25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25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25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25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25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25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25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25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25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25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25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25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25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25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25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25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25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25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25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25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25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25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25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25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25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25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25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25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25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25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25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25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25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25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25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25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25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25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25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25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25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25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25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25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25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25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25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25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25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25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25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25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25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25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25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25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25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25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25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25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25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25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25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25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25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25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25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25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25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25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25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25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25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25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25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25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25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25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25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25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25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25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25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25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25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25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25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25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25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25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25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25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25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25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25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25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25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25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25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25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25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25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25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25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25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25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25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25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25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25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25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25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25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25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25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25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25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25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25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25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25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25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25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25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25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25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25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25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25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25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25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25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25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25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25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25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25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25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25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25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25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25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25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25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25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25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25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25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25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25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25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25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25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25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25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25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25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25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25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25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25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25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25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25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25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25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25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25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25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25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25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25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25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25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25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25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25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25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25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25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25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25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25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25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25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25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25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25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25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25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25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25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25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25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25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25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25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25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25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25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25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25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25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25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25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25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25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25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25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25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25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25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25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25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25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25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25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25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25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25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25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25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25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25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25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25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25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25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25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25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25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25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25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25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25">
      <c r="A20001" t="s">
        <v>22309</v>
      </c>
      <c r="B20001" t="s">
        <v>2217</v>
      </c>
      <c r="C20001">
        <v>34291</v>
      </c>
      <c r="D20001">
        <v>2792636599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01"/>
  <sheetViews>
    <sheetView topLeftCell="A10" workbookViewId="0"/>
  </sheetViews>
  <sheetFormatPr defaultColWidth="8.85546875" defaultRowHeight="15" x14ac:dyDescent="0.25"/>
  <cols>
    <col min="1" max="1" width="12.7109375" bestFit="1" customWidth="1"/>
    <col min="2" max="2" width="13.28515625" bestFit="1" customWidth="1"/>
    <col min="3" max="3" width="14.140625" bestFit="1" customWidth="1"/>
    <col min="4" max="4" width="19.42578125" bestFit="1" customWidth="1"/>
    <col min="5" max="5" width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6734537986</v>
      </c>
      <c r="B2" t="s">
        <v>5</v>
      </c>
      <c r="C2" t="s">
        <v>6</v>
      </c>
      <c r="D2" t="s">
        <v>7</v>
      </c>
      <c r="E2">
        <v>54928</v>
      </c>
    </row>
    <row r="3" spans="1:5" x14ac:dyDescent="0.25">
      <c r="A3">
        <v>2480515559</v>
      </c>
      <c r="B3" t="s">
        <v>8</v>
      </c>
      <c r="C3" t="s">
        <v>9</v>
      </c>
      <c r="D3" t="s">
        <v>10</v>
      </c>
      <c r="E3">
        <v>80760</v>
      </c>
    </row>
    <row r="4" spans="1:5" x14ac:dyDescent="0.25">
      <c r="A4">
        <v>515647594</v>
      </c>
      <c r="B4" t="s">
        <v>11</v>
      </c>
      <c r="C4" t="s">
        <v>12</v>
      </c>
      <c r="D4" t="s">
        <v>10</v>
      </c>
      <c r="E4">
        <v>113453</v>
      </c>
    </row>
    <row r="5" spans="1:5" x14ac:dyDescent="0.25">
      <c r="A5">
        <v>5153694038</v>
      </c>
      <c r="B5" t="s">
        <v>13</v>
      </c>
      <c r="C5" t="s">
        <v>14</v>
      </c>
      <c r="D5" t="s">
        <v>10</v>
      </c>
      <c r="E5">
        <v>105621</v>
      </c>
    </row>
    <row r="6" spans="1:5" x14ac:dyDescent="0.25">
      <c r="A6">
        <v>3824197065</v>
      </c>
      <c r="B6" t="s">
        <v>15</v>
      </c>
      <c r="C6" t="s">
        <v>16</v>
      </c>
      <c r="D6" t="s">
        <v>10</v>
      </c>
      <c r="E6">
        <v>81431</v>
      </c>
    </row>
    <row r="7" spans="1:5" x14ac:dyDescent="0.25">
      <c r="A7">
        <v>4475496373</v>
      </c>
      <c r="B7" t="s">
        <v>17</v>
      </c>
      <c r="C7" t="s">
        <v>18</v>
      </c>
      <c r="D7" t="s">
        <v>10</v>
      </c>
      <c r="E7">
        <v>110155</v>
      </c>
    </row>
    <row r="8" spans="1:5" x14ac:dyDescent="0.25">
      <c r="A8">
        <v>101658508</v>
      </c>
      <c r="B8" t="s">
        <v>19</v>
      </c>
      <c r="C8" t="s">
        <v>20</v>
      </c>
      <c r="D8" t="s">
        <v>7</v>
      </c>
      <c r="E8">
        <v>63106</v>
      </c>
    </row>
    <row r="9" spans="1:5" x14ac:dyDescent="0.25">
      <c r="A9">
        <v>7178607831</v>
      </c>
      <c r="B9" t="s">
        <v>21</v>
      </c>
      <c r="C9" t="s">
        <v>22</v>
      </c>
      <c r="D9" t="s">
        <v>10</v>
      </c>
      <c r="E9">
        <v>93727</v>
      </c>
    </row>
    <row r="10" spans="1:5" x14ac:dyDescent="0.25">
      <c r="A10">
        <v>4783377790</v>
      </c>
      <c r="B10" t="s">
        <v>23</v>
      </c>
      <c r="C10" t="s">
        <v>24</v>
      </c>
      <c r="D10" t="s">
        <v>10</v>
      </c>
      <c r="E10">
        <v>110817</v>
      </c>
    </row>
    <row r="11" spans="1:5" x14ac:dyDescent="0.25">
      <c r="A11">
        <v>9023313240</v>
      </c>
      <c r="B11" t="s">
        <v>25</v>
      </c>
      <c r="C11" t="s">
        <v>26</v>
      </c>
      <c r="D11" t="s">
        <v>10</v>
      </c>
      <c r="E11">
        <v>119728</v>
      </c>
    </row>
    <row r="12" spans="1:5" x14ac:dyDescent="0.25">
      <c r="A12">
        <v>2659144249</v>
      </c>
      <c r="B12" t="s">
        <v>27</v>
      </c>
      <c r="C12" t="s">
        <v>28</v>
      </c>
      <c r="D12" t="s">
        <v>29</v>
      </c>
      <c r="E12">
        <v>59822</v>
      </c>
    </row>
    <row r="13" spans="1:5" x14ac:dyDescent="0.25">
      <c r="A13">
        <v>9892583027</v>
      </c>
      <c r="B13" t="s">
        <v>30</v>
      </c>
      <c r="C13" t="s">
        <v>31</v>
      </c>
      <c r="D13" t="s">
        <v>10</v>
      </c>
      <c r="E13">
        <v>96592</v>
      </c>
    </row>
    <row r="14" spans="1:5" x14ac:dyDescent="0.25">
      <c r="A14">
        <v>3381164996</v>
      </c>
      <c r="B14" t="s">
        <v>32</v>
      </c>
      <c r="C14" t="s">
        <v>33</v>
      </c>
      <c r="D14" t="s">
        <v>10</v>
      </c>
      <c r="E14">
        <v>75882</v>
      </c>
    </row>
    <row r="15" spans="1:5" x14ac:dyDescent="0.25">
      <c r="A15">
        <v>3469413983</v>
      </c>
      <c r="B15" t="s">
        <v>34</v>
      </c>
      <c r="C15" t="s">
        <v>35</v>
      </c>
      <c r="D15" t="s">
        <v>7</v>
      </c>
      <c r="E15">
        <v>38104</v>
      </c>
    </row>
    <row r="16" spans="1:5" x14ac:dyDescent="0.25">
      <c r="A16">
        <v>1263903657</v>
      </c>
      <c r="B16" t="s">
        <v>36</v>
      </c>
      <c r="C16" t="s">
        <v>37</v>
      </c>
      <c r="D16" t="s">
        <v>10</v>
      </c>
      <c r="E16">
        <v>99988</v>
      </c>
    </row>
    <row r="17" spans="1:5" x14ac:dyDescent="0.25">
      <c r="A17">
        <v>8173067724</v>
      </c>
      <c r="B17" t="s">
        <v>38</v>
      </c>
      <c r="C17" t="s">
        <v>39</v>
      </c>
      <c r="D17" t="s">
        <v>7</v>
      </c>
      <c r="E17">
        <v>47147</v>
      </c>
    </row>
    <row r="18" spans="1:5" x14ac:dyDescent="0.25">
      <c r="A18">
        <v>5149710571</v>
      </c>
      <c r="B18" t="s">
        <v>40</v>
      </c>
      <c r="C18" t="s">
        <v>41</v>
      </c>
      <c r="D18" t="s">
        <v>10</v>
      </c>
      <c r="E18">
        <v>119624</v>
      </c>
    </row>
    <row r="19" spans="1:5" x14ac:dyDescent="0.25">
      <c r="A19">
        <v>2739934548</v>
      </c>
      <c r="B19" t="s">
        <v>42</v>
      </c>
      <c r="C19" t="s">
        <v>43</v>
      </c>
      <c r="D19" t="s">
        <v>7</v>
      </c>
      <c r="E19">
        <v>50638</v>
      </c>
    </row>
    <row r="20" spans="1:5" x14ac:dyDescent="0.25">
      <c r="A20">
        <v>2259282237</v>
      </c>
      <c r="B20" t="s">
        <v>44</v>
      </c>
      <c r="C20" t="s">
        <v>45</v>
      </c>
      <c r="D20" t="s">
        <v>7</v>
      </c>
      <c r="E20">
        <v>54632</v>
      </c>
    </row>
    <row r="21" spans="1:5" x14ac:dyDescent="0.25">
      <c r="A21">
        <v>2314136845</v>
      </c>
      <c r="B21" t="s">
        <v>46</v>
      </c>
      <c r="C21" t="s">
        <v>47</v>
      </c>
      <c r="D21" t="s">
        <v>7</v>
      </c>
      <c r="E21">
        <v>59184</v>
      </c>
    </row>
    <row r="22" spans="1:5" x14ac:dyDescent="0.25">
      <c r="A22">
        <v>1074899180</v>
      </c>
      <c r="B22" t="s">
        <v>48</v>
      </c>
      <c r="C22" t="s">
        <v>49</v>
      </c>
      <c r="D22" t="s">
        <v>10</v>
      </c>
      <c r="E22">
        <v>84090</v>
      </c>
    </row>
    <row r="23" spans="1:5" x14ac:dyDescent="0.25">
      <c r="A23">
        <v>8128449354</v>
      </c>
      <c r="B23" t="s">
        <v>50</v>
      </c>
      <c r="C23" t="s">
        <v>51</v>
      </c>
      <c r="D23" t="s">
        <v>10</v>
      </c>
      <c r="E23">
        <v>119330</v>
      </c>
    </row>
    <row r="24" spans="1:5" x14ac:dyDescent="0.25">
      <c r="A24">
        <v>1266227768</v>
      </c>
      <c r="B24" t="s">
        <v>52</v>
      </c>
      <c r="C24" t="s">
        <v>53</v>
      </c>
      <c r="D24" t="s">
        <v>29</v>
      </c>
      <c r="E24">
        <v>64839</v>
      </c>
    </row>
    <row r="25" spans="1:5" x14ac:dyDescent="0.25">
      <c r="A25">
        <v>7273123196</v>
      </c>
      <c r="B25" t="s">
        <v>54</v>
      </c>
      <c r="C25" t="s">
        <v>55</v>
      </c>
      <c r="D25" t="s">
        <v>10</v>
      </c>
      <c r="E25">
        <v>83514</v>
      </c>
    </row>
    <row r="26" spans="1:5" x14ac:dyDescent="0.25">
      <c r="A26">
        <v>1841759848</v>
      </c>
      <c r="B26" t="s">
        <v>56</v>
      </c>
      <c r="C26" t="s">
        <v>57</v>
      </c>
      <c r="D26" t="s">
        <v>7</v>
      </c>
      <c r="E26">
        <v>40716</v>
      </c>
    </row>
    <row r="27" spans="1:5" x14ac:dyDescent="0.25">
      <c r="A27">
        <v>7560031153</v>
      </c>
      <c r="B27" t="s">
        <v>58</v>
      </c>
      <c r="C27" t="s">
        <v>59</v>
      </c>
      <c r="D27" t="s">
        <v>10</v>
      </c>
      <c r="E27">
        <v>94464</v>
      </c>
    </row>
    <row r="28" spans="1:5" x14ac:dyDescent="0.25">
      <c r="A28">
        <v>2022565827</v>
      </c>
      <c r="B28" t="s">
        <v>60</v>
      </c>
      <c r="C28" t="s">
        <v>61</v>
      </c>
      <c r="D28" t="s">
        <v>29</v>
      </c>
      <c r="E28">
        <v>53277</v>
      </c>
    </row>
    <row r="29" spans="1:5" x14ac:dyDescent="0.25">
      <c r="A29">
        <v>8977805007</v>
      </c>
      <c r="B29" t="s">
        <v>62</v>
      </c>
      <c r="C29" t="s">
        <v>63</v>
      </c>
      <c r="D29" t="s">
        <v>29</v>
      </c>
      <c r="E29">
        <v>67739</v>
      </c>
    </row>
    <row r="30" spans="1:5" x14ac:dyDescent="0.25">
      <c r="A30">
        <v>1598957961</v>
      </c>
      <c r="B30" t="s">
        <v>64</v>
      </c>
      <c r="C30" t="s">
        <v>65</v>
      </c>
      <c r="D30" t="s">
        <v>10</v>
      </c>
      <c r="E30">
        <v>75679</v>
      </c>
    </row>
    <row r="31" spans="1:5" x14ac:dyDescent="0.25">
      <c r="A31">
        <v>3516592710</v>
      </c>
      <c r="B31" t="s">
        <v>66</v>
      </c>
      <c r="C31" t="s">
        <v>67</v>
      </c>
      <c r="D31" t="s">
        <v>7</v>
      </c>
      <c r="E31">
        <v>38904</v>
      </c>
    </row>
    <row r="32" spans="1:5" x14ac:dyDescent="0.25">
      <c r="A32">
        <v>3379645060</v>
      </c>
      <c r="B32" t="s">
        <v>68</v>
      </c>
      <c r="C32" t="s">
        <v>69</v>
      </c>
      <c r="D32" t="s">
        <v>7</v>
      </c>
      <c r="E32">
        <v>45353</v>
      </c>
    </row>
    <row r="33" spans="1:5" x14ac:dyDescent="0.25">
      <c r="A33">
        <v>85304042</v>
      </c>
      <c r="B33" t="s">
        <v>70</v>
      </c>
      <c r="C33" t="s">
        <v>71</v>
      </c>
      <c r="D33" t="s">
        <v>29</v>
      </c>
      <c r="E33">
        <v>69710</v>
      </c>
    </row>
    <row r="34" spans="1:5" x14ac:dyDescent="0.25">
      <c r="A34">
        <v>2130919499</v>
      </c>
      <c r="B34" t="s">
        <v>72</v>
      </c>
      <c r="C34" t="s">
        <v>73</v>
      </c>
      <c r="D34" t="s">
        <v>29</v>
      </c>
      <c r="E34">
        <v>76111</v>
      </c>
    </row>
    <row r="35" spans="1:5" x14ac:dyDescent="0.25">
      <c r="A35">
        <v>7074056774</v>
      </c>
      <c r="B35" t="s">
        <v>74</v>
      </c>
      <c r="C35" t="s">
        <v>75</v>
      </c>
      <c r="D35" t="s">
        <v>10</v>
      </c>
      <c r="E35">
        <v>98182</v>
      </c>
    </row>
    <row r="36" spans="1:5" x14ac:dyDescent="0.25">
      <c r="A36">
        <v>2450711406</v>
      </c>
      <c r="B36" t="s">
        <v>76</v>
      </c>
      <c r="C36" t="s">
        <v>77</v>
      </c>
      <c r="D36" t="s">
        <v>10</v>
      </c>
      <c r="E36">
        <v>106013</v>
      </c>
    </row>
    <row r="37" spans="1:5" x14ac:dyDescent="0.25">
      <c r="A37">
        <v>2294342399</v>
      </c>
      <c r="B37" t="s">
        <v>78</v>
      </c>
      <c r="C37" t="s">
        <v>79</v>
      </c>
      <c r="D37" t="s">
        <v>29</v>
      </c>
      <c r="E37">
        <v>74676</v>
      </c>
    </row>
    <row r="38" spans="1:5" x14ac:dyDescent="0.25">
      <c r="A38">
        <v>5280433926</v>
      </c>
      <c r="B38" t="s">
        <v>5</v>
      </c>
      <c r="C38" t="s">
        <v>80</v>
      </c>
      <c r="D38" t="s">
        <v>29</v>
      </c>
      <c r="E38">
        <v>51804</v>
      </c>
    </row>
    <row r="39" spans="1:5" x14ac:dyDescent="0.25">
      <c r="A39">
        <v>4037854406</v>
      </c>
      <c r="B39" t="s">
        <v>81</v>
      </c>
      <c r="C39" t="s">
        <v>82</v>
      </c>
      <c r="D39" t="s">
        <v>29</v>
      </c>
      <c r="E39">
        <v>64311</v>
      </c>
    </row>
    <row r="40" spans="1:5" x14ac:dyDescent="0.25">
      <c r="A40">
        <v>9958099322</v>
      </c>
      <c r="B40" t="s">
        <v>83</v>
      </c>
      <c r="C40" t="s">
        <v>84</v>
      </c>
      <c r="D40" t="s">
        <v>29</v>
      </c>
      <c r="E40">
        <v>77249</v>
      </c>
    </row>
    <row r="41" spans="1:5" x14ac:dyDescent="0.25">
      <c r="A41">
        <v>2402470968</v>
      </c>
      <c r="B41" t="s">
        <v>85</v>
      </c>
      <c r="C41" t="s">
        <v>86</v>
      </c>
      <c r="D41" t="s">
        <v>10</v>
      </c>
      <c r="E41">
        <v>99023</v>
      </c>
    </row>
    <row r="42" spans="1:5" x14ac:dyDescent="0.25">
      <c r="A42">
        <v>9686840923</v>
      </c>
      <c r="B42" t="s">
        <v>87</v>
      </c>
      <c r="C42" t="s">
        <v>88</v>
      </c>
      <c r="D42" t="s">
        <v>10</v>
      </c>
      <c r="E42">
        <v>79755</v>
      </c>
    </row>
    <row r="43" spans="1:5" x14ac:dyDescent="0.25">
      <c r="A43">
        <v>8093156364</v>
      </c>
      <c r="B43" t="s">
        <v>89</v>
      </c>
      <c r="C43" t="s">
        <v>90</v>
      </c>
      <c r="D43" t="s">
        <v>7</v>
      </c>
      <c r="E43">
        <v>64144</v>
      </c>
    </row>
    <row r="44" spans="1:5" x14ac:dyDescent="0.25">
      <c r="A44">
        <v>6733929554</v>
      </c>
      <c r="B44" t="s">
        <v>91</v>
      </c>
      <c r="C44" t="s">
        <v>92</v>
      </c>
      <c r="D44" t="s">
        <v>29</v>
      </c>
      <c r="E44">
        <v>74110</v>
      </c>
    </row>
    <row r="45" spans="1:5" x14ac:dyDescent="0.25">
      <c r="A45">
        <v>7892446737</v>
      </c>
      <c r="B45" t="s">
        <v>93</v>
      </c>
      <c r="C45" t="s">
        <v>94</v>
      </c>
      <c r="D45" t="s">
        <v>29</v>
      </c>
      <c r="E45">
        <v>78253</v>
      </c>
    </row>
    <row r="46" spans="1:5" x14ac:dyDescent="0.25">
      <c r="A46">
        <v>9803956825</v>
      </c>
      <c r="B46" t="s">
        <v>95</v>
      </c>
      <c r="C46" t="s">
        <v>96</v>
      </c>
      <c r="D46" t="s">
        <v>7</v>
      </c>
      <c r="E46">
        <v>47103</v>
      </c>
    </row>
    <row r="47" spans="1:5" x14ac:dyDescent="0.25">
      <c r="A47">
        <v>4085082426</v>
      </c>
      <c r="B47" t="s">
        <v>97</v>
      </c>
      <c r="C47" t="s">
        <v>98</v>
      </c>
      <c r="D47" t="s">
        <v>29</v>
      </c>
      <c r="E47">
        <v>64047</v>
      </c>
    </row>
    <row r="48" spans="1:5" x14ac:dyDescent="0.25">
      <c r="A48">
        <v>2565093969</v>
      </c>
      <c r="B48" t="s">
        <v>99</v>
      </c>
      <c r="C48" t="s">
        <v>100</v>
      </c>
      <c r="D48" t="s">
        <v>7</v>
      </c>
      <c r="E48">
        <v>46352</v>
      </c>
    </row>
    <row r="49" spans="1:5" x14ac:dyDescent="0.25">
      <c r="A49">
        <v>6973806759</v>
      </c>
      <c r="B49" t="s">
        <v>101</v>
      </c>
      <c r="C49" t="s">
        <v>102</v>
      </c>
      <c r="D49" t="s">
        <v>7</v>
      </c>
      <c r="E49">
        <v>45164</v>
      </c>
    </row>
    <row r="50" spans="1:5" x14ac:dyDescent="0.25">
      <c r="A50">
        <v>4823073274</v>
      </c>
      <c r="B50" t="s">
        <v>103</v>
      </c>
      <c r="C50" t="s">
        <v>104</v>
      </c>
      <c r="D50" t="s">
        <v>7</v>
      </c>
      <c r="E50">
        <v>62323</v>
      </c>
    </row>
    <row r="51" spans="1:5" x14ac:dyDescent="0.25">
      <c r="A51">
        <v>8858733592</v>
      </c>
      <c r="B51" t="s">
        <v>105</v>
      </c>
      <c r="C51" t="s">
        <v>106</v>
      </c>
      <c r="D51" t="s">
        <v>29</v>
      </c>
      <c r="E51">
        <v>66730</v>
      </c>
    </row>
    <row r="52" spans="1:5" x14ac:dyDescent="0.25">
      <c r="A52">
        <v>4786629839</v>
      </c>
      <c r="B52" t="s">
        <v>107</v>
      </c>
      <c r="C52" t="s">
        <v>108</v>
      </c>
      <c r="D52" t="s">
        <v>7</v>
      </c>
      <c r="E52">
        <v>47140</v>
      </c>
    </row>
    <row r="53" spans="1:5" x14ac:dyDescent="0.25">
      <c r="A53">
        <v>9151658844</v>
      </c>
      <c r="B53" t="s">
        <v>109</v>
      </c>
      <c r="C53" t="s">
        <v>110</v>
      </c>
      <c r="D53" t="s">
        <v>29</v>
      </c>
      <c r="E53">
        <v>50141</v>
      </c>
    </row>
    <row r="54" spans="1:5" x14ac:dyDescent="0.25">
      <c r="A54">
        <v>7132417177</v>
      </c>
      <c r="B54" t="s">
        <v>111</v>
      </c>
      <c r="C54" t="s">
        <v>112</v>
      </c>
      <c r="D54" t="s">
        <v>7</v>
      </c>
      <c r="E54">
        <v>52665</v>
      </c>
    </row>
    <row r="55" spans="1:5" x14ac:dyDescent="0.25">
      <c r="A55">
        <v>6596440737</v>
      </c>
      <c r="B55" t="s">
        <v>113</v>
      </c>
      <c r="C55" t="s">
        <v>114</v>
      </c>
      <c r="D55" t="s">
        <v>7</v>
      </c>
      <c r="E55">
        <v>34438</v>
      </c>
    </row>
    <row r="56" spans="1:5" x14ac:dyDescent="0.25">
      <c r="A56">
        <v>4504361140</v>
      </c>
      <c r="B56" t="s">
        <v>115</v>
      </c>
      <c r="C56" t="s">
        <v>116</v>
      </c>
      <c r="D56" t="s">
        <v>7</v>
      </c>
      <c r="E56">
        <v>45337</v>
      </c>
    </row>
    <row r="57" spans="1:5" x14ac:dyDescent="0.25">
      <c r="A57">
        <v>4986200380</v>
      </c>
      <c r="B57" t="s">
        <v>117</v>
      </c>
      <c r="C57" t="s">
        <v>118</v>
      </c>
      <c r="D57" t="s">
        <v>29</v>
      </c>
      <c r="E57">
        <v>72309</v>
      </c>
    </row>
    <row r="58" spans="1:5" x14ac:dyDescent="0.25">
      <c r="A58">
        <v>2804488179</v>
      </c>
      <c r="B58" t="s">
        <v>119</v>
      </c>
      <c r="C58" t="s">
        <v>120</v>
      </c>
      <c r="D58" t="s">
        <v>10</v>
      </c>
      <c r="E58">
        <v>104547</v>
      </c>
    </row>
    <row r="59" spans="1:5" x14ac:dyDescent="0.25">
      <c r="A59">
        <v>6214787945</v>
      </c>
      <c r="B59" t="s">
        <v>121</v>
      </c>
      <c r="C59" t="s">
        <v>122</v>
      </c>
      <c r="D59" t="s">
        <v>29</v>
      </c>
      <c r="E59">
        <v>63850</v>
      </c>
    </row>
    <row r="60" spans="1:5" x14ac:dyDescent="0.25">
      <c r="A60">
        <v>8346855079</v>
      </c>
      <c r="B60" t="s">
        <v>123</v>
      </c>
      <c r="C60" t="s">
        <v>124</v>
      </c>
      <c r="D60" t="s">
        <v>7</v>
      </c>
      <c r="E60">
        <v>37411</v>
      </c>
    </row>
    <row r="61" spans="1:5" x14ac:dyDescent="0.25">
      <c r="A61">
        <v>8644362151</v>
      </c>
      <c r="B61" t="s">
        <v>125</v>
      </c>
      <c r="C61" t="s">
        <v>126</v>
      </c>
      <c r="D61" t="s">
        <v>10</v>
      </c>
      <c r="E61">
        <v>95999</v>
      </c>
    </row>
    <row r="62" spans="1:5" x14ac:dyDescent="0.25">
      <c r="A62">
        <v>5948190226</v>
      </c>
      <c r="B62" t="s">
        <v>127</v>
      </c>
      <c r="C62" t="s">
        <v>128</v>
      </c>
      <c r="D62" t="s">
        <v>7</v>
      </c>
      <c r="E62">
        <v>41088</v>
      </c>
    </row>
    <row r="63" spans="1:5" x14ac:dyDescent="0.25">
      <c r="A63">
        <v>7367438190</v>
      </c>
      <c r="B63" t="s">
        <v>129</v>
      </c>
      <c r="C63" t="s">
        <v>130</v>
      </c>
      <c r="D63" t="s">
        <v>7</v>
      </c>
      <c r="E63">
        <v>47043</v>
      </c>
    </row>
    <row r="64" spans="1:5" x14ac:dyDescent="0.25">
      <c r="A64">
        <v>9624054975</v>
      </c>
      <c r="B64" t="s">
        <v>131</v>
      </c>
      <c r="C64" t="s">
        <v>132</v>
      </c>
      <c r="D64" t="s">
        <v>29</v>
      </c>
      <c r="E64">
        <v>73192</v>
      </c>
    </row>
    <row r="65" spans="1:5" x14ac:dyDescent="0.25">
      <c r="A65">
        <v>6084639828</v>
      </c>
      <c r="B65" t="s">
        <v>133</v>
      </c>
      <c r="C65" t="s">
        <v>134</v>
      </c>
      <c r="D65" t="s">
        <v>29</v>
      </c>
      <c r="E65">
        <v>67908</v>
      </c>
    </row>
    <row r="66" spans="1:5" x14ac:dyDescent="0.25">
      <c r="A66">
        <v>2547511673</v>
      </c>
      <c r="B66" t="s">
        <v>135</v>
      </c>
      <c r="C66" t="s">
        <v>136</v>
      </c>
      <c r="D66" t="s">
        <v>29</v>
      </c>
      <c r="E66">
        <v>71416</v>
      </c>
    </row>
    <row r="67" spans="1:5" x14ac:dyDescent="0.25">
      <c r="A67">
        <v>7033916019</v>
      </c>
      <c r="B67" t="s">
        <v>137</v>
      </c>
      <c r="C67" t="s">
        <v>138</v>
      </c>
      <c r="D67" t="s">
        <v>29</v>
      </c>
      <c r="E67">
        <v>57801</v>
      </c>
    </row>
    <row r="68" spans="1:5" x14ac:dyDescent="0.25">
      <c r="A68">
        <v>7160109333</v>
      </c>
      <c r="B68" t="s">
        <v>139</v>
      </c>
      <c r="C68" t="s">
        <v>140</v>
      </c>
      <c r="D68" t="s">
        <v>10</v>
      </c>
      <c r="E68">
        <v>116881</v>
      </c>
    </row>
    <row r="69" spans="1:5" x14ac:dyDescent="0.25">
      <c r="A69">
        <v>6852060985</v>
      </c>
      <c r="B69" t="s">
        <v>141</v>
      </c>
      <c r="C69" t="s">
        <v>142</v>
      </c>
      <c r="D69" t="s">
        <v>29</v>
      </c>
      <c r="E69">
        <v>59859</v>
      </c>
    </row>
    <row r="70" spans="1:5" x14ac:dyDescent="0.25">
      <c r="A70">
        <v>3219601650</v>
      </c>
      <c r="B70" t="s">
        <v>143</v>
      </c>
      <c r="C70" t="s">
        <v>144</v>
      </c>
      <c r="D70" t="s">
        <v>29</v>
      </c>
      <c r="E70">
        <v>55807</v>
      </c>
    </row>
    <row r="71" spans="1:5" x14ac:dyDescent="0.25">
      <c r="A71">
        <v>9966428720</v>
      </c>
      <c r="B71" t="s">
        <v>145</v>
      </c>
      <c r="C71" t="s">
        <v>146</v>
      </c>
      <c r="D71" t="s">
        <v>10</v>
      </c>
      <c r="E71">
        <v>121579</v>
      </c>
    </row>
    <row r="72" spans="1:5" x14ac:dyDescent="0.25">
      <c r="A72">
        <v>5002048994</v>
      </c>
      <c r="B72" t="s">
        <v>147</v>
      </c>
      <c r="C72" t="s">
        <v>148</v>
      </c>
      <c r="D72" t="s">
        <v>10</v>
      </c>
      <c r="E72">
        <v>89494</v>
      </c>
    </row>
    <row r="73" spans="1:5" x14ac:dyDescent="0.25">
      <c r="A73">
        <v>4482855448</v>
      </c>
      <c r="B73" t="s">
        <v>149</v>
      </c>
      <c r="C73" t="s">
        <v>150</v>
      </c>
      <c r="D73" t="s">
        <v>7</v>
      </c>
      <c r="E73">
        <v>42742</v>
      </c>
    </row>
    <row r="74" spans="1:5" x14ac:dyDescent="0.25">
      <c r="A74">
        <v>9072843924</v>
      </c>
      <c r="B74" t="s">
        <v>151</v>
      </c>
      <c r="C74" t="s">
        <v>152</v>
      </c>
      <c r="D74" t="s">
        <v>7</v>
      </c>
      <c r="E74">
        <v>40376</v>
      </c>
    </row>
    <row r="75" spans="1:5" x14ac:dyDescent="0.25">
      <c r="A75">
        <v>6801140183</v>
      </c>
      <c r="B75" t="s">
        <v>153</v>
      </c>
      <c r="C75" t="s">
        <v>154</v>
      </c>
      <c r="D75" t="s">
        <v>7</v>
      </c>
      <c r="E75">
        <v>57548</v>
      </c>
    </row>
    <row r="76" spans="1:5" x14ac:dyDescent="0.25">
      <c r="A76">
        <v>6510701464</v>
      </c>
      <c r="B76" t="s">
        <v>155</v>
      </c>
      <c r="C76" t="s">
        <v>156</v>
      </c>
      <c r="D76" t="s">
        <v>7</v>
      </c>
      <c r="E76">
        <v>45866</v>
      </c>
    </row>
    <row r="77" spans="1:5" x14ac:dyDescent="0.25">
      <c r="A77">
        <v>3996818513</v>
      </c>
      <c r="B77" t="s">
        <v>157</v>
      </c>
      <c r="C77" t="s">
        <v>158</v>
      </c>
      <c r="D77" t="s">
        <v>10</v>
      </c>
      <c r="E77">
        <v>94317</v>
      </c>
    </row>
    <row r="78" spans="1:5" x14ac:dyDescent="0.25">
      <c r="A78">
        <v>5372344725</v>
      </c>
      <c r="B78" t="s">
        <v>159</v>
      </c>
      <c r="C78" t="s">
        <v>160</v>
      </c>
      <c r="D78" t="s">
        <v>7</v>
      </c>
      <c r="E78">
        <v>42683</v>
      </c>
    </row>
    <row r="79" spans="1:5" x14ac:dyDescent="0.25">
      <c r="A79">
        <v>1839046880</v>
      </c>
      <c r="B79" t="s">
        <v>161</v>
      </c>
      <c r="C79" t="s">
        <v>162</v>
      </c>
      <c r="D79" t="s">
        <v>7</v>
      </c>
      <c r="E79">
        <v>64858</v>
      </c>
    </row>
    <row r="80" spans="1:5" x14ac:dyDescent="0.25">
      <c r="A80">
        <v>5074304008</v>
      </c>
      <c r="B80" t="s">
        <v>163</v>
      </c>
      <c r="C80" t="s">
        <v>164</v>
      </c>
      <c r="D80" t="s">
        <v>29</v>
      </c>
      <c r="E80">
        <v>62375</v>
      </c>
    </row>
    <row r="81" spans="1:5" x14ac:dyDescent="0.25">
      <c r="A81">
        <v>2423731264</v>
      </c>
      <c r="B81" t="s">
        <v>165</v>
      </c>
      <c r="C81" t="s">
        <v>166</v>
      </c>
      <c r="D81" t="s">
        <v>10</v>
      </c>
      <c r="E81">
        <v>124700</v>
      </c>
    </row>
    <row r="82" spans="1:5" x14ac:dyDescent="0.25">
      <c r="A82">
        <v>4159390110</v>
      </c>
      <c r="B82" t="s">
        <v>167</v>
      </c>
      <c r="C82" t="s">
        <v>168</v>
      </c>
      <c r="D82" t="s">
        <v>10</v>
      </c>
      <c r="E82">
        <v>114184</v>
      </c>
    </row>
    <row r="83" spans="1:5" x14ac:dyDescent="0.25">
      <c r="A83">
        <v>25254650</v>
      </c>
      <c r="B83" t="s">
        <v>169</v>
      </c>
      <c r="C83" t="s">
        <v>170</v>
      </c>
      <c r="D83" t="s">
        <v>10</v>
      </c>
      <c r="E83">
        <v>90630</v>
      </c>
    </row>
    <row r="84" spans="1:5" x14ac:dyDescent="0.25">
      <c r="A84">
        <v>4192443678</v>
      </c>
      <c r="B84" t="s">
        <v>171</v>
      </c>
      <c r="C84" t="s">
        <v>172</v>
      </c>
      <c r="D84" t="s">
        <v>29</v>
      </c>
      <c r="E84">
        <v>75878</v>
      </c>
    </row>
    <row r="85" spans="1:5" x14ac:dyDescent="0.25">
      <c r="A85">
        <v>4076701275</v>
      </c>
      <c r="B85" t="s">
        <v>173</v>
      </c>
      <c r="C85" t="s">
        <v>174</v>
      </c>
      <c r="D85" t="s">
        <v>7</v>
      </c>
      <c r="E85">
        <v>51875</v>
      </c>
    </row>
    <row r="86" spans="1:5" x14ac:dyDescent="0.25">
      <c r="A86">
        <v>4185019157</v>
      </c>
      <c r="B86" t="s">
        <v>175</v>
      </c>
      <c r="C86" t="s">
        <v>176</v>
      </c>
      <c r="D86" t="s">
        <v>7</v>
      </c>
      <c r="E86">
        <v>52111</v>
      </c>
    </row>
    <row r="87" spans="1:5" x14ac:dyDescent="0.25">
      <c r="A87">
        <v>713650656</v>
      </c>
      <c r="B87" t="s">
        <v>177</v>
      </c>
      <c r="C87" t="s">
        <v>178</v>
      </c>
      <c r="D87" t="s">
        <v>29</v>
      </c>
      <c r="E87">
        <v>55601</v>
      </c>
    </row>
    <row r="88" spans="1:5" x14ac:dyDescent="0.25">
      <c r="A88">
        <v>8322342209</v>
      </c>
      <c r="B88" t="s">
        <v>179</v>
      </c>
      <c r="C88" t="s">
        <v>180</v>
      </c>
      <c r="D88" t="s">
        <v>7</v>
      </c>
      <c r="E88">
        <v>42322</v>
      </c>
    </row>
    <row r="89" spans="1:5" x14ac:dyDescent="0.25">
      <c r="A89">
        <v>5764917026</v>
      </c>
      <c r="B89" t="s">
        <v>181</v>
      </c>
      <c r="C89" t="s">
        <v>182</v>
      </c>
      <c r="D89" t="s">
        <v>7</v>
      </c>
      <c r="E89">
        <v>37046</v>
      </c>
    </row>
    <row r="90" spans="1:5" x14ac:dyDescent="0.25">
      <c r="A90">
        <v>3935718624</v>
      </c>
      <c r="B90" t="s">
        <v>183</v>
      </c>
      <c r="C90" t="s">
        <v>184</v>
      </c>
      <c r="D90" t="s">
        <v>7</v>
      </c>
      <c r="E90">
        <v>44845</v>
      </c>
    </row>
    <row r="91" spans="1:5" x14ac:dyDescent="0.25">
      <c r="A91">
        <v>2976436541</v>
      </c>
      <c r="B91" t="s">
        <v>185</v>
      </c>
      <c r="C91" t="s">
        <v>186</v>
      </c>
      <c r="D91" t="s">
        <v>10</v>
      </c>
      <c r="E91">
        <v>77783</v>
      </c>
    </row>
    <row r="92" spans="1:5" x14ac:dyDescent="0.25">
      <c r="A92">
        <v>6718456802</v>
      </c>
      <c r="B92" t="s">
        <v>187</v>
      </c>
      <c r="C92" t="s">
        <v>188</v>
      </c>
      <c r="D92" t="s">
        <v>29</v>
      </c>
      <c r="E92">
        <v>55542</v>
      </c>
    </row>
    <row r="93" spans="1:5" x14ac:dyDescent="0.25">
      <c r="A93">
        <v>6789690301</v>
      </c>
      <c r="B93" t="s">
        <v>189</v>
      </c>
      <c r="C93" t="s">
        <v>190</v>
      </c>
      <c r="D93" t="s">
        <v>10</v>
      </c>
      <c r="E93">
        <v>110711</v>
      </c>
    </row>
    <row r="94" spans="1:5" x14ac:dyDescent="0.25">
      <c r="A94">
        <v>8044612831</v>
      </c>
      <c r="B94" t="s">
        <v>191</v>
      </c>
      <c r="C94" t="s">
        <v>192</v>
      </c>
      <c r="D94" t="s">
        <v>10</v>
      </c>
      <c r="E94">
        <v>120683</v>
      </c>
    </row>
    <row r="95" spans="1:5" x14ac:dyDescent="0.25">
      <c r="A95">
        <v>7888574610</v>
      </c>
      <c r="B95" t="s">
        <v>193</v>
      </c>
      <c r="C95" t="s">
        <v>194</v>
      </c>
      <c r="D95" t="s">
        <v>7</v>
      </c>
      <c r="E95">
        <v>43872</v>
      </c>
    </row>
    <row r="96" spans="1:5" x14ac:dyDescent="0.25">
      <c r="A96">
        <v>3569619966</v>
      </c>
      <c r="B96" t="s">
        <v>135</v>
      </c>
      <c r="C96" t="s">
        <v>195</v>
      </c>
      <c r="D96" t="s">
        <v>10</v>
      </c>
      <c r="E96">
        <v>93357</v>
      </c>
    </row>
    <row r="97" spans="1:5" x14ac:dyDescent="0.25">
      <c r="A97">
        <v>549857826</v>
      </c>
      <c r="B97" t="s">
        <v>196</v>
      </c>
      <c r="C97" t="s">
        <v>197</v>
      </c>
      <c r="D97" t="s">
        <v>7</v>
      </c>
      <c r="E97">
        <v>62151</v>
      </c>
    </row>
    <row r="98" spans="1:5" x14ac:dyDescent="0.25">
      <c r="A98">
        <v>5561472151</v>
      </c>
      <c r="B98" t="s">
        <v>198</v>
      </c>
      <c r="C98" t="s">
        <v>199</v>
      </c>
      <c r="D98" t="s">
        <v>29</v>
      </c>
      <c r="E98">
        <v>56655</v>
      </c>
    </row>
    <row r="99" spans="1:5" x14ac:dyDescent="0.25">
      <c r="A99">
        <v>1085075834</v>
      </c>
      <c r="B99" t="s">
        <v>200</v>
      </c>
      <c r="C99" t="s">
        <v>201</v>
      </c>
      <c r="D99" t="s">
        <v>29</v>
      </c>
      <c r="E99">
        <v>56213</v>
      </c>
    </row>
    <row r="100" spans="1:5" x14ac:dyDescent="0.25">
      <c r="A100">
        <v>9782845590</v>
      </c>
      <c r="B100" t="s">
        <v>202</v>
      </c>
      <c r="C100" t="s">
        <v>203</v>
      </c>
      <c r="D100" t="s">
        <v>10</v>
      </c>
      <c r="E100">
        <v>97594</v>
      </c>
    </row>
    <row r="101" spans="1:5" x14ac:dyDescent="0.25">
      <c r="A101">
        <v>115757341</v>
      </c>
      <c r="B101" t="s">
        <v>204</v>
      </c>
      <c r="C101" t="s">
        <v>205</v>
      </c>
      <c r="D101" t="s">
        <v>7</v>
      </c>
      <c r="E101">
        <v>45592</v>
      </c>
    </row>
    <row r="102" spans="1:5" x14ac:dyDescent="0.25">
      <c r="A102">
        <v>1755716656</v>
      </c>
      <c r="B102" t="s">
        <v>206</v>
      </c>
      <c r="C102" t="s">
        <v>207</v>
      </c>
      <c r="D102" t="s">
        <v>7</v>
      </c>
      <c r="E102">
        <v>47083</v>
      </c>
    </row>
    <row r="103" spans="1:5" x14ac:dyDescent="0.25">
      <c r="A103">
        <v>3145039288</v>
      </c>
      <c r="B103" t="s">
        <v>208</v>
      </c>
      <c r="C103" t="s">
        <v>209</v>
      </c>
      <c r="D103" t="s">
        <v>7</v>
      </c>
      <c r="E103">
        <v>43162</v>
      </c>
    </row>
    <row r="104" spans="1:5" x14ac:dyDescent="0.25">
      <c r="A104">
        <v>8047841793</v>
      </c>
      <c r="B104" t="s">
        <v>210</v>
      </c>
      <c r="C104" t="s">
        <v>211</v>
      </c>
      <c r="D104" t="s">
        <v>7</v>
      </c>
      <c r="E104">
        <v>46338</v>
      </c>
    </row>
    <row r="105" spans="1:5" x14ac:dyDescent="0.25">
      <c r="A105">
        <v>9617190826</v>
      </c>
      <c r="B105" t="s">
        <v>212</v>
      </c>
      <c r="C105" t="s">
        <v>213</v>
      </c>
      <c r="D105" t="s">
        <v>29</v>
      </c>
      <c r="E105">
        <v>57033</v>
      </c>
    </row>
    <row r="106" spans="1:5" x14ac:dyDescent="0.25">
      <c r="A106">
        <v>8658719154</v>
      </c>
      <c r="B106" t="s">
        <v>214</v>
      </c>
      <c r="C106" t="s">
        <v>215</v>
      </c>
      <c r="D106" t="s">
        <v>10</v>
      </c>
      <c r="E106">
        <v>114511</v>
      </c>
    </row>
    <row r="107" spans="1:5" x14ac:dyDescent="0.25">
      <c r="A107">
        <v>8482007106</v>
      </c>
      <c r="B107" t="s">
        <v>216</v>
      </c>
      <c r="C107" t="s">
        <v>217</v>
      </c>
      <c r="D107" t="s">
        <v>10</v>
      </c>
      <c r="E107">
        <v>80762</v>
      </c>
    </row>
    <row r="108" spans="1:5" x14ac:dyDescent="0.25">
      <c r="A108">
        <v>9516781780</v>
      </c>
      <c r="B108" t="s">
        <v>218</v>
      </c>
      <c r="C108" t="s">
        <v>219</v>
      </c>
      <c r="D108" t="s">
        <v>29</v>
      </c>
      <c r="E108">
        <v>55345</v>
      </c>
    </row>
    <row r="109" spans="1:5" x14ac:dyDescent="0.25">
      <c r="A109">
        <v>7180536660</v>
      </c>
      <c r="B109" t="s">
        <v>220</v>
      </c>
      <c r="C109" t="s">
        <v>221</v>
      </c>
      <c r="D109" t="s">
        <v>7</v>
      </c>
      <c r="E109">
        <v>34861</v>
      </c>
    </row>
    <row r="110" spans="1:5" x14ac:dyDescent="0.25">
      <c r="A110">
        <v>3597778305</v>
      </c>
      <c r="B110" t="s">
        <v>222</v>
      </c>
      <c r="C110" t="s">
        <v>223</v>
      </c>
      <c r="D110" t="s">
        <v>10</v>
      </c>
      <c r="E110">
        <v>101808</v>
      </c>
    </row>
    <row r="111" spans="1:5" x14ac:dyDescent="0.25">
      <c r="A111">
        <v>9293760045</v>
      </c>
      <c r="B111" t="s">
        <v>224</v>
      </c>
      <c r="C111" t="s">
        <v>225</v>
      </c>
      <c r="D111" t="s">
        <v>7</v>
      </c>
      <c r="E111">
        <v>48405</v>
      </c>
    </row>
    <row r="112" spans="1:5" x14ac:dyDescent="0.25">
      <c r="A112">
        <v>5064247826</v>
      </c>
      <c r="B112" t="s">
        <v>226</v>
      </c>
      <c r="C112" t="s">
        <v>227</v>
      </c>
      <c r="D112" t="s">
        <v>10</v>
      </c>
      <c r="E112">
        <v>91225</v>
      </c>
    </row>
    <row r="113" spans="1:5" x14ac:dyDescent="0.25">
      <c r="A113">
        <v>7769010411</v>
      </c>
      <c r="B113" t="s">
        <v>228</v>
      </c>
      <c r="C113" t="s">
        <v>229</v>
      </c>
      <c r="D113" t="s">
        <v>29</v>
      </c>
      <c r="E113">
        <v>67024</v>
      </c>
    </row>
    <row r="114" spans="1:5" x14ac:dyDescent="0.25">
      <c r="A114">
        <v>5764488419</v>
      </c>
      <c r="B114" t="s">
        <v>230</v>
      </c>
      <c r="C114" t="s">
        <v>231</v>
      </c>
      <c r="D114" t="s">
        <v>10</v>
      </c>
      <c r="E114">
        <v>113526</v>
      </c>
    </row>
    <row r="115" spans="1:5" x14ac:dyDescent="0.25">
      <c r="A115">
        <v>1053331541</v>
      </c>
      <c r="B115" t="s">
        <v>232</v>
      </c>
      <c r="C115" t="s">
        <v>233</v>
      </c>
      <c r="D115" t="s">
        <v>7</v>
      </c>
      <c r="E115">
        <v>59443</v>
      </c>
    </row>
    <row r="116" spans="1:5" x14ac:dyDescent="0.25">
      <c r="A116">
        <v>4406664351</v>
      </c>
      <c r="B116" t="s">
        <v>234</v>
      </c>
      <c r="C116" t="s">
        <v>235</v>
      </c>
      <c r="D116" t="s">
        <v>29</v>
      </c>
      <c r="E116">
        <v>72749</v>
      </c>
    </row>
    <row r="117" spans="1:5" x14ac:dyDescent="0.25">
      <c r="A117">
        <v>589071254</v>
      </c>
      <c r="B117" t="s">
        <v>236</v>
      </c>
      <c r="C117" t="s">
        <v>237</v>
      </c>
      <c r="D117" t="s">
        <v>10</v>
      </c>
      <c r="E117">
        <v>109778</v>
      </c>
    </row>
    <row r="118" spans="1:5" x14ac:dyDescent="0.25">
      <c r="A118">
        <v>7325246862</v>
      </c>
      <c r="B118" t="s">
        <v>238</v>
      </c>
      <c r="C118" t="s">
        <v>239</v>
      </c>
      <c r="D118" t="s">
        <v>10</v>
      </c>
      <c r="E118">
        <v>113658</v>
      </c>
    </row>
    <row r="119" spans="1:5" x14ac:dyDescent="0.25">
      <c r="A119">
        <v>8733080267</v>
      </c>
      <c r="B119" t="s">
        <v>240</v>
      </c>
      <c r="C119" t="s">
        <v>241</v>
      </c>
      <c r="D119" t="s">
        <v>7</v>
      </c>
      <c r="E119">
        <v>49825</v>
      </c>
    </row>
    <row r="120" spans="1:5" x14ac:dyDescent="0.25">
      <c r="A120">
        <v>4162153728</v>
      </c>
      <c r="B120" t="s">
        <v>242</v>
      </c>
      <c r="C120" t="s">
        <v>243</v>
      </c>
      <c r="D120" t="s">
        <v>10</v>
      </c>
      <c r="E120">
        <v>95348</v>
      </c>
    </row>
    <row r="121" spans="1:5" x14ac:dyDescent="0.25">
      <c r="A121">
        <v>2493113470</v>
      </c>
      <c r="B121" t="s">
        <v>244</v>
      </c>
      <c r="C121" t="s">
        <v>245</v>
      </c>
      <c r="D121" t="s">
        <v>29</v>
      </c>
      <c r="E121">
        <v>62403</v>
      </c>
    </row>
    <row r="122" spans="1:5" x14ac:dyDescent="0.25">
      <c r="A122">
        <v>9153408497</v>
      </c>
      <c r="B122" t="s">
        <v>246</v>
      </c>
      <c r="C122" t="s">
        <v>247</v>
      </c>
      <c r="D122" t="s">
        <v>10</v>
      </c>
      <c r="E122">
        <v>96381</v>
      </c>
    </row>
    <row r="123" spans="1:5" x14ac:dyDescent="0.25">
      <c r="A123">
        <v>274599287</v>
      </c>
      <c r="B123" t="s">
        <v>248</v>
      </c>
      <c r="C123" t="s">
        <v>249</v>
      </c>
      <c r="D123" t="s">
        <v>29</v>
      </c>
      <c r="E123">
        <v>79938</v>
      </c>
    </row>
    <row r="124" spans="1:5" x14ac:dyDescent="0.25">
      <c r="A124">
        <v>9317454674</v>
      </c>
      <c r="B124" t="s">
        <v>250</v>
      </c>
      <c r="C124" t="s">
        <v>251</v>
      </c>
      <c r="D124" t="s">
        <v>7</v>
      </c>
      <c r="E124">
        <v>33116</v>
      </c>
    </row>
    <row r="125" spans="1:5" x14ac:dyDescent="0.25">
      <c r="A125">
        <v>5779075530</v>
      </c>
      <c r="B125" t="s">
        <v>252</v>
      </c>
      <c r="C125" t="s">
        <v>253</v>
      </c>
      <c r="D125" t="s">
        <v>7</v>
      </c>
      <c r="E125">
        <v>41802</v>
      </c>
    </row>
    <row r="126" spans="1:5" x14ac:dyDescent="0.25">
      <c r="A126">
        <v>4472356473</v>
      </c>
      <c r="B126" t="s">
        <v>254</v>
      </c>
      <c r="C126" t="s">
        <v>255</v>
      </c>
      <c r="D126" t="s">
        <v>10</v>
      </c>
      <c r="E126">
        <v>79672</v>
      </c>
    </row>
    <row r="127" spans="1:5" x14ac:dyDescent="0.25">
      <c r="A127">
        <v>9963057691</v>
      </c>
      <c r="B127" t="s">
        <v>256</v>
      </c>
      <c r="C127" t="s">
        <v>257</v>
      </c>
      <c r="D127" t="s">
        <v>29</v>
      </c>
      <c r="E127">
        <v>64506</v>
      </c>
    </row>
    <row r="128" spans="1:5" x14ac:dyDescent="0.25">
      <c r="A128">
        <v>6041314951</v>
      </c>
      <c r="B128" t="s">
        <v>258</v>
      </c>
      <c r="C128" t="s">
        <v>259</v>
      </c>
      <c r="D128" t="s">
        <v>29</v>
      </c>
      <c r="E128">
        <v>76999</v>
      </c>
    </row>
    <row r="129" spans="1:5" x14ac:dyDescent="0.25">
      <c r="A129">
        <v>228985188</v>
      </c>
      <c r="B129" t="s">
        <v>260</v>
      </c>
      <c r="C129" t="s">
        <v>261</v>
      </c>
      <c r="D129" t="s">
        <v>29</v>
      </c>
      <c r="E129">
        <v>57755</v>
      </c>
    </row>
    <row r="130" spans="1:5" x14ac:dyDescent="0.25">
      <c r="A130">
        <v>4445486779</v>
      </c>
      <c r="B130" t="s">
        <v>262</v>
      </c>
      <c r="C130" t="s">
        <v>263</v>
      </c>
      <c r="D130" t="s">
        <v>10</v>
      </c>
      <c r="E130">
        <v>104472</v>
      </c>
    </row>
    <row r="131" spans="1:5" x14ac:dyDescent="0.25">
      <c r="A131">
        <v>6279928705</v>
      </c>
      <c r="B131" t="s">
        <v>264</v>
      </c>
      <c r="C131" t="s">
        <v>265</v>
      </c>
      <c r="D131" t="s">
        <v>29</v>
      </c>
      <c r="E131">
        <v>79834</v>
      </c>
    </row>
    <row r="132" spans="1:5" x14ac:dyDescent="0.25">
      <c r="A132">
        <v>4499766028</v>
      </c>
      <c r="B132" t="s">
        <v>266</v>
      </c>
      <c r="C132" t="s">
        <v>267</v>
      </c>
      <c r="D132" t="s">
        <v>7</v>
      </c>
      <c r="E132">
        <v>53063</v>
      </c>
    </row>
    <row r="133" spans="1:5" x14ac:dyDescent="0.25">
      <c r="A133">
        <v>4656574848</v>
      </c>
      <c r="B133" t="s">
        <v>268</v>
      </c>
      <c r="C133" t="s">
        <v>269</v>
      </c>
      <c r="D133" t="s">
        <v>7</v>
      </c>
      <c r="E133">
        <v>62869</v>
      </c>
    </row>
    <row r="134" spans="1:5" x14ac:dyDescent="0.25">
      <c r="A134">
        <v>5209112160</v>
      </c>
      <c r="B134" t="s">
        <v>270</v>
      </c>
      <c r="C134" t="s">
        <v>271</v>
      </c>
      <c r="D134" t="s">
        <v>10</v>
      </c>
      <c r="E134">
        <v>123127</v>
      </c>
    </row>
    <row r="135" spans="1:5" x14ac:dyDescent="0.25">
      <c r="A135">
        <v>325547246</v>
      </c>
      <c r="B135" t="s">
        <v>272</v>
      </c>
      <c r="C135" t="s">
        <v>273</v>
      </c>
      <c r="D135" t="s">
        <v>10</v>
      </c>
      <c r="E135">
        <v>89591</v>
      </c>
    </row>
    <row r="136" spans="1:5" x14ac:dyDescent="0.25">
      <c r="A136">
        <v>3271497702</v>
      </c>
      <c r="B136" t="s">
        <v>274</v>
      </c>
      <c r="C136" t="s">
        <v>275</v>
      </c>
      <c r="D136" t="s">
        <v>10</v>
      </c>
      <c r="E136">
        <v>86830</v>
      </c>
    </row>
    <row r="137" spans="1:5" x14ac:dyDescent="0.25">
      <c r="A137">
        <v>6275593709</v>
      </c>
      <c r="B137" t="s">
        <v>276</v>
      </c>
      <c r="C137" t="s">
        <v>277</v>
      </c>
      <c r="D137" t="s">
        <v>10</v>
      </c>
      <c r="E137">
        <v>121384</v>
      </c>
    </row>
    <row r="138" spans="1:5" x14ac:dyDescent="0.25">
      <c r="A138">
        <v>9766606919</v>
      </c>
      <c r="B138" t="s">
        <v>278</v>
      </c>
      <c r="C138" t="s">
        <v>279</v>
      </c>
      <c r="D138" t="s">
        <v>29</v>
      </c>
      <c r="E138">
        <v>76509</v>
      </c>
    </row>
    <row r="139" spans="1:5" x14ac:dyDescent="0.25">
      <c r="A139">
        <v>9381484503</v>
      </c>
      <c r="B139" t="s">
        <v>280</v>
      </c>
      <c r="C139" t="s">
        <v>281</v>
      </c>
      <c r="D139" t="s">
        <v>10</v>
      </c>
      <c r="E139">
        <v>121954</v>
      </c>
    </row>
    <row r="140" spans="1:5" x14ac:dyDescent="0.25">
      <c r="A140">
        <v>146065492</v>
      </c>
      <c r="B140" t="s">
        <v>282</v>
      </c>
      <c r="C140" t="s">
        <v>283</v>
      </c>
      <c r="D140" t="s">
        <v>10</v>
      </c>
      <c r="E140">
        <v>117391</v>
      </c>
    </row>
    <row r="141" spans="1:5" x14ac:dyDescent="0.25">
      <c r="A141">
        <v>6408517315</v>
      </c>
      <c r="B141" t="s">
        <v>284</v>
      </c>
      <c r="C141" t="s">
        <v>285</v>
      </c>
      <c r="D141" t="s">
        <v>10</v>
      </c>
      <c r="E141">
        <v>122626</v>
      </c>
    </row>
    <row r="142" spans="1:5" x14ac:dyDescent="0.25">
      <c r="A142">
        <v>5837501576</v>
      </c>
      <c r="B142" t="s">
        <v>286</v>
      </c>
      <c r="C142" t="s">
        <v>287</v>
      </c>
      <c r="D142" t="s">
        <v>7</v>
      </c>
      <c r="E142">
        <v>52489</v>
      </c>
    </row>
    <row r="143" spans="1:5" x14ac:dyDescent="0.25">
      <c r="A143">
        <v>3738218785</v>
      </c>
      <c r="B143" t="s">
        <v>288</v>
      </c>
      <c r="C143" t="s">
        <v>289</v>
      </c>
      <c r="D143" t="s">
        <v>7</v>
      </c>
      <c r="E143">
        <v>64849</v>
      </c>
    </row>
    <row r="144" spans="1:5" x14ac:dyDescent="0.25">
      <c r="A144">
        <v>8971738782</v>
      </c>
      <c r="B144" t="s">
        <v>290</v>
      </c>
      <c r="C144" t="s">
        <v>291</v>
      </c>
      <c r="D144" t="s">
        <v>10</v>
      </c>
      <c r="E144">
        <v>124815</v>
      </c>
    </row>
    <row r="145" spans="1:5" x14ac:dyDescent="0.25">
      <c r="A145">
        <v>3288836432</v>
      </c>
      <c r="B145" t="s">
        <v>292</v>
      </c>
      <c r="C145" t="s">
        <v>293</v>
      </c>
      <c r="D145" t="s">
        <v>10</v>
      </c>
      <c r="E145">
        <v>102601</v>
      </c>
    </row>
    <row r="146" spans="1:5" x14ac:dyDescent="0.25">
      <c r="A146">
        <v>4730395069</v>
      </c>
      <c r="B146" t="s">
        <v>294</v>
      </c>
      <c r="C146" t="s">
        <v>295</v>
      </c>
      <c r="D146" t="s">
        <v>7</v>
      </c>
      <c r="E146">
        <v>44355</v>
      </c>
    </row>
    <row r="147" spans="1:5" x14ac:dyDescent="0.25">
      <c r="A147">
        <v>7670936274</v>
      </c>
      <c r="B147" t="s">
        <v>296</v>
      </c>
      <c r="C147" t="s">
        <v>297</v>
      </c>
      <c r="D147" t="s">
        <v>10</v>
      </c>
      <c r="E147">
        <v>109917</v>
      </c>
    </row>
    <row r="148" spans="1:5" x14ac:dyDescent="0.25">
      <c r="A148">
        <v>826490107</v>
      </c>
      <c r="B148" t="s">
        <v>298</v>
      </c>
      <c r="C148" t="s">
        <v>299</v>
      </c>
      <c r="D148" t="s">
        <v>7</v>
      </c>
      <c r="E148">
        <v>32485</v>
      </c>
    </row>
    <row r="149" spans="1:5" x14ac:dyDescent="0.25">
      <c r="A149">
        <v>9089601147</v>
      </c>
      <c r="B149" t="s">
        <v>300</v>
      </c>
      <c r="C149" t="s">
        <v>301</v>
      </c>
      <c r="D149" t="s">
        <v>29</v>
      </c>
      <c r="E149">
        <v>70306</v>
      </c>
    </row>
    <row r="150" spans="1:5" x14ac:dyDescent="0.25">
      <c r="A150">
        <v>6173504774</v>
      </c>
      <c r="B150" t="s">
        <v>218</v>
      </c>
      <c r="C150" t="s">
        <v>302</v>
      </c>
      <c r="D150" t="s">
        <v>10</v>
      </c>
      <c r="E150">
        <v>124928</v>
      </c>
    </row>
    <row r="151" spans="1:5" x14ac:dyDescent="0.25">
      <c r="A151">
        <v>4009257075</v>
      </c>
      <c r="B151" t="s">
        <v>303</v>
      </c>
      <c r="C151" t="s">
        <v>304</v>
      </c>
      <c r="D151" t="s">
        <v>10</v>
      </c>
      <c r="E151">
        <v>114572</v>
      </c>
    </row>
    <row r="152" spans="1:5" x14ac:dyDescent="0.25">
      <c r="A152">
        <v>3746690722</v>
      </c>
      <c r="B152" t="s">
        <v>305</v>
      </c>
      <c r="C152" t="s">
        <v>306</v>
      </c>
      <c r="D152" t="s">
        <v>10</v>
      </c>
      <c r="E152">
        <v>118063</v>
      </c>
    </row>
    <row r="153" spans="1:5" x14ac:dyDescent="0.25">
      <c r="A153">
        <v>1923178164</v>
      </c>
      <c r="B153" t="s">
        <v>307</v>
      </c>
      <c r="C153" t="s">
        <v>308</v>
      </c>
      <c r="D153" t="s">
        <v>10</v>
      </c>
      <c r="E153">
        <v>111852</v>
      </c>
    </row>
    <row r="154" spans="1:5" x14ac:dyDescent="0.25">
      <c r="A154">
        <v>879297433</v>
      </c>
      <c r="B154" t="s">
        <v>309</v>
      </c>
      <c r="C154" t="s">
        <v>310</v>
      </c>
      <c r="D154" t="s">
        <v>7</v>
      </c>
      <c r="E154">
        <v>44360</v>
      </c>
    </row>
    <row r="155" spans="1:5" x14ac:dyDescent="0.25">
      <c r="A155">
        <v>6978367184</v>
      </c>
      <c r="B155" t="s">
        <v>311</v>
      </c>
      <c r="C155" t="s">
        <v>312</v>
      </c>
      <c r="D155" t="s">
        <v>10</v>
      </c>
      <c r="E155">
        <v>92573</v>
      </c>
    </row>
    <row r="156" spans="1:5" x14ac:dyDescent="0.25">
      <c r="A156">
        <v>6815475379</v>
      </c>
      <c r="B156" t="s">
        <v>313</v>
      </c>
      <c r="C156" t="s">
        <v>314</v>
      </c>
      <c r="D156" t="s">
        <v>10</v>
      </c>
      <c r="E156">
        <v>108360</v>
      </c>
    </row>
    <row r="157" spans="1:5" x14ac:dyDescent="0.25">
      <c r="A157">
        <v>3545427749</v>
      </c>
      <c r="B157" t="s">
        <v>315</v>
      </c>
      <c r="C157" t="s">
        <v>316</v>
      </c>
      <c r="D157" t="s">
        <v>7</v>
      </c>
      <c r="E157">
        <v>31483</v>
      </c>
    </row>
    <row r="158" spans="1:5" x14ac:dyDescent="0.25">
      <c r="A158">
        <v>2117567142</v>
      </c>
      <c r="B158" t="s">
        <v>317</v>
      </c>
      <c r="C158" t="s">
        <v>318</v>
      </c>
      <c r="D158" t="s">
        <v>29</v>
      </c>
      <c r="E158">
        <v>50931</v>
      </c>
    </row>
    <row r="159" spans="1:5" x14ac:dyDescent="0.25">
      <c r="A159">
        <v>3843300291</v>
      </c>
      <c r="B159" t="s">
        <v>319</v>
      </c>
      <c r="C159" t="s">
        <v>320</v>
      </c>
      <c r="D159" t="s">
        <v>29</v>
      </c>
      <c r="E159">
        <v>64631</v>
      </c>
    </row>
    <row r="160" spans="1:5" x14ac:dyDescent="0.25">
      <c r="A160">
        <v>4849214614</v>
      </c>
      <c r="B160" t="s">
        <v>321</v>
      </c>
      <c r="C160" t="s">
        <v>322</v>
      </c>
      <c r="D160" t="s">
        <v>7</v>
      </c>
      <c r="E160">
        <v>46473</v>
      </c>
    </row>
    <row r="161" spans="1:5" x14ac:dyDescent="0.25">
      <c r="A161">
        <v>2510440322</v>
      </c>
      <c r="B161" t="s">
        <v>323</v>
      </c>
      <c r="C161" t="s">
        <v>324</v>
      </c>
      <c r="D161" t="s">
        <v>29</v>
      </c>
      <c r="E161">
        <v>69480</v>
      </c>
    </row>
    <row r="162" spans="1:5" x14ac:dyDescent="0.25">
      <c r="A162">
        <v>495702854</v>
      </c>
      <c r="B162" t="s">
        <v>325</v>
      </c>
      <c r="C162" t="s">
        <v>326</v>
      </c>
      <c r="D162" t="s">
        <v>7</v>
      </c>
      <c r="E162">
        <v>39500</v>
      </c>
    </row>
    <row r="163" spans="1:5" x14ac:dyDescent="0.25">
      <c r="A163">
        <v>8895721314</v>
      </c>
      <c r="B163" t="s">
        <v>327</v>
      </c>
      <c r="C163" t="s">
        <v>328</v>
      </c>
      <c r="D163" t="s">
        <v>29</v>
      </c>
      <c r="E163">
        <v>55660</v>
      </c>
    </row>
    <row r="164" spans="1:5" x14ac:dyDescent="0.25">
      <c r="A164">
        <v>9238967105</v>
      </c>
      <c r="B164" t="s">
        <v>329</v>
      </c>
      <c r="C164" t="s">
        <v>330</v>
      </c>
      <c r="D164" t="s">
        <v>10</v>
      </c>
      <c r="E164">
        <v>106881</v>
      </c>
    </row>
    <row r="165" spans="1:5" x14ac:dyDescent="0.25">
      <c r="A165">
        <v>2083520173</v>
      </c>
      <c r="B165" t="s">
        <v>331</v>
      </c>
      <c r="C165" t="s">
        <v>332</v>
      </c>
      <c r="D165" t="s">
        <v>7</v>
      </c>
      <c r="E165">
        <v>63812</v>
      </c>
    </row>
    <row r="166" spans="1:5" x14ac:dyDescent="0.25">
      <c r="A166">
        <v>8377113392</v>
      </c>
      <c r="B166" t="s">
        <v>333</v>
      </c>
      <c r="C166" t="s">
        <v>334</v>
      </c>
      <c r="D166" t="s">
        <v>7</v>
      </c>
      <c r="E166">
        <v>62282</v>
      </c>
    </row>
    <row r="167" spans="1:5" x14ac:dyDescent="0.25">
      <c r="A167">
        <v>8617243198</v>
      </c>
      <c r="B167" t="s">
        <v>335</v>
      </c>
      <c r="C167" t="s">
        <v>336</v>
      </c>
      <c r="D167" t="s">
        <v>10</v>
      </c>
      <c r="E167">
        <v>75707</v>
      </c>
    </row>
    <row r="168" spans="1:5" x14ac:dyDescent="0.25">
      <c r="A168">
        <v>244523738</v>
      </c>
      <c r="B168" t="s">
        <v>337</v>
      </c>
      <c r="C168" t="s">
        <v>338</v>
      </c>
      <c r="D168" t="s">
        <v>7</v>
      </c>
      <c r="E168">
        <v>49959</v>
      </c>
    </row>
    <row r="169" spans="1:5" x14ac:dyDescent="0.25">
      <c r="A169">
        <v>7493076952</v>
      </c>
      <c r="B169" t="s">
        <v>339</v>
      </c>
      <c r="C169" t="s">
        <v>340</v>
      </c>
      <c r="D169" t="s">
        <v>29</v>
      </c>
      <c r="E169">
        <v>57201</v>
      </c>
    </row>
    <row r="170" spans="1:5" x14ac:dyDescent="0.25">
      <c r="A170">
        <v>3513651333</v>
      </c>
      <c r="B170" t="s">
        <v>341</v>
      </c>
      <c r="C170" t="s">
        <v>342</v>
      </c>
      <c r="D170" t="s">
        <v>29</v>
      </c>
      <c r="E170">
        <v>61705</v>
      </c>
    </row>
    <row r="171" spans="1:5" x14ac:dyDescent="0.25">
      <c r="A171">
        <v>4039266773</v>
      </c>
      <c r="B171" t="s">
        <v>343</v>
      </c>
      <c r="C171" t="s">
        <v>344</v>
      </c>
      <c r="D171" t="s">
        <v>29</v>
      </c>
      <c r="E171">
        <v>70198</v>
      </c>
    </row>
    <row r="172" spans="1:5" x14ac:dyDescent="0.25">
      <c r="A172">
        <v>6271204627</v>
      </c>
      <c r="B172" t="s">
        <v>345</v>
      </c>
      <c r="C172" t="s">
        <v>346</v>
      </c>
      <c r="D172" t="s">
        <v>29</v>
      </c>
      <c r="E172">
        <v>77962</v>
      </c>
    </row>
    <row r="173" spans="1:5" x14ac:dyDescent="0.25">
      <c r="A173">
        <v>7263964236</v>
      </c>
      <c r="B173" t="s">
        <v>347</v>
      </c>
      <c r="C173" t="s">
        <v>348</v>
      </c>
      <c r="D173" t="s">
        <v>10</v>
      </c>
      <c r="E173">
        <v>93512</v>
      </c>
    </row>
    <row r="174" spans="1:5" x14ac:dyDescent="0.25">
      <c r="A174">
        <v>7000350199</v>
      </c>
      <c r="B174" t="s">
        <v>349</v>
      </c>
      <c r="C174" t="s">
        <v>350</v>
      </c>
      <c r="D174" t="s">
        <v>7</v>
      </c>
      <c r="E174">
        <v>46470</v>
      </c>
    </row>
    <row r="175" spans="1:5" x14ac:dyDescent="0.25">
      <c r="A175">
        <v>1469328364</v>
      </c>
      <c r="B175" t="s">
        <v>351</v>
      </c>
      <c r="C175" t="s">
        <v>352</v>
      </c>
      <c r="D175" t="s">
        <v>10</v>
      </c>
      <c r="E175">
        <v>82805</v>
      </c>
    </row>
    <row r="176" spans="1:5" x14ac:dyDescent="0.25">
      <c r="A176">
        <v>6988089128</v>
      </c>
      <c r="B176" t="s">
        <v>353</v>
      </c>
      <c r="C176" t="s">
        <v>354</v>
      </c>
      <c r="D176" t="s">
        <v>10</v>
      </c>
      <c r="E176">
        <v>89492</v>
      </c>
    </row>
    <row r="177" spans="1:5" x14ac:dyDescent="0.25">
      <c r="A177">
        <v>3219526055</v>
      </c>
      <c r="B177" t="s">
        <v>355</v>
      </c>
      <c r="C177" t="s">
        <v>356</v>
      </c>
      <c r="D177" t="s">
        <v>7</v>
      </c>
      <c r="E177">
        <v>38331</v>
      </c>
    </row>
    <row r="178" spans="1:5" x14ac:dyDescent="0.25">
      <c r="A178">
        <v>8694120054</v>
      </c>
      <c r="B178" t="s">
        <v>357</v>
      </c>
      <c r="C178" t="s">
        <v>358</v>
      </c>
      <c r="D178" t="s">
        <v>10</v>
      </c>
      <c r="E178">
        <v>114348</v>
      </c>
    </row>
    <row r="179" spans="1:5" x14ac:dyDescent="0.25">
      <c r="A179">
        <v>2702941109</v>
      </c>
      <c r="B179" t="s">
        <v>359</v>
      </c>
      <c r="C179" t="s">
        <v>360</v>
      </c>
      <c r="D179" t="s">
        <v>10</v>
      </c>
      <c r="E179">
        <v>89034</v>
      </c>
    </row>
    <row r="180" spans="1:5" x14ac:dyDescent="0.25">
      <c r="A180">
        <v>481875921</v>
      </c>
      <c r="B180" t="s">
        <v>361</v>
      </c>
      <c r="C180" t="s">
        <v>362</v>
      </c>
      <c r="D180" t="s">
        <v>10</v>
      </c>
      <c r="E180">
        <v>84575</v>
      </c>
    </row>
    <row r="181" spans="1:5" x14ac:dyDescent="0.25">
      <c r="A181">
        <v>3986480021</v>
      </c>
      <c r="B181" t="s">
        <v>363</v>
      </c>
      <c r="C181" t="s">
        <v>364</v>
      </c>
      <c r="D181" t="s">
        <v>29</v>
      </c>
      <c r="E181">
        <v>59679</v>
      </c>
    </row>
    <row r="182" spans="1:5" x14ac:dyDescent="0.25">
      <c r="A182">
        <v>1829869566</v>
      </c>
      <c r="B182" t="s">
        <v>365</v>
      </c>
      <c r="C182" t="s">
        <v>366</v>
      </c>
      <c r="D182" t="s">
        <v>29</v>
      </c>
      <c r="E182">
        <v>55569</v>
      </c>
    </row>
    <row r="183" spans="1:5" x14ac:dyDescent="0.25">
      <c r="A183">
        <v>3273288531</v>
      </c>
      <c r="B183" t="s">
        <v>367</v>
      </c>
      <c r="C183" t="s">
        <v>368</v>
      </c>
      <c r="D183" t="s">
        <v>29</v>
      </c>
      <c r="E183">
        <v>50699</v>
      </c>
    </row>
    <row r="184" spans="1:5" x14ac:dyDescent="0.25">
      <c r="A184">
        <v>9412192312</v>
      </c>
      <c r="B184" t="s">
        <v>369</v>
      </c>
      <c r="C184" t="s">
        <v>370</v>
      </c>
      <c r="D184" t="s">
        <v>7</v>
      </c>
      <c r="E184">
        <v>44442</v>
      </c>
    </row>
    <row r="185" spans="1:5" x14ac:dyDescent="0.25">
      <c r="A185">
        <v>1062607929</v>
      </c>
      <c r="B185" t="s">
        <v>371</v>
      </c>
      <c r="C185" t="s">
        <v>372</v>
      </c>
      <c r="D185" t="s">
        <v>10</v>
      </c>
      <c r="E185">
        <v>101824</v>
      </c>
    </row>
    <row r="186" spans="1:5" x14ac:dyDescent="0.25">
      <c r="A186">
        <v>2279888742</v>
      </c>
      <c r="B186" t="s">
        <v>373</v>
      </c>
      <c r="C186" t="s">
        <v>374</v>
      </c>
      <c r="D186" t="s">
        <v>29</v>
      </c>
      <c r="E186">
        <v>57415</v>
      </c>
    </row>
    <row r="187" spans="1:5" x14ac:dyDescent="0.25">
      <c r="A187">
        <v>583595162</v>
      </c>
      <c r="B187" t="s">
        <v>375</v>
      </c>
      <c r="C187" t="s">
        <v>376</v>
      </c>
      <c r="D187" t="s">
        <v>7</v>
      </c>
      <c r="E187">
        <v>47531</v>
      </c>
    </row>
    <row r="188" spans="1:5" x14ac:dyDescent="0.25">
      <c r="A188">
        <v>9984023702</v>
      </c>
      <c r="B188" t="s">
        <v>377</v>
      </c>
      <c r="C188" t="s">
        <v>378</v>
      </c>
      <c r="D188" t="s">
        <v>7</v>
      </c>
      <c r="E188">
        <v>41342</v>
      </c>
    </row>
    <row r="189" spans="1:5" x14ac:dyDescent="0.25">
      <c r="A189">
        <v>9267164694</v>
      </c>
      <c r="B189" t="s">
        <v>379</v>
      </c>
      <c r="C189" t="s">
        <v>380</v>
      </c>
      <c r="D189" t="s">
        <v>7</v>
      </c>
      <c r="E189">
        <v>58087</v>
      </c>
    </row>
    <row r="190" spans="1:5" x14ac:dyDescent="0.25">
      <c r="A190">
        <v>1855604000</v>
      </c>
      <c r="B190" t="s">
        <v>381</v>
      </c>
      <c r="C190" t="s">
        <v>382</v>
      </c>
      <c r="D190" t="s">
        <v>10</v>
      </c>
      <c r="E190">
        <v>102711</v>
      </c>
    </row>
    <row r="191" spans="1:5" x14ac:dyDescent="0.25">
      <c r="A191">
        <v>9855833406</v>
      </c>
      <c r="B191" t="s">
        <v>383</v>
      </c>
      <c r="C191" t="s">
        <v>384</v>
      </c>
      <c r="D191" t="s">
        <v>10</v>
      </c>
      <c r="E191">
        <v>78771</v>
      </c>
    </row>
    <row r="192" spans="1:5" x14ac:dyDescent="0.25">
      <c r="A192">
        <v>1895483948</v>
      </c>
      <c r="B192" t="s">
        <v>385</v>
      </c>
      <c r="C192" t="s">
        <v>386</v>
      </c>
      <c r="D192" t="s">
        <v>10</v>
      </c>
      <c r="E192">
        <v>110414</v>
      </c>
    </row>
    <row r="193" spans="1:5" x14ac:dyDescent="0.25">
      <c r="A193">
        <v>357531329</v>
      </c>
      <c r="B193" t="s">
        <v>387</v>
      </c>
      <c r="C193" t="s">
        <v>388</v>
      </c>
      <c r="D193" t="s">
        <v>7</v>
      </c>
      <c r="E193">
        <v>45512</v>
      </c>
    </row>
    <row r="194" spans="1:5" x14ac:dyDescent="0.25">
      <c r="A194">
        <v>3292353998</v>
      </c>
      <c r="B194" t="s">
        <v>389</v>
      </c>
      <c r="C194" t="s">
        <v>390</v>
      </c>
      <c r="D194" t="s">
        <v>29</v>
      </c>
      <c r="E194">
        <v>66896</v>
      </c>
    </row>
    <row r="195" spans="1:5" x14ac:dyDescent="0.25">
      <c r="A195">
        <v>5353923685</v>
      </c>
      <c r="B195" t="s">
        <v>391</v>
      </c>
      <c r="C195" t="s">
        <v>392</v>
      </c>
      <c r="D195" t="s">
        <v>10</v>
      </c>
      <c r="E195">
        <v>80043</v>
      </c>
    </row>
    <row r="196" spans="1:5" x14ac:dyDescent="0.25">
      <c r="A196">
        <v>4795089876</v>
      </c>
      <c r="B196" t="s">
        <v>393</v>
      </c>
      <c r="C196" t="s">
        <v>394</v>
      </c>
      <c r="D196" t="s">
        <v>29</v>
      </c>
      <c r="E196">
        <v>74505</v>
      </c>
    </row>
    <row r="197" spans="1:5" x14ac:dyDescent="0.25">
      <c r="A197">
        <v>4029727026</v>
      </c>
      <c r="B197" t="s">
        <v>395</v>
      </c>
      <c r="C197" t="s">
        <v>396</v>
      </c>
      <c r="D197" t="s">
        <v>29</v>
      </c>
      <c r="E197">
        <v>77473</v>
      </c>
    </row>
    <row r="198" spans="1:5" x14ac:dyDescent="0.25">
      <c r="A198">
        <v>2670196322</v>
      </c>
      <c r="B198" t="s">
        <v>292</v>
      </c>
      <c r="C198" t="s">
        <v>397</v>
      </c>
      <c r="D198" t="s">
        <v>7</v>
      </c>
      <c r="E198">
        <v>50840</v>
      </c>
    </row>
    <row r="199" spans="1:5" x14ac:dyDescent="0.25">
      <c r="A199">
        <v>2297168497</v>
      </c>
      <c r="B199" t="s">
        <v>398</v>
      </c>
      <c r="C199" t="s">
        <v>399</v>
      </c>
      <c r="D199" t="s">
        <v>7</v>
      </c>
      <c r="E199">
        <v>52584</v>
      </c>
    </row>
    <row r="200" spans="1:5" x14ac:dyDescent="0.25">
      <c r="A200">
        <v>2012142672</v>
      </c>
      <c r="B200" t="s">
        <v>400</v>
      </c>
      <c r="C200" t="s">
        <v>401</v>
      </c>
      <c r="D200" t="s">
        <v>29</v>
      </c>
      <c r="E200">
        <v>55915</v>
      </c>
    </row>
    <row r="201" spans="1:5" x14ac:dyDescent="0.25">
      <c r="A201">
        <v>6410530811</v>
      </c>
      <c r="B201" t="s">
        <v>402</v>
      </c>
      <c r="C201" t="s">
        <v>403</v>
      </c>
      <c r="D201" t="s">
        <v>7</v>
      </c>
      <c r="E201">
        <v>37671</v>
      </c>
    </row>
    <row r="202" spans="1:5" x14ac:dyDescent="0.25">
      <c r="A202">
        <v>6183510505</v>
      </c>
      <c r="B202" t="s">
        <v>404</v>
      </c>
      <c r="C202" t="s">
        <v>405</v>
      </c>
      <c r="D202" t="s">
        <v>10</v>
      </c>
      <c r="E202">
        <v>97468</v>
      </c>
    </row>
    <row r="203" spans="1:5" x14ac:dyDescent="0.25">
      <c r="A203">
        <v>7707009371</v>
      </c>
      <c r="B203" t="s">
        <v>406</v>
      </c>
      <c r="C203" t="s">
        <v>407</v>
      </c>
      <c r="D203" t="s">
        <v>10</v>
      </c>
      <c r="E203">
        <v>119934</v>
      </c>
    </row>
    <row r="204" spans="1:5" x14ac:dyDescent="0.25">
      <c r="A204">
        <v>7865341539</v>
      </c>
      <c r="B204" t="s">
        <v>408</v>
      </c>
      <c r="C204" t="s">
        <v>409</v>
      </c>
      <c r="D204" t="s">
        <v>7</v>
      </c>
      <c r="E204">
        <v>64631</v>
      </c>
    </row>
    <row r="205" spans="1:5" x14ac:dyDescent="0.25">
      <c r="A205">
        <v>8750494546</v>
      </c>
      <c r="B205" t="s">
        <v>410</v>
      </c>
      <c r="C205" t="s">
        <v>411</v>
      </c>
      <c r="D205" t="s">
        <v>29</v>
      </c>
      <c r="E205">
        <v>54058</v>
      </c>
    </row>
    <row r="206" spans="1:5" x14ac:dyDescent="0.25">
      <c r="A206">
        <v>4718207207</v>
      </c>
      <c r="B206" t="s">
        <v>412</v>
      </c>
      <c r="C206" t="s">
        <v>413</v>
      </c>
      <c r="D206" t="s">
        <v>29</v>
      </c>
      <c r="E206">
        <v>54302</v>
      </c>
    </row>
    <row r="207" spans="1:5" x14ac:dyDescent="0.25">
      <c r="A207">
        <v>6235447353</v>
      </c>
      <c r="B207" t="s">
        <v>414</v>
      </c>
      <c r="C207" t="s">
        <v>415</v>
      </c>
      <c r="D207" t="s">
        <v>7</v>
      </c>
      <c r="E207">
        <v>35661</v>
      </c>
    </row>
    <row r="208" spans="1:5" x14ac:dyDescent="0.25">
      <c r="A208">
        <v>6436551115</v>
      </c>
      <c r="B208" t="s">
        <v>416</v>
      </c>
      <c r="C208" t="s">
        <v>417</v>
      </c>
      <c r="D208" t="s">
        <v>7</v>
      </c>
      <c r="E208">
        <v>38918</v>
      </c>
    </row>
    <row r="209" spans="1:5" x14ac:dyDescent="0.25">
      <c r="A209">
        <v>1472093461</v>
      </c>
      <c r="B209" t="s">
        <v>418</v>
      </c>
      <c r="C209" t="s">
        <v>419</v>
      </c>
      <c r="D209" t="s">
        <v>29</v>
      </c>
      <c r="E209">
        <v>72605</v>
      </c>
    </row>
    <row r="210" spans="1:5" x14ac:dyDescent="0.25">
      <c r="A210">
        <v>8864419241</v>
      </c>
      <c r="B210" t="s">
        <v>420</v>
      </c>
      <c r="C210" t="s">
        <v>421</v>
      </c>
      <c r="D210" t="s">
        <v>29</v>
      </c>
      <c r="E210">
        <v>69764</v>
      </c>
    </row>
    <row r="211" spans="1:5" x14ac:dyDescent="0.25">
      <c r="A211">
        <v>896700143</v>
      </c>
      <c r="B211" t="s">
        <v>422</v>
      </c>
      <c r="C211" t="s">
        <v>423</v>
      </c>
      <c r="D211" t="s">
        <v>29</v>
      </c>
      <c r="E211">
        <v>77407</v>
      </c>
    </row>
    <row r="212" spans="1:5" x14ac:dyDescent="0.25">
      <c r="A212">
        <v>7931128354</v>
      </c>
      <c r="B212" t="s">
        <v>424</v>
      </c>
      <c r="C212" t="s">
        <v>425</v>
      </c>
      <c r="D212" t="s">
        <v>29</v>
      </c>
      <c r="E212">
        <v>68190</v>
      </c>
    </row>
    <row r="213" spans="1:5" x14ac:dyDescent="0.25">
      <c r="A213">
        <v>6915102108</v>
      </c>
      <c r="B213" t="s">
        <v>426</v>
      </c>
      <c r="C213" t="s">
        <v>427</v>
      </c>
      <c r="D213" t="s">
        <v>10</v>
      </c>
      <c r="E213">
        <v>84051</v>
      </c>
    </row>
    <row r="214" spans="1:5" x14ac:dyDescent="0.25">
      <c r="A214">
        <v>630160104</v>
      </c>
      <c r="B214" t="s">
        <v>428</v>
      </c>
      <c r="C214" t="s">
        <v>429</v>
      </c>
      <c r="D214" t="s">
        <v>10</v>
      </c>
      <c r="E214">
        <v>105465</v>
      </c>
    </row>
    <row r="215" spans="1:5" x14ac:dyDescent="0.25">
      <c r="A215">
        <v>4492546545</v>
      </c>
      <c r="B215" t="s">
        <v>430</v>
      </c>
      <c r="C215" t="s">
        <v>431</v>
      </c>
      <c r="D215" t="s">
        <v>7</v>
      </c>
      <c r="E215">
        <v>59662</v>
      </c>
    </row>
    <row r="216" spans="1:5" x14ac:dyDescent="0.25">
      <c r="A216">
        <v>7191906499</v>
      </c>
      <c r="B216" t="s">
        <v>432</v>
      </c>
      <c r="C216" t="s">
        <v>433</v>
      </c>
      <c r="D216" t="s">
        <v>29</v>
      </c>
      <c r="E216">
        <v>54226</v>
      </c>
    </row>
    <row r="217" spans="1:5" x14ac:dyDescent="0.25">
      <c r="A217">
        <v>8401146046</v>
      </c>
      <c r="B217" t="s">
        <v>434</v>
      </c>
      <c r="C217" t="s">
        <v>435</v>
      </c>
      <c r="D217" t="s">
        <v>29</v>
      </c>
      <c r="E217">
        <v>54722</v>
      </c>
    </row>
    <row r="218" spans="1:5" x14ac:dyDescent="0.25">
      <c r="A218">
        <v>3266408608</v>
      </c>
      <c r="B218" t="s">
        <v>436</v>
      </c>
      <c r="C218" t="s">
        <v>437</v>
      </c>
      <c r="D218" t="s">
        <v>29</v>
      </c>
      <c r="E218">
        <v>73542</v>
      </c>
    </row>
    <row r="219" spans="1:5" x14ac:dyDescent="0.25">
      <c r="A219">
        <v>813371287</v>
      </c>
      <c r="B219" t="s">
        <v>438</v>
      </c>
      <c r="C219" t="s">
        <v>439</v>
      </c>
      <c r="D219" t="s">
        <v>7</v>
      </c>
      <c r="E219">
        <v>55320</v>
      </c>
    </row>
    <row r="220" spans="1:5" x14ac:dyDescent="0.25">
      <c r="A220">
        <v>5623896162</v>
      </c>
      <c r="B220" t="s">
        <v>440</v>
      </c>
      <c r="C220" t="s">
        <v>441</v>
      </c>
      <c r="D220" t="s">
        <v>29</v>
      </c>
      <c r="E220">
        <v>74626</v>
      </c>
    </row>
    <row r="221" spans="1:5" x14ac:dyDescent="0.25">
      <c r="A221">
        <v>7906441400</v>
      </c>
      <c r="B221" t="s">
        <v>442</v>
      </c>
      <c r="C221" t="s">
        <v>443</v>
      </c>
      <c r="D221" t="s">
        <v>7</v>
      </c>
      <c r="E221">
        <v>46268</v>
      </c>
    </row>
    <row r="222" spans="1:5" x14ac:dyDescent="0.25">
      <c r="A222">
        <v>7233077789</v>
      </c>
      <c r="B222" t="s">
        <v>444</v>
      </c>
      <c r="C222" t="s">
        <v>445</v>
      </c>
      <c r="D222" t="s">
        <v>7</v>
      </c>
      <c r="E222">
        <v>43173</v>
      </c>
    </row>
    <row r="223" spans="1:5" x14ac:dyDescent="0.25">
      <c r="A223">
        <v>3497169404</v>
      </c>
      <c r="B223" t="s">
        <v>446</v>
      </c>
      <c r="C223" t="s">
        <v>447</v>
      </c>
      <c r="D223" t="s">
        <v>10</v>
      </c>
      <c r="E223">
        <v>89522</v>
      </c>
    </row>
    <row r="224" spans="1:5" x14ac:dyDescent="0.25">
      <c r="A224">
        <v>8187246642</v>
      </c>
      <c r="B224" t="s">
        <v>448</v>
      </c>
      <c r="C224" t="s">
        <v>449</v>
      </c>
      <c r="D224" t="s">
        <v>29</v>
      </c>
      <c r="E224">
        <v>59840</v>
      </c>
    </row>
    <row r="225" spans="1:5" x14ac:dyDescent="0.25">
      <c r="A225">
        <v>5975948169</v>
      </c>
      <c r="B225" t="s">
        <v>450</v>
      </c>
      <c r="C225" t="s">
        <v>451</v>
      </c>
      <c r="D225" t="s">
        <v>10</v>
      </c>
      <c r="E225">
        <v>122368</v>
      </c>
    </row>
    <row r="226" spans="1:5" x14ac:dyDescent="0.25">
      <c r="A226">
        <v>1371021422</v>
      </c>
      <c r="B226" t="s">
        <v>85</v>
      </c>
      <c r="C226" t="s">
        <v>452</v>
      </c>
      <c r="D226" t="s">
        <v>29</v>
      </c>
      <c r="E226">
        <v>55264</v>
      </c>
    </row>
    <row r="227" spans="1:5" x14ac:dyDescent="0.25">
      <c r="A227">
        <v>6618120233</v>
      </c>
      <c r="B227" t="s">
        <v>453</v>
      </c>
      <c r="C227" t="s">
        <v>454</v>
      </c>
      <c r="D227" t="s">
        <v>29</v>
      </c>
      <c r="E227">
        <v>64077</v>
      </c>
    </row>
    <row r="228" spans="1:5" x14ac:dyDescent="0.25">
      <c r="A228">
        <v>2408183758</v>
      </c>
      <c r="B228" t="s">
        <v>455</v>
      </c>
      <c r="C228" t="s">
        <v>456</v>
      </c>
      <c r="D228" t="s">
        <v>10</v>
      </c>
      <c r="E228">
        <v>121981</v>
      </c>
    </row>
    <row r="229" spans="1:5" x14ac:dyDescent="0.25">
      <c r="A229">
        <v>2533903736</v>
      </c>
      <c r="B229" t="s">
        <v>457</v>
      </c>
      <c r="C229" t="s">
        <v>458</v>
      </c>
      <c r="D229" t="s">
        <v>7</v>
      </c>
      <c r="E229">
        <v>58051</v>
      </c>
    </row>
    <row r="230" spans="1:5" x14ac:dyDescent="0.25">
      <c r="A230">
        <v>3779559293</v>
      </c>
      <c r="B230" t="s">
        <v>459</v>
      </c>
      <c r="C230" t="s">
        <v>460</v>
      </c>
      <c r="D230" t="s">
        <v>10</v>
      </c>
      <c r="E230">
        <v>95894</v>
      </c>
    </row>
    <row r="231" spans="1:5" x14ac:dyDescent="0.25">
      <c r="A231">
        <v>5142790693</v>
      </c>
      <c r="B231" t="s">
        <v>461</v>
      </c>
      <c r="C231" t="s">
        <v>462</v>
      </c>
      <c r="D231" t="s">
        <v>10</v>
      </c>
      <c r="E231">
        <v>96841</v>
      </c>
    </row>
    <row r="232" spans="1:5" x14ac:dyDescent="0.25">
      <c r="A232">
        <v>4236713853</v>
      </c>
      <c r="B232" t="s">
        <v>463</v>
      </c>
      <c r="C232" t="s">
        <v>464</v>
      </c>
      <c r="D232" t="s">
        <v>10</v>
      </c>
      <c r="E232">
        <v>114723</v>
      </c>
    </row>
    <row r="233" spans="1:5" x14ac:dyDescent="0.25">
      <c r="A233">
        <v>4401069773</v>
      </c>
      <c r="B233" t="s">
        <v>325</v>
      </c>
      <c r="C233" t="s">
        <v>465</v>
      </c>
      <c r="D233" t="s">
        <v>29</v>
      </c>
      <c r="E233">
        <v>63754</v>
      </c>
    </row>
    <row r="234" spans="1:5" x14ac:dyDescent="0.25">
      <c r="A234">
        <v>4689682046</v>
      </c>
      <c r="B234" t="s">
        <v>466</v>
      </c>
      <c r="C234" t="s">
        <v>467</v>
      </c>
      <c r="D234" t="s">
        <v>7</v>
      </c>
      <c r="E234">
        <v>61679</v>
      </c>
    </row>
    <row r="235" spans="1:5" x14ac:dyDescent="0.25">
      <c r="A235">
        <v>2649428619</v>
      </c>
      <c r="B235" t="s">
        <v>468</v>
      </c>
      <c r="C235" t="s">
        <v>469</v>
      </c>
      <c r="D235" t="s">
        <v>29</v>
      </c>
      <c r="E235">
        <v>73372</v>
      </c>
    </row>
    <row r="236" spans="1:5" x14ac:dyDescent="0.25">
      <c r="A236">
        <v>8264394108</v>
      </c>
      <c r="B236" t="s">
        <v>470</v>
      </c>
      <c r="C236" t="s">
        <v>471</v>
      </c>
      <c r="D236" t="s">
        <v>10</v>
      </c>
      <c r="E236">
        <v>113062</v>
      </c>
    </row>
    <row r="237" spans="1:5" x14ac:dyDescent="0.25">
      <c r="A237">
        <v>9800744517</v>
      </c>
      <c r="B237" t="s">
        <v>472</v>
      </c>
      <c r="C237" t="s">
        <v>473</v>
      </c>
      <c r="D237" t="s">
        <v>10</v>
      </c>
      <c r="E237">
        <v>102178</v>
      </c>
    </row>
    <row r="238" spans="1:5" x14ac:dyDescent="0.25">
      <c r="A238">
        <v>8249460030</v>
      </c>
      <c r="B238" t="s">
        <v>474</v>
      </c>
      <c r="C238" t="s">
        <v>475</v>
      </c>
      <c r="D238" t="s">
        <v>29</v>
      </c>
      <c r="E238">
        <v>78688</v>
      </c>
    </row>
    <row r="239" spans="1:5" x14ac:dyDescent="0.25">
      <c r="A239">
        <v>5134745579</v>
      </c>
      <c r="B239" t="s">
        <v>476</v>
      </c>
      <c r="C239" t="s">
        <v>477</v>
      </c>
      <c r="D239" t="s">
        <v>10</v>
      </c>
      <c r="E239">
        <v>84060</v>
      </c>
    </row>
    <row r="240" spans="1:5" x14ac:dyDescent="0.25">
      <c r="A240">
        <v>4453705328</v>
      </c>
      <c r="B240" t="s">
        <v>478</v>
      </c>
      <c r="C240" t="s">
        <v>479</v>
      </c>
      <c r="D240" t="s">
        <v>29</v>
      </c>
      <c r="E240">
        <v>57398</v>
      </c>
    </row>
    <row r="241" spans="1:5" x14ac:dyDescent="0.25">
      <c r="A241">
        <v>5203144281</v>
      </c>
      <c r="B241" t="s">
        <v>480</v>
      </c>
      <c r="C241" t="s">
        <v>481</v>
      </c>
      <c r="D241" t="s">
        <v>10</v>
      </c>
      <c r="E241">
        <v>99005</v>
      </c>
    </row>
    <row r="242" spans="1:5" x14ac:dyDescent="0.25">
      <c r="A242">
        <v>8315800957</v>
      </c>
      <c r="B242" t="s">
        <v>482</v>
      </c>
      <c r="C242" t="s">
        <v>483</v>
      </c>
      <c r="D242" t="s">
        <v>7</v>
      </c>
      <c r="E242">
        <v>54445</v>
      </c>
    </row>
    <row r="243" spans="1:5" x14ac:dyDescent="0.25">
      <c r="A243">
        <v>7962906979</v>
      </c>
      <c r="B243" t="s">
        <v>484</v>
      </c>
      <c r="C243" t="s">
        <v>485</v>
      </c>
      <c r="D243" t="s">
        <v>29</v>
      </c>
      <c r="E243">
        <v>65149</v>
      </c>
    </row>
    <row r="244" spans="1:5" x14ac:dyDescent="0.25">
      <c r="A244">
        <v>6364724701</v>
      </c>
      <c r="B244" t="s">
        <v>486</v>
      </c>
      <c r="C244" t="s">
        <v>487</v>
      </c>
      <c r="D244" t="s">
        <v>7</v>
      </c>
      <c r="E244">
        <v>30640</v>
      </c>
    </row>
    <row r="245" spans="1:5" x14ac:dyDescent="0.25">
      <c r="A245">
        <v>3435517239</v>
      </c>
      <c r="B245" t="s">
        <v>488</v>
      </c>
      <c r="C245" t="s">
        <v>489</v>
      </c>
      <c r="D245" t="s">
        <v>7</v>
      </c>
      <c r="E245">
        <v>47873</v>
      </c>
    </row>
    <row r="246" spans="1:5" x14ac:dyDescent="0.25">
      <c r="A246">
        <v>9264026959</v>
      </c>
      <c r="B246" t="s">
        <v>490</v>
      </c>
      <c r="C246" t="s">
        <v>491</v>
      </c>
      <c r="D246" t="s">
        <v>29</v>
      </c>
      <c r="E246">
        <v>68799</v>
      </c>
    </row>
    <row r="247" spans="1:5" x14ac:dyDescent="0.25">
      <c r="A247">
        <v>8682006391</v>
      </c>
      <c r="B247" t="s">
        <v>492</v>
      </c>
      <c r="C247" t="s">
        <v>493</v>
      </c>
      <c r="D247" t="s">
        <v>29</v>
      </c>
      <c r="E247">
        <v>63897</v>
      </c>
    </row>
    <row r="248" spans="1:5" x14ac:dyDescent="0.25">
      <c r="A248">
        <v>2306669465</v>
      </c>
      <c r="B248" t="s">
        <v>494</v>
      </c>
      <c r="C248" t="s">
        <v>229</v>
      </c>
      <c r="D248" t="s">
        <v>29</v>
      </c>
      <c r="E248">
        <v>50762</v>
      </c>
    </row>
    <row r="249" spans="1:5" x14ac:dyDescent="0.25">
      <c r="A249">
        <v>3956653289</v>
      </c>
      <c r="B249" t="s">
        <v>495</v>
      </c>
      <c r="C249" t="s">
        <v>496</v>
      </c>
      <c r="D249" t="s">
        <v>29</v>
      </c>
      <c r="E249">
        <v>71798</v>
      </c>
    </row>
    <row r="250" spans="1:5" x14ac:dyDescent="0.25">
      <c r="A250">
        <v>3670950885</v>
      </c>
      <c r="B250" t="s">
        <v>497</v>
      </c>
      <c r="C250" t="s">
        <v>498</v>
      </c>
      <c r="D250" t="s">
        <v>10</v>
      </c>
      <c r="E250">
        <v>120896</v>
      </c>
    </row>
    <row r="251" spans="1:5" x14ac:dyDescent="0.25">
      <c r="A251">
        <v>6276010022</v>
      </c>
      <c r="B251" t="s">
        <v>499</v>
      </c>
      <c r="C251" t="s">
        <v>500</v>
      </c>
      <c r="D251" t="s">
        <v>7</v>
      </c>
      <c r="E251">
        <v>58074</v>
      </c>
    </row>
    <row r="252" spans="1:5" x14ac:dyDescent="0.25">
      <c r="A252">
        <v>2809344809</v>
      </c>
      <c r="B252" t="s">
        <v>501</v>
      </c>
      <c r="C252" t="s">
        <v>502</v>
      </c>
      <c r="D252" t="s">
        <v>10</v>
      </c>
      <c r="E252">
        <v>112707</v>
      </c>
    </row>
    <row r="253" spans="1:5" x14ac:dyDescent="0.25">
      <c r="A253">
        <v>4286367630</v>
      </c>
      <c r="B253" t="s">
        <v>503</v>
      </c>
      <c r="C253" t="s">
        <v>504</v>
      </c>
      <c r="D253" t="s">
        <v>29</v>
      </c>
      <c r="E253">
        <v>60653</v>
      </c>
    </row>
    <row r="254" spans="1:5" x14ac:dyDescent="0.25">
      <c r="A254">
        <v>8550875457</v>
      </c>
      <c r="B254" t="s">
        <v>505</v>
      </c>
      <c r="C254" t="s">
        <v>506</v>
      </c>
      <c r="D254" t="s">
        <v>7</v>
      </c>
      <c r="E254">
        <v>32108</v>
      </c>
    </row>
    <row r="255" spans="1:5" x14ac:dyDescent="0.25">
      <c r="A255">
        <v>4900475084</v>
      </c>
      <c r="B255" t="s">
        <v>507</v>
      </c>
      <c r="C255" t="s">
        <v>508</v>
      </c>
      <c r="D255" t="s">
        <v>29</v>
      </c>
      <c r="E255">
        <v>62855</v>
      </c>
    </row>
    <row r="256" spans="1:5" x14ac:dyDescent="0.25">
      <c r="A256">
        <v>9458563771</v>
      </c>
      <c r="B256" t="s">
        <v>509</v>
      </c>
      <c r="C256" t="s">
        <v>510</v>
      </c>
      <c r="D256" t="s">
        <v>7</v>
      </c>
      <c r="E256">
        <v>52419</v>
      </c>
    </row>
    <row r="257" spans="1:5" x14ac:dyDescent="0.25">
      <c r="A257">
        <v>715518151</v>
      </c>
      <c r="B257" t="s">
        <v>200</v>
      </c>
      <c r="C257" t="s">
        <v>511</v>
      </c>
      <c r="D257" t="s">
        <v>10</v>
      </c>
      <c r="E257">
        <v>113739</v>
      </c>
    </row>
    <row r="258" spans="1:5" x14ac:dyDescent="0.25">
      <c r="A258">
        <v>9627071331</v>
      </c>
      <c r="B258" t="s">
        <v>512</v>
      </c>
      <c r="C258" t="s">
        <v>513</v>
      </c>
      <c r="D258" t="s">
        <v>10</v>
      </c>
      <c r="E258">
        <v>124372</v>
      </c>
    </row>
    <row r="259" spans="1:5" x14ac:dyDescent="0.25">
      <c r="A259">
        <v>2936088178</v>
      </c>
      <c r="B259" t="s">
        <v>514</v>
      </c>
      <c r="C259" t="s">
        <v>515</v>
      </c>
      <c r="D259" t="s">
        <v>10</v>
      </c>
      <c r="E259">
        <v>76155</v>
      </c>
    </row>
    <row r="260" spans="1:5" x14ac:dyDescent="0.25">
      <c r="A260">
        <v>8373529241</v>
      </c>
      <c r="B260" t="s">
        <v>516</v>
      </c>
      <c r="C260" t="s">
        <v>517</v>
      </c>
      <c r="D260" t="s">
        <v>7</v>
      </c>
      <c r="E260">
        <v>55438</v>
      </c>
    </row>
    <row r="261" spans="1:5" x14ac:dyDescent="0.25">
      <c r="A261">
        <v>7492341709</v>
      </c>
      <c r="B261" t="s">
        <v>518</v>
      </c>
      <c r="C261" t="s">
        <v>519</v>
      </c>
      <c r="D261" t="s">
        <v>7</v>
      </c>
      <c r="E261">
        <v>35089</v>
      </c>
    </row>
    <row r="262" spans="1:5" x14ac:dyDescent="0.25">
      <c r="A262">
        <v>7630993544</v>
      </c>
      <c r="B262" t="s">
        <v>371</v>
      </c>
      <c r="C262" t="s">
        <v>520</v>
      </c>
      <c r="D262" t="s">
        <v>29</v>
      </c>
      <c r="E262">
        <v>51631</v>
      </c>
    </row>
    <row r="263" spans="1:5" x14ac:dyDescent="0.25">
      <c r="A263">
        <v>2053848936</v>
      </c>
      <c r="B263" t="s">
        <v>521</v>
      </c>
      <c r="C263" t="s">
        <v>522</v>
      </c>
      <c r="D263" t="s">
        <v>29</v>
      </c>
      <c r="E263">
        <v>60956</v>
      </c>
    </row>
    <row r="264" spans="1:5" x14ac:dyDescent="0.25">
      <c r="A264">
        <v>1042822263</v>
      </c>
      <c r="B264" t="s">
        <v>523</v>
      </c>
      <c r="C264" t="s">
        <v>524</v>
      </c>
      <c r="D264" t="s">
        <v>10</v>
      </c>
      <c r="E264">
        <v>124023</v>
      </c>
    </row>
    <row r="265" spans="1:5" x14ac:dyDescent="0.25">
      <c r="A265">
        <v>5907724676</v>
      </c>
      <c r="B265" t="s">
        <v>525</v>
      </c>
      <c r="C265" t="s">
        <v>526</v>
      </c>
      <c r="D265" t="s">
        <v>29</v>
      </c>
      <c r="E265">
        <v>75197</v>
      </c>
    </row>
    <row r="266" spans="1:5" x14ac:dyDescent="0.25">
      <c r="A266">
        <v>6462250968</v>
      </c>
      <c r="B266" t="s">
        <v>527</v>
      </c>
      <c r="C266" t="s">
        <v>528</v>
      </c>
      <c r="D266" t="s">
        <v>29</v>
      </c>
      <c r="E266">
        <v>73996</v>
      </c>
    </row>
    <row r="267" spans="1:5" x14ac:dyDescent="0.25">
      <c r="A267">
        <v>819852252</v>
      </c>
      <c r="B267" t="s">
        <v>529</v>
      </c>
      <c r="C267" t="s">
        <v>530</v>
      </c>
      <c r="D267" t="s">
        <v>7</v>
      </c>
      <c r="E267">
        <v>46160</v>
      </c>
    </row>
    <row r="268" spans="1:5" x14ac:dyDescent="0.25">
      <c r="A268">
        <v>8223052873</v>
      </c>
      <c r="B268" t="s">
        <v>531</v>
      </c>
      <c r="C268" t="s">
        <v>532</v>
      </c>
      <c r="D268" t="s">
        <v>29</v>
      </c>
      <c r="E268">
        <v>55779</v>
      </c>
    </row>
    <row r="269" spans="1:5" x14ac:dyDescent="0.25">
      <c r="A269">
        <v>3967370569</v>
      </c>
      <c r="B269" t="s">
        <v>533</v>
      </c>
      <c r="C269" t="s">
        <v>534</v>
      </c>
      <c r="D269" t="s">
        <v>29</v>
      </c>
      <c r="E269">
        <v>72987</v>
      </c>
    </row>
    <row r="270" spans="1:5" x14ac:dyDescent="0.25">
      <c r="A270">
        <v>4175195971</v>
      </c>
      <c r="B270" t="s">
        <v>535</v>
      </c>
      <c r="C270" t="s">
        <v>536</v>
      </c>
      <c r="D270" t="s">
        <v>7</v>
      </c>
      <c r="E270">
        <v>57811</v>
      </c>
    </row>
    <row r="271" spans="1:5" x14ac:dyDescent="0.25">
      <c r="A271">
        <v>7467563949</v>
      </c>
      <c r="B271" t="s">
        <v>537</v>
      </c>
      <c r="C271" t="s">
        <v>538</v>
      </c>
      <c r="D271" t="s">
        <v>7</v>
      </c>
      <c r="E271">
        <v>50682</v>
      </c>
    </row>
    <row r="272" spans="1:5" x14ac:dyDescent="0.25">
      <c r="A272">
        <v>2352201101</v>
      </c>
      <c r="B272" t="s">
        <v>539</v>
      </c>
      <c r="C272" t="s">
        <v>540</v>
      </c>
      <c r="D272" t="s">
        <v>7</v>
      </c>
      <c r="E272">
        <v>56725</v>
      </c>
    </row>
    <row r="273" spans="1:5" x14ac:dyDescent="0.25">
      <c r="A273">
        <v>8519669638</v>
      </c>
      <c r="B273" t="s">
        <v>541</v>
      </c>
      <c r="C273" t="s">
        <v>542</v>
      </c>
      <c r="D273" t="s">
        <v>29</v>
      </c>
      <c r="E273">
        <v>65035</v>
      </c>
    </row>
    <row r="274" spans="1:5" x14ac:dyDescent="0.25">
      <c r="A274">
        <v>1541082834</v>
      </c>
      <c r="B274" t="s">
        <v>543</v>
      </c>
      <c r="C274" t="s">
        <v>544</v>
      </c>
      <c r="D274" t="s">
        <v>29</v>
      </c>
      <c r="E274">
        <v>61060</v>
      </c>
    </row>
    <row r="275" spans="1:5" x14ac:dyDescent="0.25">
      <c r="A275">
        <v>4359854056</v>
      </c>
      <c r="B275" t="s">
        <v>545</v>
      </c>
      <c r="C275" t="s">
        <v>546</v>
      </c>
      <c r="D275" t="s">
        <v>29</v>
      </c>
      <c r="E275">
        <v>77185</v>
      </c>
    </row>
    <row r="276" spans="1:5" x14ac:dyDescent="0.25">
      <c r="A276">
        <v>5990182805</v>
      </c>
      <c r="B276" t="s">
        <v>547</v>
      </c>
      <c r="C276" t="s">
        <v>548</v>
      </c>
      <c r="D276" t="s">
        <v>29</v>
      </c>
      <c r="E276">
        <v>71661</v>
      </c>
    </row>
    <row r="277" spans="1:5" x14ac:dyDescent="0.25">
      <c r="A277">
        <v>19662963</v>
      </c>
      <c r="B277" t="s">
        <v>549</v>
      </c>
      <c r="C277" t="s">
        <v>550</v>
      </c>
      <c r="D277" t="s">
        <v>7</v>
      </c>
      <c r="E277">
        <v>61944</v>
      </c>
    </row>
    <row r="278" spans="1:5" x14ac:dyDescent="0.25">
      <c r="A278">
        <v>8875305560</v>
      </c>
      <c r="B278" t="s">
        <v>551</v>
      </c>
      <c r="C278" t="s">
        <v>552</v>
      </c>
      <c r="D278" t="s">
        <v>29</v>
      </c>
      <c r="E278">
        <v>71613</v>
      </c>
    </row>
    <row r="279" spans="1:5" x14ac:dyDescent="0.25">
      <c r="A279">
        <v>2209340063</v>
      </c>
      <c r="B279" t="s">
        <v>553</v>
      </c>
      <c r="C279" t="s">
        <v>554</v>
      </c>
      <c r="D279" t="s">
        <v>10</v>
      </c>
      <c r="E279">
        <v>111017</v>
      </c>
    </row>
    <row r="280" spans="1:5" x14ac:dyDescent="0.25">
      <c r="A280">
        <v>7462528568</v>
      </c>
      <c r="B280" t="s">
        <v>555</v>
      </c>
      <c r="C280" t="s">
        <v>556</v>
      </c>
      <c r="D280" t="s">
        <v>29</v>
      </c>
      <c r="E280">
        <v>50108</v>
      </c>
    </row>
    <row r="281" spans="1:5" x14ac:dyDescent="0.25">
      <c r="A281">
        <v>7673188813</v>
      </c>
      <c r="B281" t="s">
        <v>557</v>
      </c>
      <c r="C281" t="s">
        <v>558</v>
      </c>
      <c r="D281" t="s">
        <v>29</v>
      </c>
      <c r="E281">
        <v>72533</v>
      </c>
    </row>
    <row r="282" spans="1:5" x14ac:dyDescent="0.25">
      <c r="A282">
        <v>1606657585</v>
      </c>
      <c r="B282" t="s">
        <v>559</v>
      </c>
      <c r="C282" t="s">
        <v>560</v>
      </c>
      <c r="D282" t="s">
        <v>10</v>
      </c>
      <c r="E282">
        <v>83497</v>
      </c>
    </row>
    <row r="283" spans="1:5" x14ac:dyDescent="0.25">
      <c r="A283">
        <v>1249074622</v>
      </c>
      <c r="B283" t="s">
        <v>561</v>
      </c>
      <c r="C283" t="s">
        <v>562</v>
      </c>
      <c r="D283" t="s">
        <v>7</v>
      </c>
      <c r="E283">
        <v>32561</v>
      </c>
    </row>
    <row r="284" spans="1:5" x14ac:dyDescent="0.25">
      <c r="A284">
        <v>6819637888</v>
      </c>
      <c r="B284" t="s">
        <v>563</v>
      </c>
      <c r="C284" t="s">
        <v>564</v>
      </c>
      <c r="D284" t="s">
        <v>7</v>
      </c>
      <c r="E284">
        <v>53401</v>
      </c>
    </row>
    <row r="285" spans="1:5" x14ac:dyDescent="0.25">
      <c r="A285">
        <v>4752702681</v>
      </c>
      <c r="B285" t="s">
        <v>565</v>
      </c>
      <c r="C285" t="s">
        <v>566</v>
      </c>
      <c r="D285" t="s">
        <v>10</v>
      </c>
      <c r="E285">
        <v>93722</v>
      </c>
    </row>
    <row r="286" spans="1:5" x14ac:dyDescent="0.25">
      <c r="A286">
        <v>3792993961</v>
      </c>
      <c r="B286" t="s">
        <v>567</v>
      </c>
      <c r="C286" t="s">
        <v>568</v>
      </c>
      <c r="D286" t="s">
        <v>7</v>
      </c>
      <c r="E286">
        <v>32408</v>
      </c>
    </row>
    <row r="287" spans="1:5" x14ac:dyDescent="0.25">
      <c r="A287">
        <v>2607689635</v>
      </c>
      <c r="B287" t="s">
        <v>569</v>
      </c>
      <c r="C287" t="s">
        <v>570</v>
      </c>
      <c r="D287" t="s">
        <v>29</v>
      </c>
      <c r="E287">
        <v>53124</v>
      </c>
    </row>
    <row r="288" spans="1:5" x14ac:dyDescent="0.25">
      <c r="A288">
        <v>9795921177</v>
      </c>
      <c r="B288" t="s">
        <v>571</v>
      </c>
      <c r="C288" t="s">
        <v>572</v>
      </c>
      <c r="D288" t="s">
        <v>7</v>
      </c>
      <c r="E288">
        <v>63015</v>
      </c>
    </row>
    <row r="289" spans="1:5" x14ac:dyDescent="0.25">
      <c r="A289">
        <v>8757371024</v>
      </c>
      <c r="B289" t="s">
        <v>153</v>
      </c>
      <c r="C289" t="s">
        <v>573</v>
      </c>
      <c r="D289" t="s">
        <v>29</v>
      </c>
      <c r="E289">
        <v>61475</v>
      </c>
    </row>
    <row r="290" spans="1:5" x14ac:dyDescent="0.25">
      <c r="A290">
        <v>9163060264</v>
      </c>
      <c r="B290" t="s">
        <v>574</v>
      </c>
      <c r="C290" t="s">
        <v>575</v>
      </c>
      <c r="D290" t="s">
        <v>29</v>
      </c>
      <c r="E290">
        <v>76433</v>
      </c>
    </row>
    <row r="291" spans="1:5" x14ac:dyDescent="0.25">
      <c r="A291">
        <v>2657442315</v>
      </c>
      <c r="B291" t="s">
        <v>576</v>
      </c>
      <c r="C291" t="s">
        <v>577</v>
      </c>
      <c r="D291" t="s">
        <v>29</v>
      </c>
      <c r="E291">
        <v>58319</v>
      </c>
    </row>
    <row r="292" spans="1:5" x14ac:dyDescent="0.25">
      <c r="A292">
        <v>7635344498</v>
      </c>
      <c r="B292" t="s">
        <v>578</v>
      </c>
      <c r="C292" t="s">
        <v>579</v>
      </c>
      <c r="D292" t="s">
        <v>29</v>
      </c>
      <c r="E292">
        <v>54966</v>
      </c>
    </row>
    <row r="293" spans="1:5" x14ac:dyDescent="0.25">
      <c r="A293">
        <v>977779009</v>
      </c>
      <c r="B293" t="s">
        <v>580</v>
      </c>
      <c r="C293" t="s">
        <v>581</v>
      </c>
      <c r="D293" t="s">
        <v>10</v>
      </c>
      <c r="E293">
        <v>117844</v>
      </c>
    </row>
    <row r="294" spans="1:5" x14ac:dyDescent="0.25">
      <c r="A294">
        <v>7236563277</v>
      </c>
      <c r="B294" t="s">
        <v>582</v>
      </c>
      <c r="C294" t="s">
        <v>583</v>
      </c>
      <c r="D294" t="s">
        <v>29</v>
      </c>
      <c r="E294">
        <v>79502</v>
      </c>
    </row>
    <row r="295" spans="1:5" x14ac:dyDescent="0.25">
      <c r="A295">
        <v>6842911427</v>
      </c>
      <c r="B295" t="s">
        <v>584</v>
      </c>
      <c r="C295" t="s">
        <v>585</v>
      </c>
      <c r="D295" t="s">
        <v>29</v>
      </c>
      <c r="E295">
        <v>54689</v>
      </c>
    </row>
    <row r="296" spans="1:5" x14ac:dyDescent="0.25">
      <c r="A296">
        <v>8875320292</v>
      </c>
      <c r="B296" t="s">
        <v>586</v>
      </c>
      <c r="C296" t="s">
        <v>587</v>
      </c>
      <c r="D296" t="s">
        <v>10</v>
      </c>
      <c r="E296">
        <v>95121</v>
      </c>
    </row>
    <row r="297" spans="1:5" x14ac:dyDescent="0.25">
      <c r="A297">
        <v>6842797632</v>
      </c>
      <c r="B297" t="s">
        <v>588</v>
      </c>
      <c r="C297" t="s">
        <v>589</v>
      </c>
      <c r="D297" t="s">
        <v>7</v>
      </c>
      <c r="E297">
        <v>56368</v>
      </c>
    </row>
    <row r="298" spans="1:5" x14ac:dyDescent="0.25">
      <c r="A298">
        <v>4219825649</v>
      </c>
      <c r="B298" t="s">
        <v>590</v>
      </c>
      <c r="C298" t="s">
        <v>591</v>
      </c>
      <c r="D298" t="s">
        <v>10</v>
      </c>
      <c r="E298">
        <v>102823</v>
      </c>
    </row>
    <row r="299" spans="1:5" x14ac:dyDescent="0.25">
      <c r="A299">
        <v>7775126329</v>
      </c>
      <c r="B299" t="s">
        <v>592</v>
      </c>
      <c r="C299" t="s">
        <v>593</v>
      </c>
      <c r="D299" t="s">
        <v>7</v>
      </c>
      <c r="E299">
        <v>30158</v>
      </c>
    </row>
    <row r="300" spans="1:5" x14ac:dyDescent="0.25">
      <c r="A300">
        <v>9340547551</v>
      </c>
      <c r="B300" t="s">
        <v>594</v>
      </c>
      <c r="C300" t="s">
        <v>595</v>
      </c>
      <c r="D300" t="s">
        <v>29</v>
      </c>
      <c r="E300">
        <v>50051</v>
      </c>
    </row>
    <row r="301" spans="1:5" x14ac:dyDescent="0.25">
      <c r="A301">
        <v>6255831884</v>
      </c>
      <c r="B301" t="s">
        <v>596</v>
      </c>
      <c r="C301" t="s">
        <v>597</v>
      </c>
      <c r="D301" t="s">
        <v>29</v>
      </c>
      <c r="E301">
        <v>53391</v>
      </c>
    </row>
    <row r="302" spans="1:5" x14ac:dyDescent="0.25">
      <c r="A302">
        <v>2922893758</v>
      </c>
      <c r="B302" t="s">
        <v>598</v>
      </c>
      <c r="C302" t="s">
        <v>599</v>
      </c>
      <c r="D302" t="s">
        <v>7</v>
      </c>
      <c r="E302">
        <v>36222</v>
      </c>
    </row>
    <row r="303" spans="1:5" x14ac:dyDescent="0.25">
      <c r="A303">
        <v>8685064791</v>
      </c>
      <c r="B303" t="s">
        <v>600</v>
      </c>
      <c r="C303" t="s">
        <v>601</v>
      </c>
      <c r="D303" t="s">
        <v>29</v>
      </c>
      <c r="E303">
        <v>74711</v>
      </c>
    </row>
    <row r="304" spans="1:5" x14ac:dyDescent="0.25">
      <c r="A304">
        <v>6109997811</v>
      </c>
      <c r="B304" t="s">
        <v>602</v>
      </c>
      <c r="C304" t="s">
        <v>603</v>
      </c>
      <c r="D304" t="s">
        <v>29</v>
      </c>
      <c r="E304">
        <v>71286</v>
      </c>
    </row>
    <row r="305" spans="1:5" x14ac:dyDescent="0.25">
      <c r="A305">
        <v>784224471</v>
      </c>
      <c r="B305" t="s">
        <v>604</v>
      </c>
      <c r="C305" t="s">
        <v>605</v>
      </c>
      <c r="D305" t="s">
        <v>10</v>
      </c>
      <c r="E305">
        <v>122759</v>
      </c>
    </row>
    <row r="306" spans="1:5" x14ac:dyDescent="0.25">
      <c r="A306">
        <v>8157157730</v>
      </c>
      <c r="B306" t="s">
        <v>606</v>
      </c>
      <c r="C306" t="s">
        <v>607</v>
      </c>
      <c r="D306" t="s">
        <v>29</v>
      </c>
      <c r="E306">
        <v>73567</v>
      </c>
    </row>
    <row r="307" spans="1:5" x14ac:dyDescent="0.25">
      <c r="A307">
        <v>62571575</v>
      </c>
      <c r="B307" t="s">
        <v>608</v>
      </c>
      <c r="C307" t="s">
        <v>609</v>
      </c>
      <c r="D307" t="s">
        <v>10</v>
      </c>
      <c r="E307">
        <v>121308</v>
      </c>
    </row>
    <row r="308" spans="1:5" x14ac:dyDescent="0.25">
      <c r="A308">
        <v>1754740677</v>
      </c>
      <c r="B308" t="s">
        <v>359</v>
      </c>
      <c r="C308" t="s">
        <v>610</v>
      </c>
      <c r="D308" t="s">
        <v>7</v>
      </c>
      <c r="E308">
        <v>51559</v>
      </c>
    </row>
    <row r="309" spans="1:5" x14ac:dyDescent="0.25">
      <c r="A309">
        <v>7957976743</v>
      </c>
      <c r="B309" t="s">
        <v>611</v>
      </c>
      <c r="C309" t="s">
        <v>612</v>
      </c>
      <c r="D309" t="s">
        <v>7</v>
      </c>
      <c r="E309">
        <v>37175</v>
      </c>
    </row>
    <row r="310" spans="1:5" x14ac:dyDescent="0.25">
      <c r="A310">
        <v>2497321256</v>
      </c>
      <c r="B310" t="s">
        <v>613</v>
      </c>
      <c r="C310" t="s">
        <v>614</v>
      </c>
      <c r="D310" t="s">
        <v>10</v>
      </c>
      <c r="E310">
        <v>95857</v>
      </c>
    </row>
    <row r="311" spans="1:5" x14ac:dyDescent="0.25">
      <c r="A311">
        <v>1628738227</v>
      </c>
      <c r="B311" t="s">
        <v>615</v>
      </c>
      <c r="C311" t="s">
        <v>616</v>
      </c>
      <c r="D311" t="s">
        <v>29</v>
      </c>
      <c r="E311">
        <v>53204</v>
      </c>
    </row>
    <row r="312" spans="1:5" x14ac:dyDescent="0.25">
      <c r="A312">
        <v>7192290785</v>
      </c>
      <c r="B312" t="s">
        <v>617</v>
      </c>
      <c r="C312" t="s">
        <v>618</v>
      </c>
      <c r="D312" t="s">
        <v>7</v>
      </c>
      <c r="E312">
        <v>32187</v>
      </c>
    </row>
    <row r="313" spans="1:5" x14ac:dyDescent="0.25">
      <c r="A313">
        <v>3915983489</v>
      </c>
      <c r="B313" t="s">
        <v>619</v>
      </c>
      <c r="C313" t="s">
        <v>620</v>
      </c>
      <c r="D313" t="s">
        <v>7</v>
      </c>
      <c r="E313">
        <v>47584</v>
      </c>
    </row>
    <row r="314" spans="1:5" x14ac:dyDescent="0.25">
      <c r="A314">
        <v>3127459866</v>
      </c>
      <c r="B314" t="s">
        <v>621</v>
      </c>
      <c r="C314" t="s">
        <v>622</v>
      </c>
      <c r="D314" t="s">
        <v>10</v>
      </c>
      <c r="E314">
        <v>93001</v>
      </c>
    </row>
    <row r="315" spans="1:5" x14ac:dyDescent="0.25">
      <c r="A315">
        <v>1296185559</v>
      </c>
      <c r="B315" t="s">
        <v>623</v>
      </c>
      <c r="C315" t="s">
        <v>624</v>
      </c>
      <c r="D315" t="s">
        <v>10</v>
      </c>
      <c r="E315">
        <v>83229</v>
      </c>
    </row>
    <row r="316" spans="1:5" x14ac:dyDescent="0.25">
      <c r="A316">
        <v>2230983466</v>
      </c>
      <c r="B316" t="s">
        <v>625</v>
      </c>
      <c r="C316" t="s">
        <v>626</v>
      </c>
      <c r="D316" t="s">
        <v>10</v>
      </c>
      <c r="E316">
        <v>75997</v>
      </c>
    </row>
    <row r="317" spans="1:5" x14ac:dyDescent="0.25">
      <c r="A317">
        <v>1313434965</v>
      </c>
      <c r="B317" t="s">
        <v>402</v>
      </c>
      <c r="C317" t="s">
        <v>627</v>
      </c>
      <c r="D317" t="s">
        <v>29</v>
      </c>
      <c r="E317">
        <v>72359</v>
      </c>
    </row>
    <row r="318" spans="1:5" x14ac:dyDescent="0.25">
      <c r="A318">
        <v>5138969978</v>
      </c>
      <c r="B318" t="s">
        <v>628</v>
      </c>
      <c r="C318" t="s">
        <v>629</v>
      </c>
      <c r="D318" t="s">
        <v>29</v>
      </c>
      <c r="E318">
        <v>69082</v>
      </c>
    </row>
    <row r="319" spans="1:5" x14ac:dyDescent="0.25">
      <c r="A319">
        <v>4610039311</v>
      </c>
      <c r="B319" t="s">
        <v>630</v>
      </c>
      <c r="C319" t="s">
        <v>631</v>
      </c>
      <c r="D319" t="s">
        <v>10</v>
      </c>
      <c r="E319">
        <v>80298</v>
      </c>
    </row>
    <row r="320" spans="1:5" x14ac:dyDescent="0.25">
      <c r="A320">
        <v>1155371844</v>
      </c>
      <c r="B320" t="s">
        <v>632</v>
      </c>
      <c r="C320" t="s">
        <v>633</v>
      </c>
      <c r="D320" t="s">
        <v>29</v>
      </c>
      <c r="E320">
        <v>55343</v>
      </c>
    </row>
    <row r="321" spans="1:5" x14ac:dyDescent="0.25">
      <c r="A321">
        <v>7885796000</v>
      </c>
      <c r="B321" t="s">
        <v>634</v>
      </c>
      <c r="C321" t="s">
        <v>635</v>
      </c>
      <c r="D321" t="s">
        <v>29</v>
      </c>
      <c r="E321">
        <v>63741</v>
      </c>
    </row>
    <row r="322" spans="1:5" x14ac:dyDescent="0.25">
      <c r="A322">
        <v>9104569016</v>
      </c>
      <c r="B322" t="s">
        <v>636</v>
      </c>
      <c r="C322" t="s">
        <v>637</v>
      </c>
      <c r="D322" t="s">
        <v>29</v>
      </c>
      <c r="E322">
        <v>74551</v>
      </c>
    </row>
    <row r="323" spans="1:5" x14ac:dyDescent="0.25">
      <c r="A323">
        <v>7462961601</v>
      </c>
      <c r="B323" t="s">
        <v>638</v>
      </c>
      <c r="C323" t="s">
        <v>639</v>
      </c>
      <c r="D323" t="s">
        <v>7</v>
      </c>
      <c r="E323">
        <v>39503</v>
      </c>
    </row>
    <row r="324" spans="1:5" x14ac:dyDescent="0.25">
      <c r="A324">
        <v>8664054479</v>
      </c>
      <c r="B324" t="s">
        <v>640</v>
      </c>
      <c r="C324" t="s">
        <v>641</v>
      </c>
      <c r="D324" t="s">
        <v>10</v>
      </c>
      <c r="E324">
        <v>121781</v>
      </c>
    </row>
    <row r="325" spans="1:5" x14ac:dyDescent="0.25">
      <c r="A325">
        <v>6283719635</v>
      </c>
      <c r="B325" t="s">
        <v>642</v>
      </c>
      <c r="C325" t="s">
        <v>643</v>
      </c>
      <c r="D325" t="s">
        <v>29</v>
      </c>
      <c r="E325">
        <v>59500</v>
      </c>
    </row>
    <row r="326" spans="1:5" x14ac:dyDescent="0.25">
      <c r="A326">
        <v>5347887761</v>
      </c>
      <c r="B326" t="s">
        <v>644</v>
      </c>
      <c r="C326" t="s">
        <v>645</v>
      </c>
      <c r="D326" t="s">
        <v>29</v>
      </c>
      <c r="E326">
        <v>77465</v>
      </c>
    </row>
    <row r="327" spans="1:5" x14ac:dyDescent="0.25">
      <c r="A327">
        <v>4323171323</v>
      </c>
      <c r="B327" t="s">
        <v>646</v>
      </c>
      <c r="C327" t="s">
        <v>647</v>
      </c>
      <c r="D327" t="s">
        <v>29</v>
      </c>
      <c r="E327">
        <v>59667</v>
      </c>
    </row>
    <row r="328" spans="1:5" x14ac:dyDescent="0.25">
      <c r="A328">
        <v>3000763902</v>
      </c>
      <c r="B328" t="s">
        <v>648</v>
      </c>
      <c r="C328" t="s">
        <v>649</v>
      </c>
      <c r="D328" t="s">
        <v>10</v>
      </c>
      <c r="E328">
        <v>109550</v>
      </c>
    </row>
    <row r="329" spans="1:5" x14ac:dyDescent="0.25">
      <c r="A329">
        <v>5814713100</v>
      </c>
      <c r="B329" t="s">
        <v>650</v>
      </c>
      <c r="C329" t="s">
        <v>651</v>
      </c>
      <c r="D329" t="s">
        <v>29</v>
      </c>
      <c r="E329">
        <v>50467</v>
      </c>
    </row>
    <row r="330" spans="1:5" x14ac:dyDescent="0.25">
      <c r="A330">
        <v>2973481236</v>
      </c>
      <c r="B330" t="s">
        <v>652</v>
      </c>
      <c r="C330" t="s">
        <v>653</v>
      </c>
      <c r="D330" t="s">
        <v>7</v>
      </c>
      <c r="E330">
        <v>62190</v>
      </c>
    </row>
    <row r="331" spans="1:5" x14ac:dyDescent="0.25">
      <c r="A331">
        <v>5285704227</v>
      </c>
      <c r="B331" t="s">
        <v>654</v>
      </c>
      <c r="C331" t="s">
        <v>655</v>
      </c>
      <c r="D331" t="s">
        <v>10</v>
      </c>
      <c r="E331">
        <v>101533</v>
      </c>
    </row>
    <row r="332" spans="1:5" x14ac:dyDescent="0.25">
      <c r="A332">
        <v>2185059785</v>
      </c>
      <c r="B332" t="s">
        <v>656</v>
      </c>
      <c r="C332" t="s">
        <v>657</v>
      </c>
      <c r="D332" t="s">
        <v>10</v>
      </c>
      <c r="E332">
        <v>108166</v>
      </c>
    </row>
    <row r="333" spans="1:5" x14ac:dyDescent="0.25">
      <c r="A333">
        <v>3904109642</v>
      </c>
      <c r="B333" t="s">
        <v>658</v>
      </c>
      <c r="C333" t="s">
        <v>659</v>
      </c>
      <c r="D333" t="s">
        <v>7</v>
      </c>
      <c r="E333">
        <v>49695</v>
      </c>
    </row>
    <row r="334" spans="1:5" x14ac:dyDescent="0.25">
      <c r="A334">
        <v>8239612253</v>
      </c>
      <c r="B334" t="s">
        <v>660</v>
      </c>
      <c r="C334" t="s">
        <v>661</v>
      </c>
      <c r="D334" t="s">
        <v>10</v>
      </c>
      <c r="E334">
        <v>81730</v>
      </c>
    </row>
    <row r="335" spans="1:5" x14ac:dyDescent="0.25">
      <c r="A335">
        <v>5422052862</v>
      </c>
      <c r="B335" t="s">
        <v>662</v>
      </c>
      <c r="C335" t="s">
        <v>663</v>
      </c>
      <c r="D335" t="s">
        <v>29</v>
      </c>
      <c r="E335">
        <v>63500</v>
      </c>
    </row>
    <row r="336" spans="1:5" x14ac:dyDescent="0.25">
      <c r="A336">
        <v>8017115954</v>
      </c>
      <c r="B336" t="s">
        <v>664</v>
      </c>
      <c r="C336" t="s">
        <v>665</v>
      </c>
      <c r="D336" t="s">
        <v>29</v>
      </c>
      <c r="E336">
        <v>53058</v>
      </c>
    </row>
    <row r="337" spans="1:5" x14ac:dyDescent="0.25">
      <c r="A337">
        <v>9939542542</v>
      </c>
      <c r="B337" t="s">
        <v>666</v>
      </c>
      <c r="C337" t="s">
        <v>667</v>
      </c>
      <c r="D337" t="s">
        <v>10</v>
      </c>
      <c r="E337">
        <v>85588</v>
      </c>
    </row>
    <row r="338" spans="1:5" x14ac:dyDescent="0.25">
      <c r="A338">
        <v>4194897803</v>
      </c>
      <c r="B338" t="s">
        <v>668</v>
      </c>
      <c r="C338" t="s">
        <v>669</v>
      </c>
      <c r="D338" t="s">
        <v>29</v>
      </c>
      <c r="E338">
        <v>73193</v>
      </c>
    </row>
    <row r="339" spans="1:5" x14ac:dyDescent="0.25">
      <c r="A339">
        <v>9052475601</v>
      </c>
      <c r="B339" t="s">
        <v>670</v>
      </c>
      <c r="C339" t="s">
        <v>671</v>
      </c>
      <c r="D339" t="s">
        <v>10</v>
      </c>
      <c r="E339">
        <v>77596</v>
      </c>
    </row>
    <row r="340" spans="1:5" x14ac:dyDescent="0.25">
      <c r="A340">
        <v>6402318035</v>
      </c>
      <c r="B340" t="s">
        <v>672</v>
      </c>
      <c r="C340" t="s">
        <v>673</v>
      </c>
      <c r="D340" t="s">
        <v>7</v>
      </c>
      <c r="E340">
        <v>51501</v>
      </c>
    </row>
    <row r="341" spans="1:5" x14ac:dyDescent="0.25">
      <c r="A341">
        <v>7281103514</v>
      </c>
      <c r="B341" t="s">
        <v>674</v>
      </c>
      <c r="C341" t="s">
        <v>675</v>
      </c>
      <c r="D341" t="s">
        <v>29</v>
      </c>
      <c r="E341">
        <v>56065</v>
      </c>
    </row>
    <row r="342" spans="1:5" x14ac:dyDescent="0.25">
      <c r="A342">
        <v>6358114417</v>
      </c>
      <c r="B342" t="s">
        <v>676</v>
      </c>
      <c r="C342" t="s">
        <v>677</v>
      </c>
      <c r="D342" t="s">
        <v>29</v>
      </c>
      <c r="E342">
        <v>51000</v>
      </c>
    </row>
    <row r="343" spans="1:5" x14ac:dyDescent="0.25">
      <c r="A343">
        <v>8703756602</v>
      </c>
      <c r="B343" t="s">
        <v>325</v>
      </c>
      <c r="C343" t="s">
        <v>678</v>
      </c>
      <c r="D343" t="s">
        <v>7</v>
      </c>
      <c r="E343">
        <v>54119</v>
      </c>
    </row>
    <row r="344" spans="1:5" x14ac:dyDescent="0.25">
      <c r="A344">
        <v>5861892008</v>
      </c>
      <c r="B344" t="s">
        <v>679</v>
      </c>
      <c r="C344" t="s">
        <v>680</v>
      </c>
      <c r="D344" t="s">
        <v>10</v>
      </c>
      <c r="E344">
        <v>98780</v>
      </c>
    </row>
    <row r="345" spans="1:5" x14ac:dyDescent="0.25">
      <c r="A345">
        <v>1268934771</v>
      </c>
      <c r="B345" t="s">
        <v>681</v>
      </c>
      <c r="C345" t="s">
        <v>682</v>
      </c>
      <c r="D345" t="s">
        <v>29</v>
      </c>
      <c r="E345">
        <v>50003</v>
      </c>
    </row>
    <row r="346" spans="1:5" x14ac:dyDescent="0.25">
      <c r="A346">
        <v>532074068</v>
      </c>
      <c r="B346" t="s">
        <v>683</v>
      </c>
      <c r="C346" t="s">
        <v>684</v>
      </c>
      <c r="D346" t="s">
        <v>29</v>
      </c>
      <c r="E346">
        <v>58609</v>
      </c>
    </row>
    <row r="347" spans="1:5" x14ac:dyDescent="0.25">
      <c r="A347">
        <v>1439916314</v>
      </c>
      <c r="B347" t="s">
        <v>685</v>
      </c>
      <c r="C347" t="s">
        <v>686</v>
      </c>
      <c r="D347" t="s">
        <v>7</v>
      </c>
      <c r="E347">
        <v>48869</v>
      </c>
    </row>
    <row r="348" spans="1:5" x14ac:dyDescent="0.25">
      <c r="A348">
        <v>1992195951</v>
      </c>
      <c r="B348" t="s">
        <v>687</v>
      </c>
      <c r="C348" t="s">
        <v>688</v>
      </c>
      <c r="D348" t="s">
        <v>7</v>
      </c>
      <c r="E348">
        <v>49870</v>
      </c>
    </row>
    <row r="349" spans="1:5" x14ac:dyDescent="0.25">
      <c r="A349">
        <v>7054972058</v>
      </c>
      <c r="B349" t="s">
        <v>689</v>
      </c>
      <c r="C349" t="s">
        <v>690</v>
      </c>
      <c r="D349" t="s">
        <v>29</v>
      </c>
      <c r="E349">
        <v>75430</v>
      </c>
    </row>
    <row r="350" spans="1:5" x14ac:dyDescent="0.25">
      <c r="A350">
        <v>222477806</v>
      </c>
      <c r="B350" t="s">
        <v>691</v>
      </c>
      <c r="C350" t="s">
        <v>692</v>
      </c>
      <c r="D350" t="s">
        <v>10</v>
      </c>
      <c r="E350">
        <v>87484</v>
      </c>
    </row>
    <row r="351" spans="1:5" x14ac:dyDescent="0.25">
      <c r="A351">
        <v>509389570</v>
      </c>
      <c r="B351" t="s">
        <v>693</v>
      </c>
      <c r="C351" t="s">
        <v>694</v>
      </c>
      <c r="D351" t="s">
        <v>10</v>
      </c>
      <c r="E351">
        <v>89634</v>
      </c>
    </row>
    <row r="352" spans="1:5" x14ac:dyDescent="0.25">
      <c r="A352">
        <v>1888605537</v>
      </c>
      <c r="B352" t="s">
        <v>695</v>
      </c>
      <c r="C352" t="s">
        <v>696</v>
      </c>
      <c r="D352" t="s">
        <v>29</v>
      </c>
      <c r="E352">
        <v>72427</v>
      </c>
    </row>
    <row r="353" spans="1:5" x14ac:dyDescent="0.25">
      <c r="A353">
        <v>5068508845</v>
      </c>
      <c r="B353" t="s">
        <v>697</v>
      </c>
      <c r="C353" t="s">
        <v>698</v>
      </c>
      <c r="D353" t="s">
        <v>29</v>
      </c>
      <c r="E353">
        <v>63652</v>
      </c>
    </row>
    <row r="354" spans="1:5" x14ac:dyDescent="0.25">
      <c r="A354">
        <v>8189289020</v>
      </c>
      <c r="B354" t="s">
        <v>699</v>
      </c>
      <c r="C354" t="s">
        <v>700</v>
      </c>
      <c r="D354" t="s">
        <v>10</v>
      </c>
      <c r="E354">
        <v>112300</v>
      </c>
    </row>
    <row r="355" spans="1:5" x14ac:dyDescent="0.25">
      <c r="A355">
        <v>5603330430</v>
      </c>
      <c r="B355" t="s">
        <v>701</v>
      </c>
      <c r="C355" t="s">
        <v>702</v>
      </c>
      <c r="D355" t="s">
        <v>29</v>
      </c>
      <c r="E355">
        <v>57267</v>
      </c>
    </row>
    <row r="356" spans="1:5" x14ac:dyDescent="0.25">
      <c r="A356">
        <v>3642988458</v>
      </c>
      <c r="B356" t="s">
        <v>703</v>
      </c>
      <c r="C356" t="s">
        <v>704</v>
      </c>
      <c r="D356" t="s">
        <v>29</v>
      </c>
      <c r="E356">
        <v>79142</v>
      </c>
    </row>
    <row r="357" spans="1:5" x14ac:dyDescent="0.25">
      <c r="A357">
        <v>299663825</v>
      </c>
      <c r="B357" t="s">
        <v>250</v>
      </c>
      <c r="C357" t="s">
        <v>705</v>
      </c>
      <c r="D357" t="s">
        <v>29</v>
      </c>
      <c r="E357">
        <v>51063</v>
      </c>
    </row>
    <row r="358" spans="1:5" x14ac:dyDescent="0.25">
      <c r="A358">
        <v>4759627103</v>
      </c>
      <c r="B358" t="s">
        <v>706</v>
      </c>
      <c r="C358" t="s">
        <v>707</v>
      </c>
      <c r="D358" t="s">
        <v>29</v>
      </c>
      <c r="E358">
        <v>75032</v>
      </c>
    </row>
    <row r="359" spans="1:5" x14ac:dyDescent="0.25">
      <c r="A359">
        <v>2292892200</v>
      </c>
      <c r="B359" t="s">
        <v>708</v>
      </c>
      <c r="C359" t="s">
        <v>709</v>
      </c>
      <c r="D359" t="s">
        <v>29</v>
      </c>
      <c r="E359">
        <v>66242</v>
      </c>
    </row>
    <row r="360" spans="1:5" x14ac:dyDescent="0.25">
      <c r="A360">
        <v>7516977292</v>
      </c>
      <c r="B360" t="s">
        <v>710</v>
      </c>
      <c r="C360" t="s">
        <v>711</v>
      </c>
      <c r="D360" t="s">
        <v>10</v>
      </c>
      <c r="E360">
        <v>89295</v>
      </c>
    </row>
    <row r="361" spans="1:5" x14ac:dyDescent="0.25">
      <c r="A361">
        <v>994826516</v>
      </c>
      <c r="B361" t="s">
        <v>712</v>
      </c>
      <c r="C361" t="s">
        <v>713</v>
      </c>
      <c r="D361" t="s">
        <v>7</v>
      </c>
      <c r="E361">
        <v>32317</v>
      </c>
    </row>
    <row r="362" spans="1:5" x14ac:dyDescent="0.25">
      <c r="A362">
        <v>87033755</v>
      </c>
      <c r="B362" t="s">
        <v>714</v>
      </c>
      <c r="C362" t="s">
        <v>715</v>
      </c>
      <c r="D362" t="s">
        <v>7</v>
      </c>
      <c r="E362">
        <v>51861</v>
      </c>
    </row>
    <row r="363" spans="1:5" x14ac:dyDescent="0.25">
      <c r="A363">
        <v>9373778889</v>
      </c>
      <c r="B363" t="s">
        <v>716</v>
      </c>
      <c r="C363" t="s">
        <v>717</v>
      </c>
      <c r="D363" t="s">
        <v>10</v>
      </c>
      <c r="E363">
        <v>82655</v>
      </c>
    </row>
    <row r="364" spans="1:5" x14ac:dyDescent="0.25">
      <c r="A364">
        <v>4074728869</v>
      </c>
      <c r="B364" t="s">
        <v>718</v>
      </c>
      <c r="C364" t="s">
        <v>719</v>
      </c>
      <c r="D364" t="s">
        <v>29</v>
      </c>
      <c r="E364">
        <v>72698</v>
      </c>
    </row>
    <row r="365" spans="1:5" x14ac:dyDescent="0.25">
      <c r="A365">
        <v>6148303353</v>
      </c>
      <c r="B365" t="s">
        <v>720</v>
      </c>
      <c r="C365" t="s">
        <v>721</v>
      </c>
      <c r="D365" t="s">
        <v>10</v>
      </c>
      <c r="E365">
        <v>118836</v>
      </c>
    </row>
    <row r="366" spans="1:5" x14ac:dyDescent="0.25">
      <c r="A366">
        <v>4716524892</v>
      </c>
      <c r="B366" t="s">
        <v>722</v>
      </c>
      <c r="C366" t="s">
        <v>723</v>
      </c>
      <c r="D366" t="s">
        <v>29</v>
      </c>
      <c r="E366">
        <v>79201</v>
      </c>
    </row>
    <row r="367" spans="1:5" x14ac:dyDescent="0.25">
      <c r="A367">
        <v>5811999097</v>
      </c>
      <c r="B367" t="s">
        <v>724</v>
      </c>
      <c r="C367" t="s">
        <v>725</v>
      </c>
      <c r="D367" t="s">
        <v>7</v>
      </c>
      <c r="E367">
        <v>41580</v>
      </c>
    </row>
    <row r="368" spans="1:5" x14ac:dyDescent="0.25">
      <c r="A368">
        <v>1518783783</v>
      </c>
      <c r="B368" t="s">
        <v>726</v>
      </c>
      <c r="C368" t="s">
        <v>727</v>
      </c>
      <c r="D368" t="s">
        <v>7</v>
      </c>
      <c r="E368">
        <v>30311</v>
      </c>
    </row>
    <row r="369" spans="1:5" x14ac:dyDescent="0.25">
      <c r="A369">
        <v>5913755731</v>
      </c>
      <c r="B369" t="s">
        <v>728</v>
      </c>
      <c r="C369" t="s">
        <v>729</v>
      </c>
      <c r="D369" t="s">
        <v>29</v>
      </c>
      <c r="E369">
        <v>51706</v>
      </c>
    </row>
    <row r="370" spans="1:5" x14ac:dyDescent="0.25">
      <c r="A370">
        <v>4192879565</v>
      </c>
      <c r="B370" t="s">
        <v>730</v>
      </c>
      <c r="C370" t="s">
        <v>731</v>
      </c>
      <c r="D370" t="s">
        <v>29</v>
      </c>
      <c r="E370">
        <v>57704</v>
      </c>
    </row>
    <row r="371" spans="1:5" x14ac:dyDescent="0.25">
      <c r="A371">
        <v>6487054410</v>
      </c>
      <c r="B371" t="s">
        <v>561</v>
      </c>
      <c r="C371" t="s">
        <v>732</v>
      </c>
      <c r="D371" t="s">
        <v>29</v>
      </c>
      <c r="E371">
        <v>64256</v>
      </c>
    </row>
    <row r="372" spans="1:5" x14ac:dyDescent="0.25">
      <c r="A372">
        <v>9829586073</v>
      </c>
      <c r="B372" t="s">
        <v>733</v>
      </c>
      <c r="C372" t="s">
        <v>734</v>
      </c>
      <c r="D372" t="s">
        <v>10</v>
      </c>
      <c r="E372">
        <v>88725</v>
      </c>
    </row>
    <row r="373" spans="1:5" x14ac:dyDescent="0.25">
      <c r="A373">
        <v>8289594380</v>
      </c>
      <c r="B373" t="s">
        <v>735</v>
      </c>
      <c r="C373" t="s">
        <v>736</v>
      </c>
      <c r="D373" t="s">
        <v>7</v>
      </c>
      <c r="E373">
        <v>37040</v>
      </c>
    </row>
    <row r="374" spans="1:5" x14ac:dyDescent="0.25">
      <c r="A374">
        <v>1014658829</v>
      </c>
      <c r="B374" t="s">
        <v>737</v>
      </c>
      <c r="C374" t="s">
        <v>738</v>
      </c>
      <c r="D374" t="s">
        <v>29</v>
      </c>
      <c r="E374">
        <v>71890</v>
      </c>
    </row>
    <row r="375" spans="1:5" x14ac:dyDescent="0.25">
      <c r="A375">
        <v>1444572199</v>
      </c>
      <c r="B375" t="s">
        <v>739</v>
      </c>
      <c r="C375" t="s">
        <v>740</v>
      </c>
      <c r="D375" t="s">
        <v>10</v>
      </c>
      <c r="E375">
        <v>120364</v>
      </c>
    </row>
    <row r="376" spans="1:5" x14ac:dyDescent="0.25">
      <c r="A376">
        <v>8302317314</v>
      </c>
      <c r="B376" t="s">
        <v>741</v>
      </c>
      <c r="C376" t="s">
        <v>742</v>
      </c>
      <c r="D376" t="s">
        <v>10</v>
      </c>
      <c r="E376">
        <v>75594</v>
      </c>
    </row>
    <row r="377" spans="1:5" x14ac:dyDescent="0.25">
      <c r="A377">
        <v>6380488901</v>
      </c>
      <c r="B377" t="s">
        <v>743</v>
      </c>
      <c r="C377" t="s">
        <v>744</v>
      </c>
      <c r="D377" t="s">
        <v>7</v>
      </c>
      <c r="E377">
        <v>33308</v>
      </c>
    </row>
    <row r="378" spans="1:5" x14ac:dyDescent="0.25">
      <c r="A378">
        <v>7645724897</v>
      </c>
      <c r="B378" t="s">
        <v>745</v>
      </c>
      <c r="C378" t="s">
        <v>746</v>
      </c>
      <c r="D378" t="s">
        <v>29</v>
      </c>
      <c r="E378">
        <v>75174</v>
      </c>
    </row>
    <row r="379" spans="1:5" x14ac:dyDescent="0.25">
      <c r="A379">
        <v>6375014751</v>
      </c>
      <c r="B379" t="s">
        <v>747</v>
      </c>
      <c r="C379" t="s">
        <v>748</v>
      </c>
      <c r="D379" t="s">
        <v>7</v>
      </c>
      <c r="E379">
        <v>56888</v>
      </c>
    </row>
    <row r="380" spans="1:5" x14ac:dyDescent="0.25">
      <c r="A380">
        <v>8568859739</v>
      </c>
      <c r="B380" t="s">
        <v>749</v>
      </c>
      <c r="C380" t="s">
        <v>750</v>
      </c>
      <c r="D380" t="s">
        <v>10</v>
      </c>
      <c r="E380">
        <v>81228</v>
      </c>
    </row>
    <row r="381" spans="1:5" x14ac:dyDescent="0.25">
      <c r="A381">
        <v>6836716731</v>
      </c>
      <c r="B381" t="s">
        <v>751</v>
      </c>
      <c r="C381" t="s">
        <v>752</v>
      </c>
      <c r="D381" t="s">
        <v>10</v>
      </c>
      <c r="E381">
        <v>91423</v>
      </c>
    </row>
    <row r="382" spans="1:5" x14ac:dyDescent="0.25">
      <c r="A382">
        <v>4011453366</v>
      </c>
      <c r="B382" t="s">
        <v>753</v>
      </c>
      <c r="C382" t="s">
        <v>754</v>
      </c>
      <c r="D382" t="s">
        <v>10</v>
      </c>
      <c r="E382">
        <v>113851</v>
      </c>
    </row>
    <row r="383" spans="1:5" x14ac:dyDescent="0.25">
      <c r="A383">
        <v>2740930763</v>
      </c>
      <c r="B383" t="s">
        <v>755</v>
      </c>
      <c r="C383" t="s">
        <v>756</v>
      </c>
      <c r="D383" t="s">
        <v>10</v>
      </c>
      <c r="E383">
        <v>123658</v>
      </c>
    </row>
    <row r="384" spans="1:5" x14ac:dyDescent="0.25">
      <c r="A384">
        <v>2355104786</v>
      </c>
      <c r="B384" t="s">
        <v>757</v>
      </c>
      <c r="C384" t="s">
        <v>758</v>
      </c>
      <c r="D384" t="s">
        <v>29</v>
      </c>
      <c r="E384">
        <v>78796</v>
      </c>
    </row>
    <row r="385" spans="1:5" x14ac:dyDescent="0.25">
      <c r="A385">
        <v>6890491998</v>
      </c>
      <c r="B385" t="s">
        <v>759</v>
      </c>
      <c r="C385" t="s">
        <v>760</v>
      </c>
      <c r="D385" t="s">
        <v>10</v>
      </c>
      <c r="E385">
        <v>114550</v>
      </c>
    </row>
    <row r="386" spans="1:5" x14ac:dyDescent="0.25">
      <c r="A386">
        <v>2757793764</v>
      </c>
      <c r="B386" t="s">
        <v>761</v>
      </c>
      <c r="C386" t="s">
        <v>762</v>
      </c>
      <c r="D386" t="s">
        <v>10</v>
      </c>
      <c r="E386">
        <v>91521</v>
      </c>
    </row>
    <row r="387" spans="1:5" x14ac:dyDescent="0.25">
      <c r="A387">
        <v>1787288307</v>
      </c>
      <c r="B387" t="s">
        <v>763</v>
      </c>
      <c r="C387" t="s">
        <v>764</v>
      </c>
      <c r="D387" t="s">
        <v>29</v>
      </c>
      <c r="E387">
        <v>79023</v>
      </c>
    </row>
    <row r="388" spans="1:5" x14ac:dyDescent="0.25">
      <c r="A388">
        <v>8887868026</v>
      </c>
      <c r="B388" t="s">
        <v>765</v>
      </c>
      <c r="C388" t="s">
        <v>766</v>
      </c>
      <c r="D388" t="s">
        <v>10</v>
      </c>
      <c r="E388">
        <v>92800</v>
      </c>
    </row>
    <row r="389" spans="1:5" x14ac:dyDescent="0.25">
      <c r="A389">
        <v>2177097355</v>
      </c>
      <c r="B389" t="s">
        <v>767</v>
      </c>
      <c r="C389" t="s">
        <v>768</v>
      </c>
      <c r="D389" t="s">
        <v>10</v>
      </c>
      <c r="E389">
        <v>86438</v>
      </c>
    </row>
    <row r="390" spans="1:5" x14ac:dyDescent="0.25">
      <c r="A390">
        <v>2924550912</v>
      </c>
      <c r="B390" t="s">
        <v>769</v>
      </c>
      <c r="C390" t="s">
        <v>770</v>
      </c>
      <c r="D390" t="s">
        <v>29</v>
      </c>
      <c r="E390">
        <v>77174</v>
      </c>
    </row>
    <row r="391" spans="1:5" x14ac:dyDescent="0.25">
      <c r="A391">
        <v>4967603564</v>
      </c>
      <c r="B391" t="s">
        <v>771</v>
      </c>
      <c r="C391" t="s">
        <v>772</v>
      </c>
      <c r="D391" t="s">
        <v>10</v>
      </c>
      <c r="E391">
        <v>78019</v>
      </c>
    </row>
    <row r="392" spans="1:5" x14ac:dyDescent="0.25">
      <c r="A392">
        <v>7007279686</v>
      </c>
      <c r="B392" t="s">
        <v>773</v>
      </c>
      <c r="C392" t="s">
        <v>774</v>
      </c>
      <c r="D392" t="s">
        <v>7</v>
      </c>
      <c r="E392">
        <v>48212</v>
      </c>
    </row>
    <row r="393" spans="1:5" x14ac:dyDescent="0.25">
      <c r="A393">
        <v>5407735911</v>
      </c>
      <c r="B393" t="s">
        <v>775</v>
      </c>
      <c r="C393" t="s">
        <v>776</v>
      </c>
      <c r="D393" t="s">
        <v>7</v>
      </c>
      <c r="E393">
        <v>38807</v>
      </c>
    </row>
    <row r="394" spans="1:5" x14ac:dyDescent="0.25">
      <c r="A394">
        <v>4984363320</v>
      </c>
      <c r="B394" t="s">
        <v>777</v>
      </c>
      <c r="C394" t="s">
        <v>778</v>
      </c>
      <c r="D394" t="s">
        <v>7</v>
      </c>
      <c r="E394">
        <v>52312</v>
      </c>
    </row>
    <row r="395" spans="1:5" x14ac:dyDescent="0.25">
      <c r="A395">
        <v>1279282711</v>
      </c>
      <c r="B395" t="s">
        <v>779</v>
      </c>
      <c r="C395" t="s">
        <v>780</v>
      </c>
      <c r="D395" t="s">
        <v>29</v>
      </c>
      <c r="E395">
        <v>64256</v>
      </c>
    </row>
    <row r="396" spans="1:5" x14ac:dyDescent="0.25">
      <c r="A396">
        <v>9229113786</v>
      </c>
      <c r="B396" t="s">
        <v>781</v>
      </c>
      <c r="C396" t="s">
        <v>782</v>
      </c>
      <c r="D396" t="s">
        <v>7</v>
      </c>
      <c r="E396">
        <v>64025</v>
      </c>
    </row>
    <row r="397" spans="1:5" x14ac:dyDescent="0.25">
      <c r="A397">
        <v>6713405010</v>
      </c>
      <c r="B397" t="s">
        <v>783</v>
      </c>
      <c r="C397" t="s">
        <v>784</v>
      </c>
      <c r="D397" t="s">
        <v>7</v>
      </c>
      <c r="E397">
        <v>49505</v>
      </c>
    </row>
    <row r="398" spans="1:5" x14ac:dyDescent="0.25">
      <c r="A398">
        <v>793441269</v>
      </c>
      <c r="B398" t="s">
        <v>785</v>
      </c>
      <c r="C398" t="s">
        <v>786</v>
      </c>
      <c r="D398" t="s">
        <v>29</v>
      </c>
      <c r="E398">
        <v>60498</v>
      </c>
    </row>
    <row r="399" spans="1:5" x14ac:dyDescent="0.25">
      <c r="A399">
        <v>9057758911</v>
      </c>
      <c r="B399" t="s">
        <v>787</v>
      </c>
      <c r="C399" t="s">
        <v>788</v>
      </c>
      <c r="D399" t="s">
        <v>29</v>
      </c>
      <c r="E399">
        <v>54346</v>
      </c>
    </row>
    <row r="400" spans="1:5" x14ac:dyDescent="0.25">
      <c r="A400">
        <v>9245659313</v>
      </c>
      <c r="B400" t="s">
        <v>642</v>
      </c>
      <c r="C400" t="s">
        <v>789</v>
      </c>
      <c r="D400" t="s">
        <v>29</v>
      </c>
      <c r="E400">
        <v>64732</v>
      </c>
    </row>
    <row r="401" spans="1:5" x14ac:dyDescent="0.25">
      <c r="A401">
        <v>2873915978</v>
      </c>
      <c r="B401" t="s">
        <v>790</v>
      </c>
      <c r="C401" t="s">
        <v>791</v>
      </c>
      <c r="D401" t="s">
        <v>29</v>
      </c>
      <c r="E401">
        <v>73164</v>
      </c>
    </row>
    <row r="402" spans="1:5" x14ac:dyDescent="0.25">
      <c r="A402">
        <v>923191143</v>
      </c>
      <c r="B402" t="s">
        <v>792</v>
      </c>
      <c r="C402" t="s">
        <v>793</v>
      </c>
      <c r="D402" t="s">
        <v>29</v>
      </c>
      <c r="E402">
        <v>53354</v>
      </c>
    </row>
    <row r="403" spans="1:5" x14ac:dyDescent="0.25">
      <c r="A403">
        <v>1958063002</v>
      </c>
      <c r="B403" t="s">
        <v>794</v>
      </c>
      <c r="C403" t="s">
        <v>795</v>
      </c>
      <c r="D403" t="s">
        <v>10</v>
      </c>
      <c r="E403">
        <v>105993</v>
      </c>
    </row>
    <row r="404" spans="1:5" x14ac:dyDescent="0.25">
      <c r="A404">
        <v>5197585250</v>
      </c>
      <c r="B404" t="s">
        <v>796</v>
      </c>
      <c r="C404" t="s">
        <v>797</v>
      </c>
      <c r="D404" t="s">
        <v>10</v>
      </c>
      <c r="E404">
        <v>114163</v>
      </c>
    </row>
    <row r="405" spans="1:5" x14ac:dyDescent="0.25">
      <c r="A405">
        <v>8002426673</v>
      </c>
      <c r="B405" t="s">
        <v>798</v>
      </c>
      <c r="C405" t="s">
        <v>799</v>
      </c>
      <c r="D405" t="s">
        <v>29</v>
      </c>
      <c r="E405">
        <v>67081</v>
      </c>
    </row>
    <row r="406" spans="1:5" x14ac:dyDescent="0.25">
      <c r="A406">
        <v>9620547551</v>
      </c>
      <c r="B406" t="s">
        <v>159</v>
      </c>
      <c r="C406" t="s">
        <v>800</v>
      </c>
      <c r="D406" t="s">
        <v>10</v>
      </c>
      <c r="E406">
        <v>80719</v>
      </c>
    </row>
    <row r="407" spans="1:5" x14ac:dyDescent="0.25">
      <c r="A407">
        <v>8335120919</v>
      </c>
      <c r="B407" t="s">
        <v>801</v>
      </c>
      <c r="C407" t="s">
        <v>802</v>
      </c>
      <c r="D407" t="s">
        <v>29</v>
      </c>
      <c r="E407">
        <v>55018</v>
      </c>
    </row>
    <row r="408" spans="1:5" x14ac:dyDescent="0.25">
      <c r="A408">
        <v>2237103631</v>
      </c>
      <c r="B408" t="s">
        <v>803</v>
      </c>
      <c r="C408" t="s">
        <v>804</v>
      </c>
      <c r="D408" t="s">
        <v>29</v>
      </c>
      <c r="E408">
        <v>69026</v>
      </c>
    </row>
    <row r="409" spans="1:5" x14ac:dyDescent="0.25">
      <c r="A409">
        <v>2378102658</v>
      </c>
      <c r="B409" t="s">
        <v>805</v>
      </c>
      <c r="C409" t="s">
        <v>806</v>
      </c>
      <c r="D409" t="s">
        <v>7</v>
      </c>
      <c r="E409">
        <v>32554</v>
      </c>
    </row>
    <row r="410" spans="1:5" x14ac:dyDescent="0.25">
      <c r="A410">
        <v>1489889981</v>
      </c>
      <c r="B410" t="s">
        <v>807</v>
      </c>
      <c r="C410" t="s">
        <v>808</v>
      </c>
      <c r="D410" t="s">
        <v>10</v>
      </c>
      <c r="E410">
        <v>108981</v>
      </c>
    </row>
    <row r="411" spans="1:5" x14ac:dyDescent="0.25">
      <c r="A411">
        <v>1972775170</v>
      </c>
      <c r="B411" t="s">
        <v>809</v>
      </c>
      <c r="C411" t="s">
        <v>810</v>
      </c>
      <c r="D411" t="s">
        <v>10</v>
      </c>
      <c r="E411">
        <v>122434</v>
      </c>
    </row>
    <row r="412" spans="1:5" x14ac:dyDescent="0.25">
      <c r="A412">
        <v>679204083</v>
      </c>
      <c r="B412" t="s">
        <v>811</v>
      </c>
      <c r="C412" t="s">
        <v>812</v>
      </c>
      <c r="D412" t="s">
        <v>29</v>
      </c>
      <c r="E412">
        <v>53945</v>
      </c>
    </row>
    <row r="413" spans="1:5" x14ac:dyDescent="0.25">
      <c r="A413">
        <v>8462409454</v>
      </c>
      <c r="B413" t="s">
        <v>813</v>
      </c>
      <c r="C413" t="s">
        <v>814</v>
      </c>
      <c r="D413" t="s">
        <v>29</v>
      </c>
      <c r="E413">
        <v>78799</v>
      </c>
    </row>
    <row r="414" spans="1:5" x14ac:dyDescent="0.25">
      <c r="A414">
        <v>161397387</v>
      </c>
      <c r="B414" t="s">
        <v>815</v>
      </c>
      <c r="C414" t="s">
        <v>816</v>
      </c>
      <c r="D414" t="s">
        <v>10</v>
      </c>
      <c r="E414">
        <v>88523</v>
      </c>
    </row>
    <row r="415" spans="1:5" x14ac:dyDescent="0.25">
      <c r="A415">
        <v>4978659442</v>
      </c>
      <c r="B415" t="s">
        <v>817</v>
      </c>
      <c r="C415" t="s">
        <v>818</v>
      </c>
      <c r="D415" t="s">
        <v>10</v>
      </c>
      <c r="E415">
        <v>98894</v>
      </c>
    </row>
    <row r="416" spans="1:5" x14ac:dyDescent="0.25">
      <c r="A416">
        <v>8695742075</v>
      </c>
      <c r="B416" t="s">
        <v>819</v>
      </c>
      <c r="C416" t="s">
        <v>820</v>
      </c>
      <c r="D416" t="s">
        <v>10</v>
      </c>
      <c r="E416">
        <v>75423</v>
      </c>
    </row>
    <row r="417" spans="1:5" x14ac:dyDescent="0.25">
      <c r="A417">
        <v>7152427402</v>
      </c>
      <c r="B417" t="s">
        <v>821</v>
      </c>
      <c r="C417" t="s">
        <v>822</v>
      </c>
      <c r="D417" t="s">
        <v>7</v>
      </c>
      <c r="E417">
        <v>31747</v>
      </c>
    </row>
    <row r="418" spans="1:5" x14ac:dyDescent="0.25">
      <c r="A418">
        <v>4548725172</v>
      </c>
      <c r="B418" t="s">
        <v>743</v>
      </c>
      <c r="C418" t="s">
        <v>823</v>
      </c>
      <c r="D418" t="s">
        <v>10</v>
      </c>
      <c r="E418">
        <v>97537</v>
      </c>
    </row>
    <row r="419" spans="1:5" x14ac:dyDescent="0.25">
      <c r="A419">
        <v>5792300712</v>
      </c>
      <c r="B419" t="s">
        <v>824</v>
      </c>
      <c r="C419" t="s">
        <v>825</v>
      </c>
      <c r="D419" t="s">
        <v>29</v>
      </c>
      <c r="E419">
        <v>70471</v>
      </c>
    </row>
    <row r="420" spans="1:5" x14ac:dyDescent="0.25">
      <c r="A420">
        <v>9674189459</v>
      </c>
      <c r="B420" t="s">
        <v>826</v>
      </c>
      <c r="C420" t="s">
        <v>827</v>
      </c>
      <c r="D420" t="s">
        <v>10</v>
      </c>
      <c r="E420">
        <v>77029</v>
      </c>
    </row>
    <row r="421" spans="1:5" x14ac:dyDescent="0.25">
      <c r="A421">
        <v>9292607561</v>
      </c>
      <c r="B421" t="s">
        <v>828</v>
      </c>
      <c r="C421" t="s">
        <v>829</v>
      </c>
      <c r="D421" t="s">
        <v>29</v>
      </c>
      <c r="E421">
        <v>77826</v>
      </c>
    </row>
    <row r="422" spans="1:5" x14ac:dyDescent="0.25">
      <c r="A422">
        <v>3569414450</v>
      </c>
      <c r="B422" t="s">
        <v>830</v>
      </c>
      <c r="C422" t="s">
        <v>831</v>
      </c>
      <c r="D422" t="s">
        <v>7</v>
      </c>
      <c r="E422">
        <v>42780</v>
      </c>
    </row>
    <row r="423" spans="1:5" x14ac:dyDescent="0.25">
      <c r="A423">
        <v>710473923</v>
      </c>
      <c r="B423" t="s">
        <v>832</v>
      </c>
      <c r="C423" t="s">
        <v>833</v>
      </c>
      <c r="D423" t="s">
        <v>7</v>
      </c>
      <c r="E423">
        <v>64402</v>
      </c>
    </row>
    <row r="424" spans="1:5" x14ac:dyDescent="0.25">
      <c r="A424">
        <v>1149008652</v>
      </c>
      <c r="B424" t="s">
        <v>834</v>
      </c>
      <c r="C424" t="s">
        <v>835</v>
      </c>
      <c r="D424" t="s">
        <v>10</v>
      </c>
      <c r="E424">
        <v>78714</v>
      </c>
    </row>
    <row r="425" spans="1:5" x14ac:dyDescent="0.25">
      <c r="A425">
        <v>2748937082</v>
      </c>
      <c r="B425" t="s">
        <v>836</v>
      </c>
      <c r="C425" t="s">
        <v>837</v>
      </c>
      <c r="D425" t="s">
        <v>10</v>
      </c>
      <c r="E425">
        <v>106511</v>
      </c>
    </row>
    <row r="426" spans="1:5" x14ac:dyDescent="0.25">
      <c r="A426">
        <v>2779378506</v>
      </c>
      <c r="B426" t="s">
        <v>838</v>
      </c>
      <c r="C426" t="s">
        <v>839</v>
      </c>
      <c r="D426" t="s">
        <v>10</v>
      </c>
      <c r="E426">
        <v>83208</v>
      </c>
    </row>
    <row r="427" spans="1:5" x14ac:dyDescent="0.25">
      <c r="A427">
        <v>3213290963</v>
      </c>
      <c r="B427" t="s">
        <v>840</v>
      </c>
      <c r="C427" t="s">
        <v>841</v>
      </c>
      <c r="D427" t="s">
        <v>29</v>
      </c>
      <c r="E427">
        <v>55737</v>
      </c>
    </row>
    <row r="428" spans="1:5" x14ac:dyDescent="0.25">
      <c r="A428">
        <v>7469392467</v>
      </c>
      <c r="B428" t="s">
        <v>842</v>
      </c>
      <c r="C428" t="s">
        <v>843</v>
      </c>
      <c r="D428" t="s">
        <v>7</v>
      </c>
      <c r="E428">
        <v>51545</v>
      </c>
    </row>
    <row r="429" spans="1:5" x14ac:dyDescent="0.25">
      <c r="A429">
        <v>2677632772</v>
      </c>
      <c r="B429" t="s">
        <v>844</v>
      </c>
      <c r="C429" t="s">
        <v>845</v>
      </c>
      <c r="D429" t="s">
        <v>7</v>
      </c>
      <c r="E429">
        <v>42673</v>
      </c>
    </row>
    <row r="430" spans="1:5" x14ac:dyDescent="0.25">
      <c r="A430">
        <v>4453315724</v>
      </c>
      <c r="B430" t="s">
        <v>846</v>
      </c>
      <c r="C430" t="s">
        <v>847</v>
      </c>
      <c r="D430" t="s">
        <v>29</v>
      </c>
      <c r="E430">
        <v>55487</v>
      </c>
    </row>
    <row r="431" spans="1:5" x14ac:dyDescent="0.25">
      <c r="A431">
        <v>6126779991</v>
      </c>
      <c r="B431" t="s">
        <v>848</v>
      </c>
      <c r="C431" t="s">
        <v>849</v>
      </c>
      <c r="D431" t="s">
        <v>29</v>
      </c>
      <c r="E431">
        <v>74933</v>
      </c>
    </row>
    <row r="432" spans="1:5" x14ac:dyDescent="0.25">
      <c r="A432">
        <v>7402856011</v>
      </c>
      <c r="B432" t="s">
        <v>850</v>
      </c>
      <c r="C432" t="s">
        <v>851</v>
      </c>
      <c r="D432" t="s">
        <v>10</v>
      </c>
      <c r="E432">
        <v>91174</v>
      </c>
    </row>
    <row r="433" spans="1:5" x14ac:dyDescent="0.25">
      <c r="A433">
        <v>197180590</v>
      </c>
      <c r="B433" t="s">
        <v>852</v>
      </c>
      <c r="C433" t="s">
        <v>853</v>
      </c>
      <c r="D433" t="s">
        <v>10</v>
      </c>
      <c r="E433">
        <v>79036</v>
      </c>
    </row>
    <row r="434" spans="1:5" x14ac:dyDescent="0.25">
      <c r="A434">
        <v>8692509450</v>
      </c>
      <c r="B434" t="s">
        <v>854</v>
      </c>
      <c r="C434" t="s">
        <v>855</v>
      </c>
      <c r="D434" t="s">
        <v>7</v>
      </c>
      <c r="E434">
        <v>35506</v>
      </c>
    </row>
    <row r="435" spans="1:5" x14ac:dyDescent="0.25">
      <c r="A435">
        <v>9885165231</v>
      </c>
      <c r="B435" t="s">
        <v>856</v>
      </c>
      <c r="C435" t="s">
        <v>857</v>
      </c>
      <c r="D435" t="s">
        <v>10</v>
      </c>
      <c r="E435">
        <v>113819</v>
      </c>
    </row>
    <row r="436" spans="1:5" x14ac:dyDescent="0.25">
      <c r="A436">
        <v>8387947148</v>
      </c>
      <c r="B436" t="s">
        <v>858</v>
      </c>
      <c r="C436" t="s">
        <v>859</v>
      </c>
      <c r="D436" t="s">
        <v>10</v>
      </c>
      <c r="E436">
        <v>122479</v>
      </c>
    </row>
    <row r="437" spans="1:5" x14ac:dyDescent="0.25">
      <c r="A437">
        <v>2183763965</v>
      </c>
      <c r="B437" t="s">
        <v>860</v>
      </c>
      <c r="C437" t="s">
        <v>861</v>
      </c>
      <c r="D437" t="s">
        <v>10</v>
      </c>
      <c r="E437">
        <v>90615</v>
      </c>
    </row>
    <row r="438" spans="1:5" x14ac:dyDescent="0.25">
      <c r="A438">
        <v>4838770758</v>
      </c>
      <c r="B438" t="s">
        <v>862</v>
      </c>
      <c r="C438" t="s">
        <v>863</v>
      </c>
      <c r="D438" t="s">
        <v>7</v>
      </c>
      <c r="E438">
        <v>43669</v>
      </c>
    </row>
    <row r="439" spans="1:5" x14ac:dyDescent="0.25">
      <c r="A439">
        <v>965285472</v>
      </c>
      <c r="B439" t="s">
        <v>864</v>
      </c>
      <c r="C439" t="s">
        <v>865</v>
      </c>
      <c r="D439" t="s">
        <v>10</v>
      </c>
      <c r="E439">
        <v>90828</v>
      </c>
    </row>
    <row r="440" spans="1:5" x14ac:dyDescent="0.25">
      <c r="A440">
        <v>7140803102</v>
      </c>
      <c r="B440" t="s">
        <v>866</v>
      </c>
      <c r="C440" t="s">
        <v>867</v>
      </c>
      <c r="D440" t="s">
        <v>7</v>
      </c>
      <c r="E440">
        <v>33901</v>
      </c>
    </row>
    <row r="441" spans="1:5" x14ac:dyDescent="0.25">
      <c r="A441">
        <v>7440017404</v>
      </c>
      <c r="B441" t="s">
        <v>868</v>
      </c>
      <c r="C441" t="s">
        <v>869</v>
      </c>
      <c r="D441" t="s">
        <v>29</v>
      </c>
      <c r="E441">
        <v>55407</v>
      </c>
    </row>
    <row r="442" spans="1:5" x14ac:dyDescent="0.25">
      <c r="A442">
        <v>3013094990</v>
      </c>
      <c r="B442" t="s">
        <v>870</v>
      </c>
      <c r="C442" t="s">
        <v>871</v>
      </c>
      <c r="D442" t="s">
        <v>7</v>
      </c>
      <c r="E442">
        <v>58874</v>
      </c>
    </row>
    <row r="443" spans="1:5" x14ac:dyDescent="0.25">
      <c r="A443">
        <v>4260324861</v>
      </c>
      <c r="B443" t="s">
        <v>872</v>
      </c>
      <c r="C443" t="s">
        <v>873</v>
      </c>
      <c r="D443" t="s">
        <v>29</v>
      </c>
      <c r="E443">
        <v>78989</v>
      </c>
    </row>
    <row r="444" spans="1:5" x14ac:dyDescent="0.25">
      <c r="A444">
        <v>8998375370</v>
      </c>
      <c r="B444" t="s">
        <v>874</v>
      </c>
      <c r="C444" t="s">
        <v>875</v>
      </c>
      <c r="D444" t="s">
        <v>10</v>
      </c>
      <c r="E444">
        <v>76534</v>
      </c>
    </row>
    <row r="445" spans="1:5" x14ac:dyDescent="0.25">
      <c r="A445">
        <v>8545135858</v>
      </c>
      <c r="B445" t="s">
        <v>876</v>
      </c>
      <c r="C445" t="s">
        <v>877</v>
      </c>
      <c r="D445" t="s">
        <v>7</v>
      </c>
      <c r="E445">
        <v>41563</v>
      </c>
    </row>
    <row r="446" spans="1:5" x14ac:dyDescent="0.25">
      <c r="A446">
        <v>4150450668</v>
      </c>
      <c r="B446" t="s">
        <v>878</v>
      </c>
      <c r="C446" t="s">
        <v>879</v>
      </c>
      <c r="D446" t="s">
        <v>7</v>
      </c>
      <c r="E446">
        <v>37047</v>
      </c>
    </row>
    <row r="447" spans="1:5" x14ac:dyDescent="0.25">
      <c r="A447">
        <v>689661541</v>
      </c>
      <c r="B447" t="s">
        <v>880</v>
      </c>
      <c r="C447" t="s">
        <v>881</v>
      </c>
      <c r="D447" t="s">
        <v>29</v>
      </c>
      <c r="E447">
        <v>64134</v>
      </c>
    </row>
    <row r="448" spans="1:5" x14ac:dyDescent="0.25">
      <c r="A448">
        <v>966588630</v>
      </c>
      <c r="B448" t="s">
        <v>89</v>
      </c>
      <c r="C448" t="s">
        <v>882</v>
      </c>
      <c r="D448" t="s">
        <v>10</v>
      </c>
      <c r="E448">
        <v>107581</v>
      </c>
    </row>
    <row r="449" spans="1:5" x14ac:dyDescent="0.25">
      <c r="A449">
        <v>9155356869</v>
      </c>
      <c r="B449" t="s">
        <v>883</v>
      </c>
      <c r="C449" t="s">
        <v>884</v>
      </c>
      <c r="D449" t="s">
        <v>10</v>
      </c>
      <c r="E449">
        <v>114884</v>
      </c>
    </row>
    <row r="450" spans="1:5" x14ac:dyDescent="0.25">
      <c r="A450">
        <v>8419732141</v>
      </c>
      <c r="B450" t="s">
        <v>885</v>
      </c>
      <c r="C450" t="s">
        <v>886</v>
      </c>
      <c r="D450" t="s">
        <v>29</v>
      </c>
      <c r="E450">
        <v>63701</v>
      </c>
    </row>
    <row r="451" spans="1:5" x14ac:dyDescent="0.25">
      <c r="A451">
        <v>5837066497</v>
      </c>
      <c r="B451" t="s">
        <v>887</v>
      </c>
      <c r="C451" t="s">
        <v>888</v>
      </c>
      <c r="D451" t="s">
        <v>10</v>
      </c>
      <c r="E451">
        <v>101019</v>
      </c>
    </row>
    <row r="452" spans="1:5" x14ac:dyDescent="0.25">
      <c r="A452">
        <v>4398950745</v>
      </c>
      <c r="B452" t="s">
        <v>889</v>
      </c>
      <c r="C452" t="s">
        <v>890</v>
      </c>
      <c r="D452" t="s">
        <v>7</v>
      </c>
      <c r="E452">
        <v>56956</v>
      </c>
    </row>
    <row r="453" spans="1:5" x14ac:dyDescent="0.25">
      <c r="A453">
        <v>9447906176</v>
      </c>
      <c r="B453" t="s">
        <v>891</v>
      </c>
      <c r="C453" t="s">
        <v>892</v>
      </c>
      <c r="D453" t="s">
        <v>7</v>
      </c>
      <c r="E453">
        <v>54699</v>
      </c>
    </row>
    <row r="454" spans="1:5" x14ac:dyDescent="0.25">
      <c r="A454">
        <v>4049350750</v>
      </c>
      <c r="B454" t="s">
        <v>893</v>
      </c>
      <c r="C454" t="s">
        <v>894</v>
      </c>
      <c r="D454" t="s">
        <v>10</v>
      </c>
      <c r="E454">
        <v>87223</v>
      </c>
    </row>
    <row r="455" spans="1:5" x14ac:dyDescent="0.25">
      <c r="A455">
        <v>2070860833</v>
      </c>
      <c r="B455" t="s">
        <v>895</v>
      </c>
      <c r="C455" t="s">
        <v>896</v>
      </c>
      <c r="D455" t="s">
        <v>29</v>
      </c>
      <c r="E455">
        <v>73508</v>
      </c>
    </row>
    <row r="456" spans="1:5" x14ac:dyDescent="0.25">
      <c r="A456">
        <v>5000631609</v>
      </c>
      <c r="B456" t="s">
        <v>897</v>
      </c>
      <c r="C456" t="s">
        <v>898</v>
      </c>
      <c r="D456" t="s">
        <v>7</v>
      </c>
      <c r="E456">
        <v>59055</v>
      </c>
    </row>
    <row r="457" spans="1:5" x14ac:dyDescent="0.25">
      <c r="A457">
        <v>8507800106</v>
      </c>
      <c r="B457" t="s">
        <v>899</v>
      </c>
      <c r="C457" t="s">
        <v>900</v>
      </c>
      <c r="D457" t="s">
        <v>7</v>
      </c>
      <c r="E457">
        <v>48566</v>
      </c>
    </row>
    <row r="458" spans="1:5" x14ac:dyDescent="0.25">
      <c r="A458">
        <v>4525743115</v>
      </c>
      <c r="B458" t="s">
        <v>901</v>
      </c>
      <c r="C458" t="s">
        <v>902</v>
      </c>
      <c r="D458" t="s">
        <v>10</v>
      </c>
      <c r="E458">
        <v>96928</v>
      </c>
    </row>
    <row r="459" spans="1:5" x14ac:dyDescent="0.25">
      <c r="A459">
        <v>3409869514</v>
      </c>
      <c r="B459" t="s">
        <v>903</v>
      </c>
      <c r="C459" t="s">
        <v>904</v>
      </c>
      <c r="D459" t="s">
        <v>7</v>
      </c>
      <c r="E459">
        <v>47831</v>
      </c>
    </row>
    <row r="460" spans="1:5" x14ac:dyDescent="0.25">
      <c r="A460">
        <v>27852261</v>
      </c>
      <c r="B460" t="s">
        <v>905</v>
      </c>
      <c r="C460" t="s">
        <v>906</v>
      </c>
      <c r="D460" t="s">
        <v>10</v>
      </c>
      <c r="E460">
        <v>75324</v>
      </c>
    </row>
    <row r="461" spans="1:5" x14ac:dyDescent="0.25">
      <c r="A461">
        <v>939715988</v>
      </c>
      <c r="B461" t="s">
        <v>907</v>
      </c>
      <c r="C461" t="s">
        <v>908</v>
      </c>
      <c r="D461" t="s">
        <v>10</v>
      </c>
      <c r="E461">
        <v>97130</v>
      </c>
    </row>
    <row r="462" spans="1:5" x14ac:dyDescent="0.25">
      <c r="A462">
        <v>4409014943</v>
      </c>
      <c r="B462" t="s">
        <v>909</v>
      </c>
      <c r="C462" t="s">
        <v>910</v>
      </c>
      <c r="D462" t="s">
        <v>29</v>
      </c>
      <c r="E462">
        <v>77365</v>
      </c>
    </row>
    <row r="463" spans="1:5" x14ac:dyDescent="0.25">
      <c r="A463">
        <v>6837456032</v>
      </c>
      <c r="B463" t="s">
        <v>911</v>
      </c>
      <c r="C463" t="s">
        <v>912</v>
      </c>
      <c r="D463" t="s">
        <v>7</v>
      </c>
      <c r="E463">
        <v>51201</v>
      </c>
    </row>
    <row r="464" spans="1:5" x14ac:dyDescent="0.25">
      <c r="A464">
        <v>3547596165</v>
      </c>
      <c r="B464" t="s">
        <v>913</v>
      </c>
      <c r="C464" t="s">
        <v>914</v>
      </c>
      <c r="D464" t="s">
        <v>10</v>
      </c>
      <c r="E464">
        <v>86155</v>
      </c>
    </row>
    <row r="465" spans="1:5" x14ac:dyDescent="0.25">
      <c r="A465">
        <v>3806430489</v>
      </c>
      <c r="B465" t="s">
        <v>915</v>
      </c>
      <c r="C465" t="s">
        <v>916</v>
      </c>
      <c r="D465" t="s">
        <v>29</v>
      </c>
      <c r="E465">
        <v>72117</v>
      </c>
    </row>
    <row r="466" spans="1:5" x14ac:dyDescent="0.25">
      <c r="A466">
        <v>898924138</v>
      </c>
      <c r="B466" t="s">
        <v>917</v>
      </c>
      <c r="C466" t="s">
        <v>918</v>
      </c>
      <c r="D466" t="s">
        <v>29</v>
      </c>
      <c r="E466">
        <v>61385</v>
      </c>
    </row>
    <row r="467" spans="1:5" x14ac:dyDescent="0.25">
      <c r="A467">
        <v>3211170715</v>
      </c>
      <c r="B467" t="s">
        <v>919</v>
      </c>
      <c r="C467" t="s">
        <v>920</v>
      </c>
      <c r="D467" t="s">
        <v>7</v>
      </c>
      <c r="E467">
        <v>57666</v>
      </c>
    </row>
    <row r="468" spans="1:5" x14ac:dyDescent="0.25">
      <c r="A468">
        <v>2841287114</v>
      </c>
      <c r="B468" t="s">
        <v>921</v>
      </c>
      <c r="C468" t="s">
        <v>922</v>
      </c>
      <c r="D468" t="s">
        <v>29</v>
      </c>
      <c r="E468">
        <v>55803</v>
      </c>
    </row>
    <row r="469" spans="1:5" x14ac:dyDescent="0.25">
      <c r="A469">
        <v>2417008025</v>
      </c>
      <c r="B469" t="s">
        <v>923</v>
      </c>
      <c r="C469" t="s">
        <v>924</v>
      </c>
      <c r="D469" t="s">
        <v>29</v>
      </c>
      <c r="E469">
        <v>74012</v>
      </c>
    </row>
    <row r="470" spans="1:5" x14ac:dyDescent="0.25">
      <c r="A470">
        <v>7269614199</v>
      </c>
      <c r="B470" t="s">
        <v>925</v>
      </c>
      <c r="C470" t="s">
        <v>926</v>
      </c>
      <c r="D470" t="s">
        <v>7</v>
      </c>
      <c r="E470">
        <v>49250</v>
      </c>
    </row>
    <row r="471" spans="1:5" x14ac:dyDescent="0.25">
      <c r="A471">
        <v>6446166575</v>
      </c>
      <c r="B471" t="s">
        <v>927</v>
      </c>
      <c r="C471" t="s">
        <v>928</v>
      </c>
      <c r="D471" t="s">
        <v>7</v>
      </c>
      <c r="E471">
        <v>54878</v>
      </c>
    </row>
    <row r="472" spans="1:5" x14ac:dyDescent="0.25">
      <c r="A472">
        <v>9018504580</v>
      </c>
      <c r="B472" t="s">
        <v>929</v>
      </c>
      <c r="C472" t="s">
        <v>930</v>
      </c>
      <c r="D472" t="s">
        <v>7</v>
      </c>
      <c r="E472">
        <v>53598</v>
      </c>
    </row>
    <row r="473" spans="1:5" x14ac:dyDescent="0.25">
      <c r="A473">
        <v>9611070055</v>
      </c>
      <c r="B473" t="s">
        <v>931</v>
      </c>
      <c r="C473" t="s">
        <v>932</v>
      </c>
      <c r="D473" t="s">
        <v>7</v>
      </c>
      <c r="E473">
        <v>63324</v>
      </c>
    </row>
    <row r="474" spans="1:5" x14ac:dyDescent="0.25">
      <c r="A474">
        <v>5503746279</v>
      </c>
      <c r="B474" t="s">
        <v>5</v>
      </c>
      <c r="C474" t="s">
        <v>933</v>
      </c>
      <c r="D474" t="s">
        <v>29</v>
      </c>
      <c r="E474">
        <v>65852</v>
      </c>
    </row>
    <row r="475" spans="1:5" x14ac:dyDescent="0.25">
      <c r="A475">
        <v>3554200719</v>
      </c>
      <c r="B475" t="s">
        <v>934</v>
      </c>
      <c r="C475" t="s">
        <v>935</v>
      </c>
      <c r="D475" t="s">
        <v>7</v>
      </c>
      <c r="E475">
        <v>40780</v>
      </c>
    </row>
    <row r="476" spans="1:5" x14ac:dyDescent="0.25">
      <c r="A476">
        <v>209942509</v>
      </c>
      <c r="B476" t="s">
        <v>936</v>
      </c>
      <c r="C476" t="s">
        <v>937</v>
      </c>
      <c r="D476" t="s">
        <v>10</v>
      </c>
      <c r="E476">
        <v>89640</v>
      </c>
    </row>
    <row r="477" spans="1:5" x14ac:dyDescent="0.25">
      <c r="A477">
        <v>3877279783</v>
      </c>
      <c r="B477" t="s">
        <v>938</v>
      </c>
      <c r="C477" t="s">
        <v>939</v>
      </c>
      <c r="D477" t="s">
        <v>29</v>
      </c>
      <c r="E477">
        <v>61805</v>
      </c>
    </row>
    <row r="478" spans="1:5" x14ac:dyDescent="0.25">
      <c r="A478">
        <v>4290015026</v>
      </c>
      <c r="B478" t="s">
        <v>940</v>
      </c>
      <c r="C478" t="s">
        <v>941</v>
      </c>
      <c r="D478" t="s">
        <v>7</v>
      </c>
      <c r="E478">
        <v>50810</v>
      </c>
    </row>
    <row r="479" spans="1:5" x14ac:dyDescent="0.25">
      <c r="A479">
        <v>1953937357</v>
      </c>
      <c r="B479" t="s">
        <v>942</v>
      </c>
      <c r="C479" t="s">
        <v>943</v>
      </c>
      <c r="D479" t="s">
        <v>29</v>
      </c>
      <c r="E479">
        <v>71164</v>
      </c>
    </row>
    <row r="480" spans="1:5" x14ac:dyDescent="0.25">
      <c r="A480">
        <v>6842801095</v>
      </c>
      <c r="B480" t="s">
        <v>944</v>
      </c>
      <c r="C480" t="s">
        <v>945</v>
      </c>
      <c r="D480" t="s">
        <v>10</v>
      </c>
      <c r="E480">
        <v>110949</v>
      </c>
    </row>
    <row r="481" spans="1:5" x14ac:dyDescent="0.25">
      <c r="A481">
        <v>1918356416</v>
      </c>
      <c r="B481" t="s">
        <v>946</v>
      </c>
      <c r="C481" t="s">
        <v>947</v>
      </c>
      <c r="D481" t="s">
        <v>10</v>
      </c>
      <c r="E481">
        <v>114671</v>
      </c>
    </row>
    <row r="482" spans="1:5" x14ac:dyDescent="0.25">
      <c r="A482">
        <v>5511711233</v>
      </c>
      <c r="B482" t="s">
        <v>948</v>
      </c>
      <c r="C482" t="s">
        <v>949</v>
      </c>
      <c r="D482" t="s">
        <v>7</v>
      </c>
      <c r="E482">
        <v>50457</v>
      </c>
    </row>
    <row r="483" spans="1:5" x14ac:dyDescent="0.25">
      <c r="A483">
        <v>2158895349</v>
      </c>
      <c r="B483" t="s">
        <v>950</v>
      </c>
      <c r="C483" t="s">
        <v>951</v>
      </c>
      <c r="D483" t="s">
        <v>7</v>
      </c>
      <c r="E483">
        <v>35359</v>
      </c>
    </row>
    <row r="484" spans="1:5" x14ac:dyDescent="0.25">
      <c r="A484">
        <v>813832926</v>
      </c>
      <c r="B484" t="s">
        <v>952</v>
      </c>
      <c r="C484" t="s">
        <v>953</v>
      </c>
      <c r="D484" t="s">
        <v>29</v>
      </c>
      <c r="E484">
        <v>62260</v>
      </c>
    </row>
    <row r="485" spans="1:5" x14ac:dyDescent="0.25">
      <c r="A485">
        <v>6938295417</v>
      </c>
      <c r="B485" t="s">
        <v>954</v>
      </c>
      <c r="C485" t="s">
        <v>955</v>
      </c>
      <c r="D485" t="s">
        <v>7</v>
      </c>
      <c r="E485">
        <v>40716</v>
      </c>
    </row>
    <row r="486" spans="1:5" x14ac:dyDescent="0.25">
      <c r="A486">
        <v>3133221701</v>
      </c>
      <c r="B486" t="s">
        <v>956</v>
      </c>
      <c r="C486" t="s">
        <v>957</v>
      </c>
      <c r="D486" t="s">
        <v>29</v>
      </c>
      <c r="E486">
        <v>71686</v>
      </c>
    </row>
    <row r="487" spans="1:5" x14ac:dyDescent="0.25">
      <c r="A487">
        <v>7011563598</v>
      </c>
      <c r="B487" t="s">
        <v>958</v>
      </c>
      <c r="C487" t="s">
        <v>959</v>
      </c>
      <c r="D487" t="s">
        <v>7</v>
      </c>
      <c r="E487">
        <v>30113</v>
      </c>
    </row>
    <row r="488" spans="1:5" x14ac:dyDescent="0.25">
      <c r="A488">
        <v>9529277938</v>
      </c>
      <c r="B488" t="s">
        <v>960</v>
      </c>
      <c r="C488" t="s">
        <v>961</v>
      </c>
      <c r="D488" t="s">
        <v>10</v>
      </c>
      <c r="E488">
        <v>110731</v>
      </c>
    </row>
    <row r="489" spans="1:5" x14ac:dyDescent="0.25">
      <c r="A489">
        <v>5234982726</v>
      </c>
      <c r="B489" t="s">
        <v>962</v>
      </c>
      <c r="C489" t="s">
        <v>963</v>
      </c>
      <c r="D489" t="s">
        <v>10</v>
      </c>
      <c r="E489">
        <v>110384</v>
      </c>
    </row>
    <row r="490" spans="1:5" x14ac:dyDescent="0.25">
      <c r="A490">
        <v>492630925</v>
      </c>
      <c r="B490" t="s">
        <v>964</v>
      </c>
      <c r="C490" t="s">
        <v>965</v>
      </c>
      <c r="D490" t="s">
        <v>10</v>
      </c>
      <c r="E490">
        <v>112873</v>
      </c>
    </row>
    <row r="491" spans="1:5" x14ac:dyDescent="0.25">
      <c r="A491">
        <v>9128677390</v>
      </c>
      <c r="B491" t="s">
        <v>966</v>
      </c>
      <c r="C491" t="s">
        <v>967</v>
      </c>
      <c r="D491" t="s">
        <v>10</v>
      </c>
      <c r="E491">
        <v>87419</v>
      </c>
    </row>
    <row r="492" spans="1:5" x14ac:dyDescent="0.25">
      <c r="A492">
        <v>1192770250</v>
      </c>
      <c r="B492" t="s">
        <v>968</v>
      </c>
      <c r="C492" t="s">
        <v>969</v>
      </c>
      <c r="D492" t="s">
        <v>10</v>
      </c>
      <c r="E492">
        <v>108380</v>
      </c>
    </row>
    <row r="493" spans="1:5" x14ac:dyDescent="0.25">
      <c r="A493">
        <v>7118642576</v>
      </c>
      <c r="B493" t="s">
        <v>970</v>
      </c>
      <c r="C493" t="s">
        <v>971</v>
      </c>
      <c r="D493" t="s">
        <v>7</v>
      </c>
      <c r="E493">
        <v>31307</v>
      </c>
    </row>
    <row r="494" spans="1:5" x14ac:dyDescent="0.25">
      <c r="A494">
        <v>5629875752</v>
      </c>
      <c r="B494" t="s">
        <v>972</v>
      </c>
      <c r="C494" t="s">
        <v>973</v>
      </c>
      <c r="D494" t="s">
        <v>10</v>
      </c>
      <c r="E494">
        <v>107750</v>
      </c>
    </row>
    <row r="495" spans="1:5" x14ac:dyDescent="0.25">
      <c r="A495">
        <v>8808097757</v>
      </c>
      <c r="B495" t="s">
        <v>974</v>
      </c>
      <c r="C495" t="s">
        <v>975</v>
      </c>
      <c r="D495" t="s">
        <v>7</v>
      </c>
      <c r="E495">
        <v>49051</v>
      </c>
    </row>
    <row r="496" spans="1:5" x14ac:dyDescent="0.25">
      <c r="A496">
        <v>5358183647</v>
      </c>
      <c r="B496" t="s">
        <v>976</v>
      </c>
      <c r="C496" t="s">
        <v>977</v>
      </c>
      <c r="D496" t="s">
        <v>10</v>
      </c>
      <c r="E496">
        <v>87403</v>
      </c>
    </row>
    <row r="497" spans="1:5" x14ac:dyDescent="0.25">
      <c r="A497">
        <v>1549399640</v>
      </c>
      <c r="B497" t="s">
        <v>978</v>
      </c>
      <c r="C497" t="s">
        <v>979</v>
      </c>
      <c r="D497" t="s">
        <v>7</v>
      </c>
      <c r="E497">
        <v>31856</v>
      </c>
    </row>
    <row r="498" spans="1:5" x14ac:dyDescent="0.25">
      <c r="A498">
        <v>2579936017</v>
      </c>
      <c r="B498" t="s">
        <v>980</v>
      </c>
      <c r="C498" t="s">
        <v>981</v>
      </c>
      <c r="D498" t="s">
        <v>10</v>
      </c>
      <c r="E498">
        <v>97827</v>
      </c>
    </row>
    <row r="499" spans="1:5" x14ac:dyDescent="0.25">
      <c r="A499">
        <v>5588978080</v>
      </c>
      <c r="B499" t="s">
        <v>982</v>
      </c>
      <c r="C499" t="s">
        <v>983</v>
      </c>
      <c r="D499" t="s">
        <v>29</v>
      </c>
      <c r="E499">
        <v>51565</v>
      </c>
    </row>
    <row r="500" spans="1:5" x14ac:dyDescent="0.25">
      <c r="A500">
        <v>7411705322</v>
      </c>
      <c r="B500" t="s">
        <v>984</v>
      </c>
      <c r="C500" t="s">
        <v>985</v>
      </c>
      <c r="D500" t="s">
        <v>10</v>
      </c>
      <c r="E500">
        <v>105645</v>
      </c>
    </row>
    <row r="501" spans="1:5" x14ac:dyDescent="0.25">
      <c r="A501">
        <v>9726644925</v>
      </c>
      <c r="B501" t="s">
        <v>986</v>
      </c>
      <c r="C501" t="s">
        <v>987</v>
      </c>
      <c r="D501" t="s">
        <v>7</v>
      </c>
      <c r="E501">
        <v>51437</v>
      </c>
    </row>
    <row r="502" spans="1:5" x14ac:dyDescent="0.25">
      <c r="A502">
        <v>4768254810</v>
      </c>
      <c r="B502" t="s">
        <v>988</v>
      </c>
      <c r="C502" t="s">
        <v>989</v>
      </c>
      <c r="D502" t="s">
        <v>7</v>
      </c>
      <c r="E502">
        <v>39511</v>
      </c>
    </row>
    <row r="503" spans="1:5" x14ac:dyDescent="0.25">
      <c r="A503">
        <v>8640079943</v>
      </c>
      <c r="B503" t="s">
        <v>990</v>
      </c>
      <c r="C503" t="s">
        <v>991</v>
      </c>
      <c r="D503" t="s">
        <v>29</v>
      </c>
      <c r="E503">
        <v>73941</v>
      </c>
    </row>
    <row r="504" spans="1:5" x14ac:dyDescent="0.25">
      <c r="A504">
        <v>5479449389</v>
      </c>
      <c r="B504" t="s">
        <v>992</v>
      </c>
      <c r="C504" t="s">
        <v>377</v>
      </c>
      <c r="D504" t="s">
        <v>29</v>
      </c>
      <c r="E504">
        <v>63693</v>
      </c>
    </row>
    <row r="505" spans="1:5" x14ac:dyDescent="0.25">
      <c r="A505">
        <v>6776868107</v>
      </c>
      <c r="B505" t="s">
        <v>993</v>
      </c>
      <c r="C505" t="s">
        <v>994</v>
      </c>
      <c r="D505" t="s">
        <v>10</v>
      </c>
      <c r="E505">
        <v>86367</v>
      </c>
    </row>
    <row r="506" spans="1:5" x14ac:dyDescent="0.25">
      <c r="A506">
        <v>2698184272</v>
      </c>
      <c r="B506" t="s">
        <v>995</v>
      </c>
      <c r="C506" t="s">
        <v>996</v>
      </c>
      <c r="D506" t="s">
        <v>10</v>
      </c>
      <c r="E506">
        <v>119400</v>
      </c>
    </row>
    <row r="507" spans="1:5" x14ac:dyDescent="0.25">
      <c r="A507">
        <v>2191014690</v>
      </c>
      <c r="B507" t="s">
        <v>997</v>
      </c>
      <c r="C507" t="s">
        <v>998</v>
      </c>
      <c r="D507" t="s">
        <v>7</v>
      </c>
      <c r="E507">
        <v>58448</v>
      </c>
    </row>
    <row r="508" spans="1:5" x14ac:dyDescent="0.25">
      <c r="A508">
        <v>806065796</v>
      </c>
      <c r="B508" t="s">
        <v>999</v>
      </c>
      <c r="C508" t="s">
        <v>1000</v>
      </c>
      <c r="D508" t="s">
        <v>10</v>
      </c>
      <c r="E508">
        <v>109896</v>
      </c>
    </row>
    <row r="509" spans="1:5" x14ac:dyDescent="0.25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</row>
    <row r="510" spans="1:5" x14ac:dyDescent="0.25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</row>
    <row r="511" spans="1:5" x14ac:dyDescent="0.25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</row>
    <row r="512" spans="1:5" x14ac:dyDescent="0.25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</row>
    <row r="513" spans="1:5" x14ac:dyDescent="0.25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</row>
    <row r="514" spans="1:5" x14ac:dyDescent="0.25">
      <c r="A514">
        <v>3661649302</v>
      </c>
      <c r="B514" t="s">
        <v>1011</v>
      </c>
      <c r="C514" t="s">
        <v>1012</v>
      </c>
      <c r="D514" t="s">
        <v>7</v>
      </c>
      <c r="E514">
        <v>59438</v>
      </c>
    </row>
    <row r="515" spans="1:5" x14ac:dyDescent="0.25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</row>
    <row r="516" spans="1:5" x14ac:dyDescent="0.25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</row>
    <row r="517" spans="1:5" x14ac:dyDescent="0.25">
      <c r="A517">
        <v>453763030</v>
      </c>
      <c r="B517" t="s">
        <v>1017</v>
      </c>
      <c r="C517" t="s">
        <v>1018</v>
      </c>
      <c r="D517" t="s">
        <v>29</v>
      </c>
      <c r="E517">
        <v>65782</v>
      </c>
    </row>
    <row r="518" spans="1:5" x14ac:dyDescent="0.25">
      <c r="A518">
        <v>5211527984</v>
      </c>
      <c r="B518" t="s">
        <v>1019</v>
      </c>
      <c r="C518" t="s">
        <v>1020</v>
      </c>
      <c r="D518" t="s">
        <v>7</v>
      </c>
      <c r="E518">
        <v>37869</v>
      </c>
    </row>
    <row r="519" spans="1:5" x14ac:dyDescent="0.25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</row>
    <row r="520" spans="1:5" x14ac:dyDescent="0.25">
      <c r="A520">
        <v>5637692440</v>
      </c>
      <c r="B520" t="s">
        <v>728</v>
      </c>
      <c r="C520" t="s">
        <v>1023</v>
      </c>
      <c r="D520" t="s">
        <v>29</v>
      </c>
      <c r="E520">
        <v>63493</v>
      </c>
    </row>
    <row r="521" spans="1:5" x14ac:dyDescent="0.25">
      <c r="A521">
        <v>6637560367</v>
      </c>
      <c r="B521" t="s">
        <v>670</v>
      </c>
      <c r="C521" t="s">
        <v>1024</v>
      </c>
      <c r="D521" t="s">
        <v>7</v>
      </c>
      <c r="E521">
        <v>56008</v>
      </c>
    </row>
    <row r="522" spans="1:5" x14ac:dyDescent="0.25">
      <c r="A522">
        <v>7621218967</v>
      </c>
      <c r="B522" t="s">
        <v>1025</v>
      </c>
      <c r="C522" t="s">
        <v>1026</v>
      </c>
      <c r="D522" t="s">
        <v>7</v>
      </c>
      <c r="E522">
        <v>49456</v>
      </c>
    </row>
    <row r="523" spans="1:5" x14ac:dyDescent="0.25">
      <c r="A523">
        <v>6293335589</v>
      </c>
      <c r="B523" t="s">
        <v>1027</v>
      </c>
      <c r="C523" t="s">
        <v>1028</v>
      </c>
      <c r="D523" t="s">
        <v>7</v>
      </c>
      <c r="E523">
        <v>40857</v>
      </c>
    </row>
    <row r="524" spans="1:5" x14ac:dyDescent="0.25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</row>
    <row r="525" spans="1:5" x14ac:dyDescent="0.25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</row>
    <row r="526" spans="1:5" x14ac:dyDescent="0.25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</row>
    <row r="527" spans="1:5" x14ac:dyDescent="0.25">
      <c r="A527">
        <v>9815158015</v>
      </c>
      <c r="B527" t="s">
        <v>1035</v>
      </c>
      <c r="C527" t="s">
        <v>1036</v>
      </c>
      <c r="D527" t="s">
        <v>7</v>
      </c>
      <c r="E527">
        <v>64013</v>
      </c>
    </row>
    <row r="528" spans="1:5" x14ac:dyDescent="0.25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</row>
    <row r="529" spans="1:5" x14ac:dyDescent="0.25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</row>
    <row r="530" spans="1:5" x14ac:dyDescent="0.25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</row>
    <row r="531" spans="1:5" x14ac:dyDescent="0.25">
      <c r="A531">
        <v>7966083349</v>
      </c>
      <c r="B531" t="s">
        <v>1043</v>
      </c>
      <c r="C531" t="s">
        <v>1044</v>
      </c>
      <c r="D531" t="s">
        <v>7</v>
      </c>
      <c r="E531">
        <v>36923</v>
      </c>
    </row>
    <row r="532" spans="1:5" x14ac:dyDescent="0.25">
      <c r="A532">
        <v>1599457717</v>
      </c>
      <c r="B532" t="s">
        <v>1045</v>
      </c>
      <c r="C532" t="s">
        <v>1046</v>
      </c>
      <c r="D532" t="s">
        <v>7</v>
      </c>
      <c r="E532">
        <v>33272</v>
      </c>
    </row>
    <row r="533" spans="1:5" x14ac:dyDescent="0.25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</row>
    <row r="534" spans="1:5" x14ac:dyDescent="0.25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</row>
    <row r="535" spans="1:5" x14ac:dyDescent="0.25">
      <c r="A535">
        <v>5795848808</v>
      </c>
      <c r="B535" t="s">
        <v>518</v>
      </c>
      <c r="C535" t="s">
        <v>1050</v>
      </c>
      <c r="D535" t="s">
        <v>10</v>
      </c>
      <c r="E535">
        <v>92315</v>
      </c>
    </row>
    <row r="536" spans="1:5" x14ac:dyDescent="0.25">
      <c r="A536">
        <v>7249524151</v>
      </c>
      <c r="B536" t="s">
        <v>276</v>
      </c>
      <c r="C536" t="s">
        <v>1051</v>
      </c>
      <c r="D536" t="s">
        <v>10</v>
      </c>
      <c r="E536">
        <v>77547</v>
      </c>
    </row>
    <row r="537" spans="1:5" x14ac:dyDescent="0.25">
      <c r="A537">
        <v>3235176993</v>
      </c>
      <c r="B537" t="s">
        <v>1052</v>
      </c>
      <c r="C537" t="s">
        <v>1053</v>
      </c>
      <c r="D537" t="s">
        <v>7</v>
      </c>
      <c r="E537">
        <v>60549</v>
      </c>
    </row>
    <row r="538" spans="1:5" x14ac:dyDescent="0.25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</row>
    <row r="539" spans="1:5" x14ac:dyDescent="0.25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</row>
    <row r="540" spans="1:5" x14ac:dyDescent="0.25">
      <c r="A540">
        <v>5082945165</v>
      </c>
      <c r="B540" t="s">
        <v>1058</v>
      </c>
      <c r="C540" t="s">
        <v>1059</v>
      </c>
      <c r="D540" t="s">
        <v>7</v>
      </c>
      <c r="E540">
        <v>57158</v>
      </c>
    </row>
    <row r="541" spans="1:5" x14ac:dyDescent="0.25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</row>
    <row r="542" spans="1:5" x14ac:dyDescent="0.25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</row>
    <row r="543" spans="1:5" x14ac:dyDescent="0.25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</row>
    <row r="544" spans="1:5" x14ac:dyDescent="0.25">
      <c r="A544">
        <v>3609467622</v>
      </c>
      <c r="B544" t="s">
        <v>1066</v>
      </c>
      <c r="C544" t="s">
        <v>1067</v>
      </c>
      <c r="D544" t="s">
        <v>7</v>
      </c>
      <c r="E544">
        <v>45564</v>
      </c>
    </row>
    <row r="545" spans="1:5" x14ac:dyDescent="0.25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</row>
    <row r="546" spans="1:5" x14ac:dyDescent="0.25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</row>
    <row r="547" spans="1:5" x14ac:dyDescent="0.25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</row>
    <row r="548" spans="1:5" x14ac:dyDescent="0.25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</row>
    <row r="549" spans="1:5" x14ac:dyDescent="0.25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</row>
    <row r="550" spans="1:5" x14ac:dyDescent="0.25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</row>
    <row r="551" spans="1:5" x14ac:dyDescent="0.25">
      <c r="A551">
        <v>4328154427</v>
      </c>
      <c r="B551" t="s">
        <v>1079</v>
      </c>
      <c r="C551" t="s">
        <v>1080</v>
      </c>
      <c r="D551" t="s">
        <v>7</v>
      </c>
      <c r="E551">
        <v>34691</v>
      </c>
    </row>
    <row r="552" spans="1:5" x14ac:dyDescent="0.25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</row>
    <row r="553" spans="1:5" x14ac:dyDescent="0.25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</row>
    <row r="554" spans="1:5" x14ac:dyDescent="0.25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</row>
    <row r="555" spans="1:5" x14ac:dyDescent="0.25">
      <c r="A555">
        <v>4502817627</v>
      </c>
      <c r="B555" t="s">
        <v>1087</v>
      </c>
      <c r="C555" t="s">
        <v>1088</v>
      </c>
      <c r="D555" t="s">
        <v>7</v>
      </c>
      <c r="E555">
        <v>63908</v>
      </c>
    </row>
    <row r="556" spans="1:5" x14ac:dyDescent="0.25">
      <c r="A556">
        <v>7794042674</v>
      </c>
      <c r="B556" t="s">
        <v>1089</v>
      </c>
      <c r="C556" t="s">
        <v>1090</v>
      </c>
      <c r="D556" t="s">
        <v>7</v>
      </c>
      <c r="E556">
        <v>48616</v>
      </c>
    </row>
    <row r="557" spans="1:5" x14ac:dyDescent="0.25">
      <c r="A557">
        <v>7637608875</v>
      </c>
      <c r="B557" t="s">
        <v>1091</v>
      </c>
      <c r="C557" t="s">
        <v>1092</v>
      </c>
      <c r="D557" t="s">
        <v>7</v>
      </c>
      <c r="E557">
        <v>49539</v>
      </c>
    </row>
    <row r="558" spans="1:5" x14ac:dyDescent="0.25">
      <c r="A558">
        <v>2411473303</v>
      </c>
      <c r="B558" t="s">
        <v>1093</v>
      </c>
      <c r="C558" t="s">
        <v>395</v>
      </c>
      <c r="D558" t="s">
        <v>29</v>
      </c>
      <c r="E558">
        <v>76803</v>
      </c>
    </row>
    <row r="559" spans="1:5" x14ac:dyDescent="0.25">
      <c r="A559">
        <v>9369490930</v>
      </c>
      <c r="B559" t="s">
        <v>1094</v>
      </c>
      <c r="C559" t="s">
        <v>1095</v>
      </c>
      <c r="D559" t="s">
        <v>7</v>
      </c>
      <c r="E559">
        <v>47086</v>
      </c>
    </row>
    <row r="560" spans="1:5" x14ac:dyDescent="0.25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</row>
    <row r="561" spans="1:5" x14ac:dyDescent="0.25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</row>
    <row r="562" spans="1:5" x14ac:dyDescent="0.25">
      <c r="A562">
        <v>8099854152</v>
      </c>
      <c r="B562" t="s">
        <v>925</v>
      </c>
      <c r="C562" t="s">
        <v>1100</v>
      </c>
      <c r="D562" t="s">
        <v>7</v>
      </c>
      <c r="E562">
        <v>33576</v>
      </c>
    </row>
    <row r="563" spans="1:5" x14ac:dyDescent="0.25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</row>
    <row r="564" spans="1:5" x14ac:dyDescent="0.25">
      <c r="A564">
        <v>3060876401</v>
      </c>
      <c r="B564" t="s">
        <v>1103</v>
      </c>
      <c r="C564" t="s">
        <v>1104</v>
      </c>
      <c r="D564" t="s">
        <v>7</v>
      </c>
      <c r="E564">
        <v>41863</v>
      </c>
    </row>
    <row r="565" spans="1:5" x14ac:dyDescent="0.25">
      <c r="A565">
        <v>960994726</v>
      </c>
      <c r="B565" t="s">
        <v>1105</v>
      </c>
      <c r="C565" t="s">
        <v>372</v>
      </c>
      <c r="D565" t="s">
        <v>29</v>
      </c>
      <c r="E565">
        <v>76727</v>
      </c>
    </row>
    <row r="566" spans="1:5" x14ac:dyDescent="0.25">
      <c r="A566">
        <v>4306425231</v>
      </c>
      <c r="B566" t="s">
        <v>1106</v>
      </c>
      <c r="C566" t="s">
        <v>1107</v>
      </c>
      <c r="D566" t="s">
        <v>7</v>
      </c>
      <c r="E566">
        <v>44821</v>
      </c>
    </row>
    <row r="567" spans="1:5" x14ac:dyDescent="0.25">
      <c r="A567">
        <v>844376051</v>
      </c>
      <c r="B567" t="s">
        <v>1108</v>
      </c>
      <c r="C567" t="s">
        <v>1109</v>
      </c>
      <c r="D567" t="s">
        <v>7</v>
      </c>
      <c r="E567">
        <v>45096</v>
      </c>
    </row>
    <row r="568" spans="1:5" x14ac:dyDescent="0.25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</row>
    <row r="569" spans="1:5" x14ac:dyDescent="0.25">
      <c r="A569">
        <v>5998486889</v>
      </c>
      <c r="B569" t="s">
        <v>1112</v>
      </c>
      <c r="C569" t="s">
        <v>1113</v>
      </c>
      <c r="D569" t="s">
        <v>7</v>
      </c>
      <c r="E569">
        <v>57024</v>
      </c>
    </row>
    <row r="570" spans="1:5" x14ac:dyDescent="0.25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</row>
    <row r="571" spans="1:5" x14ac:dyDescent="0.25">
      <c r="A571">
        <v>899126162</v>
      </c>
      <c r="B571" t="s">
        <v>1116</v>
      </c>
      <c r="C571" t="s">
        <v>1117</v>
      </c>
      <c r="D571" t="s">
        <v>29</v>
      </c>
      <c r="E571">
        <v>61001</v>
      </c>
    </row>
    <row r="572" spans="1:5" x14ac:dyDescent="0.25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</row>
    <row r="573" spans="1:5" x14ac:dyDescent="0.25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</row>
    <row r="574" spans="1:5" x14ac:dyDescent="0.25">
      <c r="A574">
        <v>1969484233</v>
      </c>
      <c r="B574" t="s">
        <v>921</v>
      </c>
      <c r="C574" t="s">
        <v>1122</v>
      </c>
      <c r="D574" t="s">
        <v>7</v>
      </c>
      <c r="E574">
        <v>40510</v>
      </c>
    </row>
    <row r="575" spans="1:5" x14ac:dyDescent="0.25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</row>
    <row r="576" spans="1:5" x14ac:dyDescent="0.25">
      <c r="A576">
        <v>4487905370</v>
      </c>
      <c r="B576" t="s">
        <v>1125</v>
      </c>
      <c r="C576" t="s">
        <v>1126</v>
      </c>
      <c r="D576" t="s">
        <v>7</v>
      </c>
      <c r="E576">
        <v>63935</v>
      </c>
    </row>
    <row r="577" spans="1:5" x14ac:dyDescent="0.25">
      <c r="A577">
        <v>9548500949</v>
      </c>
      <c r="B577" t="s">
        <v>1127</v>
      </c>
      <c r="C577" t="s">
        <v>1128</v>
      </c>
      <c r="D577" t="s">
        <v>7</v>
      </c>
      <c r="E577">
        <v>60056</v>
      </c>
    </row>
    <row r="578" spans="1:5" x14ac:dyDescent="0.25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</row>
    <row r="579" spans="1:5" x14ac:dyDescent="0.25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</row>
    <row r="580" spans="1:5" x14ac:dyDescent="0.25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</row>
    <row r="581" spans="1:5" x14ac:dyDescent="0.25">
      <c r="A581">
        <v>7240169995</v>
      </c>
      <c r="B581" t="s">
        <v>280</v>
      </c>
      <c r="C581" t="s">
        <v>810</v>
      </c>
      <c r="D581" t="s">
        <v>7</v>
      </c>
      <c r="E581">
        <v>52553</v>
      </c>
    </row>
    <row r="582" spans="1:5" x14ac:dyDescent="0.25">
      <c r="A582">
        <v>9096285417</v>
      </c>
      <c r="B582" t="s">
        <v>1135</v>
      </c>
      <c r="C582" t="s">
        <v>1136</v>
      </c>
      <c r="D582" t="s">
        <v>7</v>
      </c>
      <c r="E582">
        <v>34150</v>
      </c>
    </row>
    <row r="583" spans="1:5" x14ac:dyDescent="0.25">
      <c r="A583">
        <v>2376099331</v>
      </c>
      <c r="B583" t="s">
        <v>1137</v>
      </c>
      <c r="C583" t="s">
        <v>1138</v>
      </c>
      <c r="D583" t="s">
        <v>7</v>
      </c>
      <c r="E583">
        <v>40035</v>
      </c>
    </row>
    <row r="584" spans="1:5" x14ac:dyDescent="0.25">
      <c r="A584">
        <v>797787712</v>
      </c>
      <c r="B584" t="s">
        <v>1139</v>
      </c>
      <c r="C584" t="s">
        <v>1140</v>
      </c>
      <c r="D584" t="s">
        <v>29</v>
      </c>
      <c r="E584">
        <v>53868</v>
      </c>
    </row>
    <row r="585" spans="1:5" x14ac:dyDescent="0.25">
      <c r="A585">
        <v>1028388519</v>
      </c>
      <c r="B585" t="s">
        <v>1141</v>
      </c>
      <c r="C585" t="s">
        <v>1142</v>
      </c>
      <c r="D585" t="s">
        <v>7</v>
      </c>
      <c r="E585">
        <v>35149</v>
      </c>
    </row>
    <row r="586" spans="1:5" x14ac:dyDescent="0.25">
      <c r="A586">
        <v>3600185284</v>
      </c>
      <c r="B586" t="s">
        <v>303</v>
      </c>
      <c r="C586" t="s">
        <v>1143</v>
      </c>
      <c r="D586" t="s">
        <v>29</v>
      </c>
      <c r="E586">
        <v>52134</v>
      </c>
    </row>
    <row r="587" spans="1:5" x14ac:dyDescent="0.25">
      <c r="A587">
        <v>247438790</v>
      </c>
      <c r="B587" t="s">
        <v>1144</v>
      </c>
      <c r="C587" t="s">
        <v>1145</v>
      </c>
      <c r="D587" t="s">
        <v>7</v>
      </c>
      <c r="E587">
        <v>57958</v>
      </c>
    </row>
    <row r="588" spans="1:5" x14ac:dyDescent="0.25">
      <c r="A588">
        <v>4188124377</v>
      </c>
      <c r="B588" t="s">
        <v>1146</v>
      </c>
      <c r="C588" t="s">
        <v>1147</v>
      </c>
      <c r="D588" t="s">
        <v>7</v>
      </c>
      <c r="E588">
        <v>42063</v>
      </c>
    </row>
    <row r="589" spans="1:5" x14ac:dyDescent="0.25">
      <c r="A589">
        <v>471886378</v>
      </c>
      <c r="B589" t="s">
        <v>1148</v>
      </c>
      <c r="C589" t="s">
        <v>1149</v>
      </c>
      <c r="D589" t="s">
        <v>29</v>
      </c>
      <c r="E589">
        <v>65588</v>
      </c>
    </row>
    <row r="590" spans="1:5" x14ac:dyDescent="0.25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</row>
    <row r="591" spans="1:5" x14ac:dyDescent="0.25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</row>
    <row r="592" spans="1:5" x14ac:dyDescent="0.25">
      <c r="A592">
        <v>7338728615</v>
      </c>
      <c r="B592" t="s">
        <v>1154</v>
      </c>
      <c r="C592" t="s">
        <v>1155</v>
      </c>
      <c r="D592" t="s">
        <v>7</v>
      </c>
      <c r="E592">
        <v>61730</v>
      </c>
    </row>
    <row r="593" spans="1:5" x14ac:dyDescent="0.25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</row>
    <row r="594" spans="1:5" x14ac:dyDescent="0.25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</row>
    <row r="595" spans="1:5" x14ac:dyDescent="0.25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</row>
    <row r="596" spans="1:5" x14ac:dyDescent="0.25">
      <c r="A596">
        <v>901154172</v>
      </c>
      <c r="B596" t="s">
        <v>1162</v>
      </c>
      <c r="C596" t="s">
        <v>1163</v>
      </c>
      <c r="D596" t="s">
        <v>29</v>
      </c>
      <c r="E596">
        <v>79983</v>
      </c>
    </row>
    <row r="597" spans="1:5" x14ac:dyDescent="0.25">
      <c r="A597">
        <v>2958727874</v>
      </c>
      <c r="B597" t="s">
        <v>1164</v>
      </c>
      <c r="C597" t="s">
        <v>1165</v>
      </c>
      <c r="D597" t="s">
        <v>7</v>
      </c>
      <c r="E597">
        <v>43950</v>
      </c>
    </row>
    <row r="598" spans="1:5" x14ac:dyDescent="0.25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</row>
    <row r="599" spans="1:5" x14ac:dyDescent="0.25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</row>
    <row r="600" spans="1:5" x14ac:dyDescent="0.25">
      <c r="A600">
        <v>4815280800</v>
      </c>
      <c r="B600" t="s">
        <v>222</v>
      </c>
      <c r="C600" t="s">
        <v>1170</v>
      </c>
      <c r="D600" t="s">
        <v>7</v>
      </c>
      <c r="E600">
        <v>38701</v>
      </c>
    </row>
    <row r="601" spans="1:5" x14ac:dyDescent="0.25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</row>
    <row r="602" spans="1:5" x14ac:dyDescent="0.25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</row>
    <row r="603" spans="1:5" x14ac:dyDescent="0.25">
      <c r="A603">
        <v>4839119791</v>
      </c>
      <c r="B603" t="s">
        <v>457</v>
      </c>
      <c r="C603" t="s">
        <v>1175</v>
      </c>
      <c r="D603" t="s">
        <v>10</v>
      </c>
      <c r="E603">
        <v>80045</v>
      </c>
    </row>
    <row r="604" spans="1:5" x14ac:dyDescent="0.25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</row>
    <row r="605" spans="1:5" x14ac:dyDescent="0.25">
      <c r="A605">
        <v>2280674246</v>
      </c>
      <c r="B605" t="s">
        <v>1178</v>
      </c>
      <c r="C605" t="s">
        <v>1179</v>
      </c>
      <c r="D605" t="s">
        <v>7</v>
      </c>
      <c r="E605">
        <v>62574</v>
      </c>
    </row>
    <row r="606" spans="1:5" x14ac:dyDescent="0.25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</row>
    <row r="607" spans="1:5" x14ac:dyDescent="0.25">
      <c r="A607">
        <v>232367817</v>
      </c>
      <c r="B607" t="s">
        <v>1182</v>
      </c>
      <c r="C607" t="s">
        <v>1183</v>
      </c>
      <c r="D607" t="s">
        <v>10</v>
      </c>
      <c r="E607">
        <v>83247</v>
      </c>
    </row>
    <row r="608" spans="1:5" x14ac:dyDescent="0.25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</row>
    <row r="609" spans="1:5" x14ac:dyDescent="0.25">
      <c r="A609">
        <v>264454596</v>
      </c>
      <c r="B609" t="s">
        <v>824</v>
      </c>
      <c r="C609" t="s">
        <v>1186</v>
      </c>
      <c r="D609" t="s">
        <v>10</v>
      </c>
      <c r="E609">
        <v>83815</v>
      </c>
    </row>
    <row r="610" spans="1:5" x14ac:dyDescent="0.25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</row>
    <row r="611" spans="1:5" x14ac:dyDescent="0.25">
      <c r="A611">
        <v>8850022085</v>
      </c>
      <c r="B611" t="s">
        <v>1189</v>
      </c>
      <c r="C611" t="s">
        <v>1190</v>
      </c>
      <c r="D611" t="s">
        <v>7</v>
      </c>
      <c r="E611">
        <v>52669</v>
      </c>
    </row>
    <row r="612" spans="1:5" x14ac:dyDescent="0.25">
      <c r="A612">
        <v>7585281072</v>
      </c>
      <c r="B612" t="s">
        <v>1191</v>
      </c>
      <c r="C612" t="s">
        <v>1192</v>
      </c>
      <c r="D612" t="s">
        <v>7</v>
      </c>
      <c r="E612">
        <v>48015</v>
      </c>
    </row>
    <row r="613" spans="1:5" x14ac:dyDescent="0.25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</row>
    <row r="614" spans="1:5" x14ac:dyDescent="0.25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</row>
    <row r="615" spans="1:5" x14ac:dyDescent="0.25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</row>
    <row r="616" spans="1:5" x14ac:dyDescent="0.25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</row>
    <row r="617" spans="1:5" x14ac:dyDescent="0.25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</row>
    <row r="618" spans="1:5" x14ac:dyDescent="0.25">
      <c r="A618">
        <v>544760832</v>
      </c>
      <c r="B618" t="s">
        <v>1203</v>
      </c>
      <c r="C618" t="s">
        <v>1204</v>
      </c>
      <c r="D618" t="s">
        <v>7</v>
      </c>
      <c r="E618">
        <v>48646</v>
      </c>
    </row>
    <row r="619" spans="1:5" x14ac:dyDescent="0.25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</row>
    <row r="620" spans="1:5" x14ac:dyDescent="0.25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</row>
    <row r="621" spans="1:5" x14ac:dyDescent="0.25">
      <c r="A621">
        <v>263573389</v>
      </c>
      <c r="B621" t="s">
        <v>1209</v>
      </c>
      <c r="C621" t="s">
        <v>1210</v>
      </c>
      <c r="D621" t="s">
        <v>29</v>
      </c>
      <c r="E621">
        <v>69051</v>
      </c>
    </row>
    <row r="622" spans="1:5" x14ac:dyDescent="0.25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</row>
    <row r="623" spans="1:5" x14ac:dyDescent="0.25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</row>
    <row r="624" spans="1:5" x14ac:dyDescent="0.25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</row>
    <row r="625" spans="1:5" x14ac:dyDescent="0.25">
      <c r="A625">
        <v>6284045549</v>
      </c>
      <c r="B625" t="s">
        <v>1217</v>
      </c>
      <c r="C625" t="s">
        <v>1218</v>
      </c>
      <c r="D625" t="s">
        <v>7</v>
      </c>
      <c r="E625">
        <v>61708</v>
      </c>
    </row>
    <row r="626" spans="1:5" x14ac:dyDescent="0.25">
      <c r="A626">
        <v>132027631</v>
      </c>
      <c r="B626" t="s">
        <v>1219</v>
      </c>
      <c r="C626" t="s">
        <v>1220</v>
      </c>
      <c r="D626" t="s">
        <v>29</v>
      </c>
      <c r="E626">
        <v>62126</v>
      </c>
    </row>
    <row r="627" spans="1:5" x14ac:dyDescent="0.25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</row>
    <row r="628" spans="1:5" x14ac:dyDescent="0.25">
      <c r="A628">
        <v>8267733809</v>
      </c>
      <c r="B628" t="s">
        <v>1223</v>
      </c>
      <c r="C628" t="s">
        <v>1224</v>
      </c>
      <c r="D628" t="s">
        <v>7</v>
      </c>
      <c r="E628">
        <v>41928</v>
      </c>
    </row>
    <row r="629" spans="1:5" x14ac:dyDescent="0.25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</row>
    <row r="630" spans="1:5" x14ac:dyDescent="0.25">
      <c r="A630">
        <v>9095573850</v>
      </c>
      <c r="B630" t="s">
        <v>1227</v>
      </c>
      <c r="C630" t="s">
        <v>1228</v>
      </c>
      <c r="D630" t="s">
        <v>7</v>
      </c>
      <c r="E630">
        <v>48251</v>
      </c>
    </row>
    <row r="631" spans="1:5" x14ac:dyDescent="0.25">
      <c r="A631">
        <v>4323727860</v>
      </c>
      <c r="B631" t="s">
        <v>1229</v>
      </c>
      <c r="C631" t="s">
        <v>1230</v>
      </c>
      <c r="D631" t="s">
        <v>7</v>
      </c>
      <c r="E631">
        <v>62832</v>
      </c>
    </row>
    <row r="632" spans="1:5" x14ac:dyDescent="0.25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</row>
    <row r="633" spans="1:5" x14ac:dyDescent="0.25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</row>
    <row r="634" spans="1:5" x14ac:dyDescent="0.25">
      <c r="A634">
        <v>650049144</v>
      </c>
      <c r="B634" t="s">
        <v>1235</v>
      </c>
      <c r="C634" t="s">
        <v>1236</v>
      </c>
      <c r="D634" t="s">
        <v>7</v>
      </c>
      <c r="E634">
        <v>42284</v>
      </c>
    </row>
    <row r="635" spans="1:5" x14ac:dyDescent="0.25">
      <c r="A635">
        <v>8788824691</v>
      </c>
      <c r="B635" t="s">
        <v>1237</v>
      </c>
      <c r="C635" t="s">
        <v>1238</v>
      </c>
      <c r="D635" t="s">
        <v>7</v>
      </c>
      <c r="E635">
        <v>36801</v>
      </c>
    </row>
    <row r="636" spans="1:5" x14ac:dyDescent="0.25">
      <c r="A636">
        <v>6732216945</v>
      </c>
      <c r="B636" t="s">
        <v>1239</v>
      </c>
      <c r="C636" t="s">
        <v>1240</v>
      </c>
      <c r="D636" t="s">
        <v>7</v>
      </c>
      <c r="E636">
        <v>35593</v>
      </c>
    </row>
    <row r="637" spans="1:5" x14ac:dyDescent="0.25">
      <c r="A637">
        <v>6731572691</v>
      </c>
      <c r="B637" t="s">
        <v>1241</v>
      </c>
      <c r="C637" t="s">
        <v>1242</v>
      </c>
      <c r="D637" t="s">
        <v>7</v>
      </c>
      <c r="E637">
        <v>36362</v>
      </c>
    </row>
    <row r="638" spans="1:5" x14ac:dyDescent="0.25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</row>
    <row r="639" spans="1:5" x14ac:dyDescent="0.25">
      <c r="A639">
        <v>8277918739</v>
      </c>
      <c r="B639" t="s">
        <v>1131</v>
      </c>
      <c r="C639" t="s">
        <v>1245</v>
      </c>
      <c r="D639" t="s">
        <v>7</v>
      </c>
      <c r="E639">
        <v>42146</v>
      </c>
    </row>
    <row r="640" spans="1:5" x14ac:dyDescent="0.25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</row>
    <row r="641" spans="1:5" x14ac:dyDescent="0.25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</row>
    <row r="642" spans="1:5" x14ac:dyDescent="0.25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</row>
    <row r="643" spans="1:5" x14ac:dyDescent="0.25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</row>
    <row r="644" spans="1:5" x14ac:dyDescent="0.25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</row>
    <row r="645" spans="1:5" x14ac:dyDescent="0.25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</row>
    <row r="646" spans="1:5" x14ac:dyDescent="0.25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</row>
    <row r="647" spans="1:5" x14ac:dyDescent="0.25">
      <c r="A647">
        <v>502909099</v>
      </c>
      <c r="B647" t="s">
        <v>1259</v>
      </c>
      <c r="C647" t="s">
        <v>1260</v>
      </c>
      <c r="D647" t="s">
        <v>7</v>
      </c>
      <c r="E647">
        <v>43527</v>
      </c>
    </row>
    <row r="648" spans="1:5" x14ac:dyDescent="0.25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</row>
    <row r="649" spans="1:5" x14ac:dyDescent="0.25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</row>
    <row r="650" spans="1:5" x14ac:dyDescent="0.25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</row>
    <row r="651" spans="1:5" x14ac:dyDescent="0.25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</row>
    <row r="652" spans="1:5" x14ac:dyDescent="0.25">
      <c r="A652">
        <v>6321654205</v>
      </c>
      <c r="B652" t="s">
        <v>691</v>
      </c>
      <c r="C652" t="s">
        <v>1269</v>
      </c>
      <c r="D652" t="s">
        <v>29</v>
      </c>
      <c r="E652">
        <v>78338</v>
      </c>
    </row>
    <row r="653" spans="1:5" x14ac:dyDescent="0.25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</row>
    <row r="654" spans="1:5" x14ac:dyDescent="0.25">
      <c r="A654">
        <v>7938954179</v>
      </c>
      <c r="B654" t="s">
        <v>1272</v>
      </c>
      <c r="C654" t="s">
        <v>1273</v>
      </c>
      <c r="D654" t="s">
        <v>7</v>
      </c>
      <c r="E654">
        <v>44924</v>
      </c>
    </row>
    <row r="655" spans="1:5" x14ac:dyDescent="0.25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</row>
    <row r="656" spans="1:5" x14ac:dyDescent="0.25">
      <c r="A656">
        <v>7286297414</v>
      </c>
      <c r="B656" t="s">
        <v>1060</v>
      </c>
      <c r="C656" t="s">
        <v>1276</v>
      </c>
      <c r="D656" t="s">
        <v>7</v>
      </c>
      <c r="E656">
        <v>47678</v>
      </c>
    </row>
    <row r="657" spans="1:5" x14ac:dyDescent="0.25">
      <c r="A657">
        <v>3867281491</v>
      </c>
      <c r="B657" t="s">
        <v>691</v>
      </c>
      <c r="C657" t="s">
        <v>1277</v>
      </c>
      <c r="D657" t="s">
        <v>7</v>
      </c>
      <c r="E657">
        <v>44350</v>
      </c>
    </row>
    <row r="658" spans="1:5" x14ac:dyDescent="0.25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</row>
    <row r="659" spans="1:5" x14ac:dyDescent="0.25">
      <c r="A659">
        <v>4235594176</v>
      </c>
      <c r="B659" t="s">
        <v>1280</v>
      </c>
      <c r="C659" t="s">
        <v>1281</v>
      </c>
      <c r="D659" t="s">
        <v>7</v>
      </c>
      <c r="E659">
        <v>56533</v>
      </c>
    </row>
    <row r="660" spans="1:5" x14ac:dyDescent="0.25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</row>
    <row r="661" spans="1:5" x14ac:dyDescent="0.25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</row>
    <row r="662" spans="1:5" x14ac:dyDescent="0.25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</row>
    <row r="663" spans="1:5" x14ac:dyDescent="0.25">
      <c r="A663">
        <v>1231429186</v>
      </c>
      <c r="B663" t="s">
        <v>1246</v>
      </c>
      <c r="C663" t="s">
        <v>1288</v>
      </c>
      <c r="D663" t="s">
        <v>7</v>
      </c>
      <c r="E663">
        <v>38588</v>
      </c>
    </row>
    <row r="664" spans="1:5" x14ac:dyDescent="0.25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</row>
    <row r="665" spans="1:5" x14ac:dyDescent="0.25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</row>
    <row r="666" spans="1:5" x14ac:dyDescent="0.25">
      <c r="A666">
        <v>5439294325</v>
      </c>
      <c r="B666" t="s">
        <v>1293</v>
      </c>
      <c r="C666" t="s">
        <v>132</v>
      </c>
      <c r="D666" t="s">
        <v>10</v>
      </c>
      <c r="E666">
        <v>94605</v>
      </c>
    </row>
    <row r="667" spans="1:5" x14ac:dyDescent="0.25">
      <c r="A667">
        <v>9305168396</v>
      </c>
      <c r="B667" t="s">
        <v>1294</v>
      </c>
      <c r="C667" t="s">
        <v>1295</v>
      </c>
      <c r="D667" t="s">
        <v>7</v>
      </c>
      <c r="E667">
        <v>56397</v>
      </c>
    </row>
    <row r="668" spans="1:5" x14ac:dyDescent="0.25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</row>
    <row r="669" spans="1:5" x14ac:dyDescent="0.25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</row>
    <row r="670" spans="1:5" x14ac:dyDescent="0.25">
      <c r="A670">
        <v>3580617389</v>
      </c>
      <c r="B670" t="s">
        <v>1300</v>
      </c>
      <c r="C670" t="s">
        <v>1301</v>
      </c>
      <c r="D670" t="s">
        <v>7</v>
      </c>
      <c r="E670">
        <v>30231</v>
      </c>
    </row>
    <row r="671" spans="1:5" x14ac:dyDescent="0.25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</row>
    <row r="672" spans="1:5" x14ac:dyDescent="0.25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</row>
    <row r="673" spans="1:5" x14ac:dyDescent="0.25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</row>
    <row r="674" spans="1:5" x14ac:dyDescent="0.25">
      <c r="A674">
        <v>7966879720</v>
      </c>
      <c r="B674" t="s">
        <v>1308</v>
      </c>
      <c r="C674" t="s">
        <v>1309</v>
      </c>
      <c r="D674" t="s">
        <v>7</v>
      </c>
      <c r="E674">
        <v>42251</v>
      </c>
    </row>
    <row r="675" spans="1:5" x14ac:dyDescent="0.25">
      <c r="A675">
        <v>992720575</v>
      </c>
      <c r="B675" t="s">
        <v>1310</v>
      </c>
      <c r="C675" t="s">
        <v>1311</v>
      </c>
      <c r="D675" t="s">
        <v>7</v>
      </c>
      <c r="E675">
        <v>49548</v>
      </c>
    </row>
    <row r="676" spans="1:5" x14ac:dyDescent="0.25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</row>
    <row r="677" spans="1:5" x14ac:dyDescent="0.25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</row>
    <row r="678" spans="1:5" x14ac:dyDescent="0.25">
      <c r="A678">
        <v>3259018638</v>
      </c>
      <c r="B678" t="s">
        <v>1316</v>
      </c>
      <c r="C678" t="s">
        <v>1317</v>
      </c>
      <c r="D678" t="s">
        <v>7</v>
      </c>
      <c r="E678">
        <v>60364</v>
      </c>
    </row>
    <row r="679" spans="1:5" x14ac:dyDescent="0.25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</row>
    <row r="680" spans="1:5" x14ac:dyDescent="0.25">
      <c r="A680">
        <v>4920920075</v>
      </c>
      <c r="B680" t="s">
        <v>1319</v>
      </c>
      <c r="C680" t="s">
        <v>1320</v>
      </c>
      <c r="D680" t="s">
        <v>7</v>
      </c>
      <c r="E680">
        <v>54277</v>
      </c>
    </row>
    <row r="681" spans="1:5" x14ac:dyDescent="0.25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</row>
    <row r="682" spans="1:5" x14ac:dyDescent="0.25">
      <c r="A682">
        <v>7243767311</v>
      </c>
      <c r="B682" t="s">
        <v>1323</v>
      </c>
      <c r="C682" t="s">
        <v>1324</v>
      </c>
      <c r="D682" t="s">
        <v>7</v>
      </c>
      <c r="E682">
        <v>30256</v>
      </c>
    </row>
    <row r="683" spans="1:5" x14ac:dyDescent="0.25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</row>
    <row r="684" spans="1:5" x14ac:dyDescent="0.25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</row>
    <row r="685" spans="1:5" x14ac:dyDescent="0.25">
      <c r="A685">
        <v>4223282808</v>
      </c>
      <c r="B685" t="s">
        <v>1329</v>
      </c>
      <c r="C685" t="s">
        <v>1330</v>
      </c>
      <c r="D685" t="s">
        <v>7</v>
      </c>
      <c r="E685">
        <v>52880</v>
      </c>
    </row>
    <row r="686" spans="1:5" x14ac:dyDescent="0.25">
      <c r="A686">
        <v>1462166245</v>
      </c>
      <c r="B686" t="s">
        <v>1331</v>
      </c>
      <c r="C686" t="s">
        <v>1332</v>
      </c>
      <c r="D686" t="s">
        <v>7</v>
      </c>
      <c r="E686">
        <v>57979</v>
      </c>
    </row>
    <row r="687" spans="1:5" x14ac:dyDescent="0.25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</row>
    <row r="688" spans="1:5" x14ac:dyDescent="0.25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</row>
    <row r="689" spans="1:5" x14ac:dyDescent="0.25">
      <c r="A689">
        <v>8349606134</v>
      </c>
      <c r="B689" t="s">
        <v>1337</v>
      </c>
      <c r="C689" t="s">
        <v>1338</v>
      </c>
      <c r="D689" t="s">
        <v>7</v>
      </c>
      <c r="E689">
        <v>36618</v>
      </c>
    </row>
    <row r="690" spans="1:5" x14ac:dyDescent="0.25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</row>
    <row r="691" spans="1:5" x14ac:dyDescent="0.25">
      <c r="A691">
        <v>2859566597</v>
      </c>
      <c r="B691" t="s">
        <v>453</v>
      </c>
      <c r="C691" t="s">
        <v>1341</v>
      </c>
      <c r="D691" t="s">
        <v>29</v>
      </c>
      <c r="E691">
        <v>76647</v>
      </c>
    </row>
    <row r="692" spans="1:5" x14ac:dyDescent="0.25">
      <c r="A692">
        <v>2079803735</v>
      </c>
      <c r="B692" t="s">
        <v>1342</v>
      </c>
      <c r="C692" t="s">
        <v>1343</v>
      </c>
      <c r="D692" t="s">
        <v>7</v>
      </c>
      <c r="E692">
        <v>54843</v>
      </c>
    </row>
    <row r="693" spans="1:5" x14ac:dyDescent="0.25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</row>
    <row r="694" spans="1:5" x14ac:dyDescent="0.25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</row>
    <row r="695" spans="1:5" x14ac:dyDescent="0.25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</row>
    <row r="696" spans="1:5" x14ac:dyDescent="0.25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</row>
    <row r="697" spans="1:5" x14ac:dyDescent="0.25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</row>
    <row r="698" spans="1:5" x14ac:dyDescent="0.25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</row>
    <row r="699" spans="1:5" x14ac:dyDescent="0.25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</row>
    <row r="700" spans="1:5" x14ac:dyDescent="0.25">
      <c r="A700">
        <v>3303111790</v>
      </c>
      <c r="B700" t="s">
        <v>1203</v>
      </c>
      <c r="C700" t="s">
        <v>1358</v>
      </c>
      <c r="D700" t="s">
        <v>7</v>
      </c>
      <c r="E700">
        <v>63069</v>
      </c>
    </row>
    <row r="701" spans="1:5" x14ac:dyDescent="0.25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</row>
    <row r="702" spans="1:5" x14ac:dyDescent="0.25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</row>
    <row r="703" spans="1:5" x14ac:dyDescent="0.25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</row>
    <row r="704" spans="1:5" x14ac:dyDescent="0.25">
      <c r="A704">
        <v>7001733199</v>
      </c>
      <c r="B704" t="s">
        <v>1365</v>
      </c>
      <c r="C704" t="s">
        <v>1366</v>
      </c>
      <c r="D704" t="s">
        <v>7</v>
      </c>
      <c r="E704">
        <v>41890</v>
      </c>
    </row>
    <row r="705" spans="1:5" x14ac:dyDescent="0.25">
      <c r="A705">
        <v>6259267215</v>
      </c>
      <c r="B705" t="s">
        <v>1367</v>
      </c>
      <c r="C705" t="s">
        <v>1368</v>
      </c>
      <c r="D705" t="s">
        <v>7</v>
      </c>
      <c r="E705">
        <v>46915</v>
      </c>
    </row>
    <row r="706" spans="1:5" x14ac:dyDescent="0.25">
      <c r="A706">
        <v>7088886472</v>
      </c>
      <c r="B706" t="s">
        <v>1369</v>
      </c>
      <c r="C706" t="s">
        <v>1370</v>
      </c>
      <c r="D706" t="s">
        <v>7</v>
      </c>
      <c r="E706">
        <v>37423</v>
      </c>
    </row>
    <row r="707" spans="1:5" x14ac:dyDescent="0.25">
      <c r="A707">
        <v>9651729414</v>
      </c>
      <c r="B707" t="s">
        <v>1371</v>
      </c>
      <c r="C707" t="s">
        <v>1372</v>
      </c>
      <c r="D707" t="s">
        <v>7</v>
      </c>
      <c r="E707">
        <v>35803</v>
      </c>
    </row>
    <row r="708" spans="1:5" x14ac:dyDescent="0.25">
      <c r="A708">
        <v>1522190236</v>
      </c>
      <c r="B708" t="s">
        <v>1373</v>
      </c>
      <c r="C708" t="s">
        <v>1374</v>
      </c>
      <c r="D708" t="s">
        <v>7</v>
      </c>
      <c r="E708">
        <v>58957</v>
      </c>
    </row>
    <row r="709" spans="1:5" x14ac:dyDescent="0.25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</row>
    <row r="710" spans="1:5" x14ac:dyDescent="0.25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</row>
    <row r="711" spans="1:5" x14ac:dyDescent="0.25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</row>
    <row r="712" spans="1:5" x14ac:dyDescent="0.25">
      <c r="A712">
        <v>8908432159</v>
      </c>
      <c r="B712" t="s">
        <v>1381</v>
      </c>
      <c r="C712" t="s">
        <v>1382</v>
      </c>
      <c r="D712" t="s">
        <v>7</v>
      </c>
      <c r="E712">
        <v>57930</v>
      </c>
    </row>
    <row r="713" spans="1:5" x14ac:dyDescent="0.25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</row>
    <row r="714" spans="1:5" x14ac:dyDescent="0.25">
      <c r="A714">
        <v>7479962290</v>
      </c>
      <c r="B714" t="s">
        <v>1385</v>
      </c>
      <c r="C714" t="s">
        <v>1386</v>
      </c>
      <c r="D714" t="s">
        <v>7</v>
      </c>
      <c r="E714">
        <v>44582</v>
      </c>
    </row>
    <row r="715" spans="1:5" x14ac:dyDescent="0.25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</row>
    <row r="716" spans="1:5" x14ac:dyDescent="0.25">
      <c r="A716">
        <v>9457151267</v>
      </c>
      <c r="B716" t="s">
        <v>1389</v>
      </c>
      <c r="C716" t="s">
        <v>1390</v>
      </c>
      <c r="D716" t="s">
        <v>7</v>
      </c>
      <c r="E716">
        <v>59083</v>
      </c>
    </row>
    <row r="717" spans="1:5" x14ac:dyDescent="0.25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</row>
    <row r="718" spans="1:5" x14ac:dyDescent="0.25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</row>
    <row r="719" spans="1:5" x14ac:dyDescent="0.25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</row>
    <row r="720" spans="1:5" x14ac:dyDescent="0.25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</row>
    <row r="721" spans="1:5" x14ac:dyDescent="0.25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</row>
    <row r="722" spans="1:5" x14ac:dyDescent="0.25">
      <c r="A722">
        <v>5005774041</v>
      </c>
      <c r="B722" t="s">
        <v>1400</v>
      </c>
      <c r="C722" t="s">
        <v>1401</v>
      </c>
      <c r="D722" t="s">
        <v>7</v>
      </c>
      <c r="E722">
        <v>47985</v>
      </c>
    </row>
    <row r="723" spans="1:5" x14ac:dyDescent="0.25">
      <c r="A723">
        <v>3933561566</v>
      </c>
      <c r="B723" t="s">
        <v>1402</v>
      </c>
      <c r="C723" t="s">
        <v>1403</v>
      </c>
      <c r="D723" t="s">
        <v>7</v>
      </c>
      <c r="E723">
        <v>39956</v>
      </c>
    </row>
    <row r="724" spans="1:5" x14ac:dyDescent="0.25">
      <c r="A724">
        <v>7912639675</v>
      </c>
      <c r="B724" t="s">
        <v>1404</v>
      </c>
      <c r="C724" t="s">
        <v>1405</v>
      </c>
      <c r="D724" t="s">
        <v>7</v>
      </c>
      <c r="E724">
        <v>35505</v>
      </c>
    </row>
    <row r="725" spans="1:5" x14ac:dyDescent="0.25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</row>
    <row r="726" spans="1:5" x14ac:dyDescent="0.25">
      <c r="A726">
        <v>513904581</v>
      </c>
      <c r="B726" t="s">
        <v>1223</v>
      </c>
      <c r="C726" t="s">
        <v>1408</v>
      </c>
      <c r="D726" t="s">
        <v>10</v>
      </c>
      <c r="E726">
        <v>98894</v>
      </c>
    </row>
    <row r="727" spans="1:5" x14ac:dyDescent="0.25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</row>
    <row r="728" spans="1:5" x14ac:dyDescent="0.25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</row>
    <row r="729" spans="1:5" x14ac:dyDescent="0.25">
      <c r="A729">
        <v>3097425365</v>
      </c>
      <c r="B729" t="s">
        <v>1413</v>
      </c>
      <c r="C729" t="s">
        <v>1414</v>
      </c>
      <c r="D729" t="s">
        <v>7</v>
      </c>
      <c r="E729">
        <v>48216</v>
      </c>
    </row>
    <row r="730" spans="1:5" x14ac:dyDescent="0.25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</row>
    <row r="731" spans="1:5" x14ac:dyDescent="0.25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</row>
    <row r="732" spans="1:5" x14ac:dyDescent="0.25">
      <c r="A732">
        <v>3217797337</v>
      </c>
      <c r="B732" t="s">
        <v>1419</v>
      </c>
      <c r="C732" t="s">
        <v>1420</v>
      </c>
      <c r="D732" t="s">
        <v>7</v>
      </c>
      <c r="E732">
        <v>57960</v>
      </c>
    </row>
    <row r="733" spans="1:5" x14ac:dyDescent="0.25">
      <c r="A733">
        <v>250257920</v>
      </c>
      <c r="B733" t="s">
        <v>1421</v>
      </c>
      <c r="C733" t="s">
        <v>1422</v>
      </c>
      <c r="D733" t="s">
        <v>29</v>
      </c>
      <c r="E733">
        <v>68286</v>
      </c>
    </row>
    <row r="734" spans="1:5" x14ac:dyDescent="0.25">
      <c r="A734">
        <v>1391414047</v>
      </c>
      <c r="B734" t="s">
        <v>1423</v>
      </c>
      <c r="C734" t="s">
        <v>1424</v>
      </c>
      <c r="D734" t="s">
        <v>7</v>
      </c>
      <c r="E734">
        <v>36170</v>
      </c>
    </row>
    <row r="735" spans="1:5" x14ac:dyDescent="0.25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</row>
    <row r="736" spans="1:5" x14ac:dyDescent="0.25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</row>
    <row r="737" spans="1:5" x14ac:dyDescent="0.25">
      <c r="A737">
        <v>6961242316</v>
      </c>
      <c r="B737" t="s">
        <v>1429</v>
      </c>
      <c r="C737" t="s">
        <v>1430</v>
      </c>
      <c r="D737" t="s">
        <v>7</v>
      </c>
      <c r="E737">
        <v>49504</v>
      </c>
    </row>
    <row r="738" spans="1:5" x14ac:dyDescent="0.25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</row>
    <row r="739" spans="1:5" x14ac:dyDescent="0.25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</row>
    <row r="740" spans="1:5" x14ac:dyDescent="0.25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</row>
    <row r="741" spans="1:5" x14ac:dyDescent="0.25">
      <c r="A741">
        <v>449160092</v>
      </c>
      <c r="B741" t="s">
        <v>1437</v>
      </c>
      <c r="C741" t="s">
        <v>1438</v>
      </c>
      <c r="D741" t="s">
        <v>7</v>
      </c>
      <c r="E741">
        <v>35607</v>
      </c>
    </row>
    <row r="742" spans="1:5" x14ac:dyDescent="0.25">
      <c r="A742">
        <v>2944219065</v>
      </c>
      <c r="B742" t="s">
        <v>1439</v>
      </c>
      <c r="C742" t="s">
        <v>1440</v>
      </c>
      <c r="D742" t="s">
        <v>7</v>
      </c>
      <c r="E742">
        <v>47688</v>
      </c>
    </row>
    <row r="743" spans="1:5" x14ac:dyDescent="0.25">
      <c r="A743">
        <v>6260817967</v>
      </c>
      <c r="B743" t="s">
        <v>1441</v>
      </c>
      <c r="C743" t="s">
        <v>1442</v>
      </c>
      <c r="D743" t="s">
        <v>7</v>
      </c>
      <c r="E743">
        <v>37016</v>
      </c>
    </row>
    <row r="744" spans="1:5" x14ac:dyDescent="0.25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</row>
    <row r="745" spans="1:5" x14ac:dyDescent="0.25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</row>
    <row r="746" spans="1:5" x14ac:dyDescent="0.25">
      <c r="A746">
        <v>797655034</v>
      </c>
      <c r="B746" t="s">
        <v>1447</v>
      </c>
      <c r="C746" t="s">
        <v>1448</v>
      </c>
      <c r="D746" t="s">
        <v>29</v>
      </c>
      <c r="E746">
        <v>65275</v>
      </c>
    </row>
    <row r="747" spans="1:5" x14ac:dyDescent="0.25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</row>
    <row r="748" spans="1:5" x14ac:dyDescent="0.25">
      <c r="A748">
        <v>29906814</v>
      </c>
      <c r="B748" t="s">
        <v>1451</v>
      </c>
      <c r="C748" t="s">
        <v>1452</v>
      </c>
      <c r="D748" t="s">
        <v>29</v>
      </c>
      <c r="E748">
        <v>73967</v>
      </c>
    </row>
    <row r="749" spans="1:5" x14ac:dyDescent="0.25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</row>
    <row r="750" spans="1:5" x14ac:dyDescent="0.25">
      <c r="A750">
        <v>7837437543</v>
      </c>
      <c r="B750" t="s">
        <v>1455</v>
      </c>
      <c r="C750" t="s">
        <v>1456</v>
      </c>
      <c r="D750" t="s">
        <v>7</v>
      </c>
      <c r="E750">
        <v>60633</v>
      </c>
    </row>
    <row r="751" spans="1:5" x14ac:dyDescent="0.25">
      <c r="A751">
        <v>9458901820</v>
      </c>
      <c r="B751" t="s">
        <v>1457</v>
      </c>
      <c r="C751" t="s">
        <v>1458</v>
      </c>
      <c r="D751" t="s">
        <v>7</v>
      </c>
      <c r="E751">
        <v>64311</v>
      </c>
    </row>
    <row r="752" spans="1:5" x14ac:dyDescent="0.25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</row>
    <row r="753" spans="1:5" x14ac:dyDescent="0.25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</row>
    <row r="754" spans="1:5" x14ac:dyDescent="0.25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</row>
    <row r="755" spans="1:5" x14ac:dyDescent="0.25">
      <c r="A755">
        <v>3164004753</v>
      </c>
      <c r="B755" t="s">
        <v>1464</v>
      </c>
      <c r="C755" t="s">
        <v>1465</v>
      </c>
      <c r="D755" t="s">
        <v>7</v>
      </c>
      <c r="E755">
        <v>30622</v>
      </c>
    </row>
    <row r="756" spans="1:5" x14ac:dyDescent="0.25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</row>
    <row r="757" spans="1:5" x14ac:dyDescent="0.25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</row>
    <row r="758" spans="1:5" x14ac:dyDescent="0.25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</row>
    <row r="759" spans="1:5" x14ac:dyDescent="0.25">
      <c r="A759">
        <v>76572129</v>
      </c>
      <c r="B759" t="s">
        <v>1472</v>
      </c>
      <c r="C759" t="s">
        <v>1473</v>
      </c>
      <c r="D759" t="s">
        <v>10</v>
      </c>
      <c r="E759">
        <v>85993</v>
      </c>
    </row>
    <row r="760" spans="1:5" x14ac:dyDescent="0.25">
      <c r="A760">
        <v>6300411419</v>
      </c>
      <c r="B760" t="s">
        <v>1474</v>
      </c>
      <c r="C760" t="s">
        <v>1475</v>
      </c>
      <c r="D760" t="s">
        <v>7</v>
      </c>
      <c r="E760">
        <v>43293</v>
      </c>
    </row>
    <row r="761" spans="1:5" x14ac:dyDescent="0.25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</row>
    <row r="762" spans="1:5" x14ac:dyDescent="0.25">
      <c r="A762">
        <v>5988565948</v>
      </c>
      <c r="B762" t="s">
        <v>1478</v>
      </c>
      <c r="C762" t="s">
        <v>1479</v>
      </c>
      <c r="D762" t="s">
        <v>7</v>
      </c>
      <c r="E762">
        <v>33660</v>
      </c>
    </row>
    <row r="763" spans="1:5" x14ac:dyDescent="0.25">
      <c r="A763">
        <v>8526090127</v>
      </c>
      <c r="B763" t="s">
        <v>1480</v>
      </c>
      <c r="C763" t="s">
        <v>1481</v>
      </c>
      <c r="D763" t="s">
        <v>7</v>
      </c>
      <c r="E763">
        <v>32505</v>
      </c>
    </row>
    <row r="764" spans="1:5" x14ac:dyDescent="0.25">
      <c r="A764">
        <v>8162941088</v>
      </c>
      <c r="B764" t="s">
        <v>1482</v>
      </c>
      <c r="C764" t="s">
        <v>1483</v>
      </c>
      <c r="D764" t="s">
        <v>7</v>
      </c>
      <c r="E764">
        <v>30769</v>
      </c>
    </row>
    <row r="765" spans="1:5" x14ac:dyDescent="0.25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</row>
    <row r="766" spans="1:5" x14ac:dyDescent="0.25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</row>
    <row r="767" spans="1:5" x14ac:dyDescent="0.25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</row>
    <row r="768" spans="1:5" x14ac:dyDescent="0.25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</row>
    <row r="769" spans="1:5" x14ac:dyDescent="0.25">
      <c r="A769">
        <v>2456061896</v>
      </c>
      <c r="B769" t="s">
        <v>1492</v>
      </c>
      <c r="C769" t="s">
        <v>1493</v>
      </c>
      <c r="D769" t="s">
        <v>7</v>
      </c>
      <c r="E769">
        <v>32384</v>
      </c>
    </row>
    <row r="770" spans="1:5" x14ac:dyDescent="0.25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</row>
    <row r="771" spans="1:5" x14ac:dyDescent="0.25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</row>
    <row r="772" spans="1:5" x14ac:dyDescent="0.25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</row>
    <row r="773" spans="1:5" x14ac:dyDescent="0.25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</row>
    <row r="774" spans="1:5" x14ac:dyDescent="0.25">
      <c r="A774">
        <v>116428384</v>
      </c>
      <c r="B774" t="s">
        <v>1502</v>
      </c>
      <c r="C774" t="s">
        <v>1503</v>
      </c>
      <c r="D774" t="s">
        <v>7</v>
      </c>
      <c r="E774">
        <v>49600</v>
      </c>
    </row>
    <row r="775" spans="1:5" x14ac:dyDescent="0.25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</row>
    <row r="776" spans="1:5" x14ac:dyDescent="0.25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</row>
    <row r="777" spans="1:5" x14ac:dyDescent="0.25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</row>
    <row r="778" spans="1:5" x14ac:dyDescent="0.25">
      <c r="A778">
        <v>4691333258</v>
      </c>
      <c r="B778" t="s">
        <v>1510</v>
      </c>
      <c r="C778" t="s">
        <v>1511</v>
      </c>
      <c r="D778" t="s">
        <v>7</v>
      </c>
      <c r="E778">
        <v>39926</v>
      </c>
    </row>
    <row r="779" spans="1:5" x14ac:dyDescent="0.25">
      <c r="A779">
        <v>4878156686</v>
      </c>
      <c r="B779" t="s">
        <v>1512</v>
      </c>
      <c r="C779" t="s">
        <v>1513</v>
      </c>
      <c r="D779" t="s">
        <v>7</v>
      </c>
      <c r="E779">
        <v>38736</v>
      </c>
    </row>
    <row r="780" spans="1:5" x14ac:dyDescent="0.25">
      <c r="A780">
        <v>8832488175</v>
      </c>
      <c r="B780" t="s">
        <v>81</v>
      </c>
      <c r="C780" t="s">
        <v>1497</v>
      </c>
      <c r="D780" t="s">
        <v>29</v>
      </c>
      <c r="E780">
        <v>50688</v>
      </c>
    </row>
    <row r="781" spans="1:5" x14ac:dyDescent="0.25">
      <c r="A781">
        <v>483886254</v>
      </c>
      <c r="B781" t="s">
        <v>1514</v>
      </c>
      <c r="C781" t="s">
        <v>1515</v>
      </c>
      <c r="D781" t="s">
        <v>7</v>
      </c>
      <c r="E781">
        <v>58261</v>
      </c>
    </row>
    <row r="782" spans="1:5" x14ac:dyDescent="0.25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</row>
    <row r="783" spans="1:5" x14ac:dyDescent="0.25">
      <c r="A783">
        <v>2426144645</v>
      </c>
      <c r="B783" t="s">
        <v>1518</v>
      </c>
      <c r="C783" t="s">
        <v>1519</v>
      </c>
      <c r="D783" t="s">
        <v>7</v>
      </c>
      <c r="E783">
        <v>32787</v>
      </c>
    </row>
    <row r="784" spans="1:5" x14ac:dyDescent="0.25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</row>
    <row r="785" spans="1:5" x14ac:dyDescent="0.25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</row>
    <row r="786" spans="1:5" x14ac:dyDescent="0.25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</row>
    <row r="787" spans="1:5" x14ac:dyDescent="0.25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</row>
    <row r="788" spans="1:5" x14ac:dyDescent="0.25">
      <c r="A788">
        <v>1892125439</v>
      </c>
      <c r="B788" t="s">
        <v>600</v>
      </c>
      <c r="C788" t="s">
        <v>1528</v>
      </c>
      <c r="D788" t="s">
        <v>10</v>
      </c>
      <c r="E788">
        <v>95373</v>
      </c>
    </row>
    <row r="789" spans="1:5" x14ac:dyDescent="0.25">
      <c r="A789">
        <v>37593587</v>
      </c>
      <c r="B789" t="s">
        <v>1529</v>
      </c>
      <c r="C789" t="s">
        <v>1530</v>
      </c>
      <c r="D789" t="s">
        <v>10</v>
      </c>
      <c r="E789">
        <v>112138</v>
      </c>
    </row>
    <row r="790" spans="1:5" x14ac:dyDescent="0.25">
      <c r="A790">
        <v>5675852751</v>
      </c>
      <c r="B790" t="s">
        <v>1531</v>
      </c>
      <c r="C790" t="s">
        <v>130</v>
      </c>
      <c r="D790" t="s">
        <v>7</v>
      </c>
      <c r="E790">
        <v>62435</v>
      </c>
    </row>
    <row r="791" spans="1:5" x14ac:dyDescent="0.25">
      <c r="A791">
        <v>8370379001</v>
      </c>
      <c r="B791" t="s">
        <v>1532</v>
      </c>
      <c r="C791" t="s">
        <v>1533</v>
      </c>
      <c r="D791" t="s">
        <v>7</v>
      </c>
      <c r="E791">
        <v>57499</v>
      </c>
    </row>
    <row r="792" spans="1:5" x14ac:dyDescent="0.25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</row>
    <row r="793" spans="1:5" x14ac:dyDescent="0.25">
      <c r="A793">
        <v>6894004730</v>
      </c>
      <c r="B793" t="s">
        <v>1536</v>
      </c>
      <c r="C793" t="s">
        <v>1537</v>
      </c>
      <c r="D793" t="s">
        <v>7</v>
      </c>
      <c r="E793">
        <v>41307</v>
      </c>
    </row>
    <row r="794" spans="1:5" x14ac:dyDescent="0.25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</row>
    <row r="795" spans="1:5" x14ac:dyDescent="0.25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</row>
    <row r="796" spans="1:5" x14ac:dyDescent="0.25">
      <c r="A796">
        <v>278558984</v>
      </c>
      <c r="B796" t="s">
        <v>1542</v>
      </c>
      <c r="C796" t="s">
        <v>1543</v>
      </c>
      <c r="D796" t="s">
        <v>29</v>
      </c>
      <c r="E796">
        <v>62792</v>
      </c>
    </row>
    <row r="797" spans="1:5" x14ac:dyDescent="0.25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</row>
    <row r="798" spans="1:5" x14ac:dyDescent="0.25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</row>
    <row r="799" spans="1:5" x14ac:dyDescent="0.25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</row>
    <row r="800" spans="1:5" x14ac:dyDescent="0.25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</row>
    <row r="801" spans="1:5" x14ac:dyDescent="0.25">
      <c r="A801">
        <v>324399618</v>
      </c>
      <c r="B801" t="s">
        <v>1552</v>
      </c>
      <c r="C801" t="s">
        <v>205</v>
      </c>
      <c r="D801" t="s">
        <v>7</v>
      </c>
      <c r="E801">
        <v>32171</v>
      </c>
    </row>
    <row r="802" spans="1:5" x14ac:dyDescent="0.25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</row>
    <row r="803" spans="1:5" x14ac:dyDescent="0.25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</row>
    <row r="804" spans="1:5" x14ac:dyDescent="0.25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</row>
    <row r="805" spans="1:5" x14ac:dyDescent="0.25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</row>
    <row r="806" spans="1:5" x14ac:dyDescent="0.25">
      <c r="A806">
        <v>9223618401</v>
      </c>
      <c r="B806" t="s">
        <v>628</v>
      </c>
      <c r="C806" t="s">
        <v>1561</v>
      </c>
      <c r="D806" t="s">
        <v>7</v>
      </c>
      <c r="E806">
        <v>35362</v>
      </c>
    </row>
    <row r="807" spans="1:5" x14ac:dyDescent="0.25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</row>
    <row r="808" spans="1:5" x14ac:dyDescent="0.25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</row>
    <row r="809" spans="1:5" x14ac:dyDescent="0.25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</row>
    <row r="810" spans="1:5" x14ac:dyDescent="0.25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</row>
    <row r="811" spans="1:5" x14ac:dyDescent="0.25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</row>
    <row r="812" spans="1:5" x14ac:dyDescent="0.25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</row>
    <row r="813" spans="1:5" x14ac:dyDescent="0.25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</row>
    <row r="814" spans="1:5" x14ac:dyDescent="0.25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</row>
    <row r="815" spans="1:5" x14ac:dyDescent="0.25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</row>
    <row r="816" spans="1:5" x14ac:dyDescent="0.25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</row>
    <row r="817" spans="1:5" x14ac:dyDescent="0.25">
      <c r="A817">
        <v>3463222345</v>
      </c>
      <c r="B817" t="s">
        <v>1582</v>
      </c>
      <c r="C817" t="s">
        <v>1583</v>
      </c>
      <c r="D817" t="s">
        <v>7</v>
      </c>
      <c r="E817">
        <v>50537</v>
      </c>
    </row>
    <row r="818" spans="1:5" x14ac:dyDescent="0.25">
      <c r="A818">
        <v>4075444457</v>
      </c>
      <c r="B818" t="s">
        <v>185</v>
      </c>
      <c r="C818" t="s">
        <v>1584</v>
      </c>
      <c r="D818" t="s">
        <v>10</v>
      </c>
      <c r="E818">
        <v>91957</v>
      </c>
    </row>
    <row r="819" spans="1:5" x14ac:dyDescent="0.25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</row>
    <row r="820" spans="1:5" x14ac:dyDescent="0.25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</row>
    <row r="821" spans="1:5" x14ac:dyDescent="0.25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</row>
    <row r="822" spans="1:5" x14ac:dyDescent="0.25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</row>
    <row r="823" spans="1:5" x14ac:dyDescent="0.25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</row>
    <row r="824" spans="1:5" x14ac:dyDescent="0.25">
      <c r="A824">
        <v>4278470843</v>
      </c>
      <c r="B824" t="s">
        <v>1595</v>
      </c>
      <c r="C824" t="s">
        <v>1596</v>
      </c>
      <c r="D824" t="s">
        <v>7</v>
      </c>
      <c r="E824">
        <v>61463</v>
      </c>
    </row>
    <row r="825" spans="1:5" x14ac:dyDescent="0.25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</row>
    <row r="826" spans="1:5" x14ac:dyDescent="0.25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</row>
    <row r="827" spans="1:5" x14ac:dyDescent="0.25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</row>
    <row r="828" spans="1:5" x14ac:dyDescent="0.25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</row>
    <row r="829" spans="1:5" x14ac:dyDescent="0.25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</row>
    <row r="830" spans="1:5" x14ac:dyDescent="0.25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</row>
    <row r="831" spans="1:5" x14ac:dyDescent="0.25">
      <c r="A831">
        <v>1664426442</v>
      </c>
      <c r="B831" t="s">
        <v>1609</v>
      </c>
      <c r="C831" t="s">
        <v>1610</v>
      </c>
      <c r="D831" t="s">
        <v>7</v>
      </c>
      <c r="E831">
        <v>57195</v>
      </c>
    </row>
    <row r="832" spans="1:5" x14ac:dyDescent="0.25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</row>
    <row r="833" spans="1:5" x14ac:dyDescent="0.25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</row>
    <row r="834" spans="1:5" x14ac:dyDescent="0.25">
      <c r="A834">
        <v>8705788102</v>
      </c>
      <c r="B834" t="s">
        <v>1615</v>
      </c>
      <c r="C834" t="s">
        <v>1616</v>
      </c>
      <c r="D834" t="s">
        <v>7</v>
      </c>
      <c r="E834">
        <v>61019</v>
      </c>
    </row>
    <row r="835" spans="1:5" x14ac:dyDescent="0.25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</row>
    <row r="836" spans="1:5" x14ac:dyDescent="0.25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</row>
    <row r="837" spans="1:5" x14ac:dyDescent="0.25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</row>
    <row r="838" spans="1:5" x14ac:dyDescent="0.25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</row>
    <row r="839" spans="1:5" x14ac:dyDescent="0.25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</row>
    <row r="840" spans="1:5" x14ac:dyDescent="0.25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</row>
    <row r="841" spans="1:5" x14ac:dyDescent="0.25">
      <c r="A841">
        <v>3016446324</v>
      </c>
      <c r="B841" t="s">
        <v>1628</v>
      </c>
      <c r="C841" t="s">
        <v>1629</v>
      </c>
      <c r="D841" t="s">
        <v>7</v>
      </c>
      <c r="E841">
        <v>45261</v>
      </c>
    </row>
    <row r="842" spans="1:5" x14ac:dyDescent="0.25">
      <c r="A842">
        <v>858481901</v>
      </c>
      <c r="B842" t="s">
        <v>1630</v>
      </c>
      <c r="C842" t="s">
        <v>1631</v>
      </c>
      <c r="D842" t="s">
        <v>10</v>
      </c>
      <c r="E842">
        <v>78794</v>
      </c>
    </row>
    <row r="843" spans="1:5" x14ac:dyDescent="0.25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</row>
    <row r="844" spans="1:5" x14ac:dyDescent="0.25">
      <c r="A844">
        <v>2592292012</v>
      </c>
      <c r="B844" t="s">
        <v>1634</v>
      </c>
      <c r="C844" t="s">
        <v>1635</v>
      </c>
      <c r="D844" t="s">
        <v>7</v>
      </c>
      <c r="E844">
        <v>40895</v>
      </c>
    </row>
    <row r="845" spans="1:5" x14ac:dyDescent="0.25">
      <c r="A845">
        <v>9312128221</v>
      </c>
      <c r="B845" t="s">
        <v>1636</v>
      </c>
      <c r="C845" t="s">
        <v>1637</v>
      </c>
      <c r="D845" t="s">
        <v>7</v>
      </c>
      <c r="E845">
        <v>49598</v>
      </c>
    </row>
    <row r="846" spans="1:5" x14ac:dyDescent="0.25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</row>
    <row r="847" spans="1:5" x14ac:dyDescent="0.25">
      <c r="A847">
        <v>959209328</v>
      </c>
      <c r="B847" t="s">
        <v>1549</v>
      </c>
      <c r="C847" t="s">
        <v>1640</v>
      </c>
      <c r="D847" t="s">
        <v>7</v>
      </c>
      <c r="E847">
        <v>48352</v>
      </c>
    </row>
    <row r="848" spans="1:5" x14ac:dyDescent="0.25">
      <c r="A848">
        <v>4866916575</v>
      </c>
      <c r="B848" t="s">
        <v>1641</v>
      </c>
      <c r="C848" t="s">
        <v>1642</v>
      </c>
      <c r="D848" t="s">
        <v>7</v>
      </c>
      <c r="E848">
        <v>45185</v>
      </c>
    </row>
    <row r="849" spans="1:5" x14ac:dyDescent="0.25">
      <c r="A849">
        <v>4191160419</v>
      </c>
      <c r="B849" t="s">
        <v>1643</v>
      </c>
      <c r="C849" t="s">
        <v>1644</v>
      </c>
      <c r="D849" t="s">
        <v>7</v>
      </c>
      <c r="E849">
        <v>39616</v>
      </c>
    </row>
    <row r="850" spans="1:5" x14ac:dyDescent="0.25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</row>
    <row r="851" spans="1:5" x14ac:dyDescent="0.25">
      <c r="A851">
        <v>5117202538</v>
      </c>
      <c r="B851" t="s">
        <v>1647</v>
      </c>
      <c r="C851" t="s">
        <v>1648</v>
      </c>
      <c r="D851" t="s">
        <v>7</v>
      </c>
      <c r="E851">
        <v>35279</v>
      </c>
    </row>
    <row r="852" spans="1:5" x14ac:dyDescent="0.25">
      <c r="A852">
        <v>1657097021</v>
      </c>
      <c r="B852" t="s">
        <v>1649</v>
      </c>
      <c r="C852" t="s">
        <v>1650</v>
      </c>
      <c r="D852" t="s">
        <v>7</v>
      </c>
      <c r="E852">
        <v>50269</v>
      </c>
    </row>
    <row r="853" spans="1:5" x14ac:dyDescent="0.25">
      <c r="A853">
        <v>999389173</v>
      </c>
      <c r="B853" t="s">
        <v>1651</v>
      </c>
      <c r="C853" t="s">
        <v>1652</v>
      </c>
      <c r="D853" t="s">
        <v>7</v>
      </c>
      <c r="E853">
        <v>37224</v>
      </c>
    </row>
    <row r="854" spans="1:5" x14ac:dyDescent="0.25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</row>
    <row r="855" spans="1:5" x14ac:dyDescent="0.25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</row>
    <row r="856" spans="1:5" x14ac:dyDescent="0.25">
      <c r="A856">
        <v>9483290694</v>
      </c>
      <c r="B856" t="s">
        <v>1657</v>
      </c>
      <c r="C856" t="s">
        <v>1658</v>
      </c>
      <c r="D856" t="s">
        <v>7</v>
      </c>
      <c r="E856">
        <v>41287</v>
      </c>
    </row>
    <row r="857" spans="1:5" x14ac:dyDescent="0.25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</row>
    <row r="858" spans="1:5" x14ac:dyDescent="0.25">
      <c r="A858">
        <v>9331851693</v>
      </c>
      <c r="B858" t="s">
        <v>1661</v>
      </c>
      <c r="C858" t="s">
        <v>1135</v>
      </c>
      <c r="D858" t="s">
        <v>7</v>
      </c>
      <c r="E858">
        <v>37472</v>
      </c>
    </row>
    <row r="859" spans="1:5" x14ac:dyDescent="0.25">
      <c r="A859">
        <v>3428040538</v>
      </c>
      <c r="B859" t="s">
        <v>1662</v>
      </c>
      <c r="C859" t="s">
        <v>1663</v>
      </c>
      <c r="D859" t="s">
        <v>7</v>
      </c>
      <c r="E859">
        <v>36021</v>
      </c>
    </row>
    <row r="860" spans="1:5" x14ac:dyDescent="0.25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</row>
    <row r="861" spans="1:5" x14ac:dyDescent="0.25">
      <c r="A861">
        <v>1659418720</v>
      </c>
      <c r="B861" t="s">
        <v>1666</v>
      </c>
      <c r="C861" t="s">
        <v>1667</v>
      </c>
      <c r="D861" t="s">
        <v>7</v>
      </c>
      <c r="E861">
        <v>48774</v>
      </c>
    </row>
    <row r="862" spans="1:5" x14ac:dyDescent="0.25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</row>
    <row r="863" spans="1:5" x14ac:dyDescent="0.25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</row>
    <row r="864" spans="1:5" x14ac:dyDescent="0.25">
      <c r="A864">
        <v>17898579</v>
      </c>
      <c r="B864" t="s">
        <v>1672</v>
      </c>
      <c r="C864" t="s">
        <v>1673</v>
      </c>
      <c r="D864" t="s">
        <v>10</v>
      </c>
      <c r="E864">
        <v>104902</v>
      </c>
    </row>
    <row r="865" spans="1:5" x14ac:dyDescent="0.25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</row>
    <row r="866" spans="1:5" x14ac:dyDescent="0.25">
      <c r="A866">
        <v>9328457335</v>
      </c>
      <c r="B866" t="s">
        <v>1676</v>
      </c>
      <c r="C866" t="s">
        <v>1677</v>
      </c>
      <c r="D866" t="s">
        <v>7</v>
      </c>
      <c r="E866">
        <v>48929</v>
      </c>
    </row>
    <row r="867" spans="1:5" x14ac:dyDescent="0.25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</row>
    <row r="868" spans="1:5" x14ac:dyDescent="0.25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</row>
    <row r="869" spans="1:5" x14ac:dyDescent="0.25">
      <c r="A869">
        <v>1475796307</v>
      </c>
      <c r="B869" t="s">
        <v>1682</v>
      </c>
      <c r="C869" t="s">
        <v>1683</v>
      </c>
      <c r="D869" t="s">
        <v>7</v>
      </c>
      <c r="E869">
        <v>31487</v>
      </c>
    </row>
    <row r="870" spans="1:5" x14ac:dyDescent="0.25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</row>
    <row r="871" spans="1:5" x14ac:dyDescent="0.25">
      <c r="A871">
        <v>2958692264</v>
      </c>
      <c r="B871" t="s">
        <v>1686</v>
      </c>
      <c r="C871" t="s">
        <v>1687</v>
      </c>
      <c r="D871" t="s">
        <v>7</v>
      </c>
      <c r="E871">
        <v>43860</v>
      </c>
    </row>
    <row r="872" spans="1:5" x14ac:dyDescent="0.25">
      <c r="A872">
        <v>2551917727</v>
      </c>
      <c r="B872" t="s">
        <v>1688</v>
      </c>
      <c r="C872" t="s">
        <v>1689</v>
      </c>
      <c r="D872" t="s">
        <v>7</v>
      </c>
      <c r="E872">
        <v>56237</v>
      </c>
    </row>
    <row r="873" spans="1:5" x14ac:dyDescent="0.25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</row>
    <row r="874" spans="1:5" x14ac:dyDescent="0.25">
      <c r="A874">
        <v>4739588234</v>
      </c>
      <c r="B874" t="s">
        <v>1691</v>
      </c>
      <c r="C874" t="s">
        <v>1692</v>
      </c>
      <c r="D874" t="s">
        <v>7</v>
      </c>
      <c r="E874">
        <v>56787</v>
      </c>
    </row>
    <row r="875" spans="1:5" x14ac:dyDescent="0.25">
      <c r="A875">
        <v>1425230725</v>
      </c>
      <c r="B875" t="s">
        <v>844</v>
      </c>
      <c r="C875" t="s">
        <v>1693</v>
      </c>
      <c r="D875" t="s">
        <v>29</v>
      </c>
      <c r="E875">
        <v>79469</v>
      </c>
    </row>
    <row r="876" spans="1:5" x14ac:dyDescent="0.25">
      <c r="A876">
        <v>569240891</v>
      </c>
      <c r="B876" t="s">
        <v>1694</v>
      </c>
      <c r="C876" t="s">
        <v>1695</v>
      </c>
      <c r="D876" t="s">
        <v>29</v>
      </c>
      <c r="E876">
        <v>78823</v>
      </c>
    </row>
    <row r="877" spans="1:5" x14ac:dyDescent="0.25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</row>
    <row r="878" spans="1:5" x14ac:dyDescent="0.25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</row>
    <row r="879" spans="1:5" x14ac:dyDescent="0.25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</row>
    <row r="880" spans="1:5" x14ac:dyDescent="0.25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</row>
    <row r="881" spans="1:5" x14ac:dyDescent="0.25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</row>
    <row r="882" spans="1:5" x14ac:dyDescent="0.25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</row>
    <row r="883" spans="1:5" x14ac:dyDescent="0.25">
      <c r="A883">
        <v>509393462</v>
      </c>
      <c r="B883" t="s">
        <v>1708</v>
      </c>
      <c r="C883" t="s">
        <v>1709</v>
      </c>
      <c r="D883" t="s">
        <v>29</v>
      </c>
      <c r="E883">
        <v>58109</v>
      </c>
    </row>
    <row r="884" spans="1:5" x14ac:dyDescent="0.25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</row>
    <row r="885" spans="1:5" x14ac:dyDescent="0.25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</row>
    <row r="886" spans="1:5" x14ac:dyDescent="0.25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</row>
    <row r="887" spans="1:5" x14ac:dyDescent="0.25">
      <c r="A887">
        <v>769312748</v>
      </c>
      <c r="B887" t="s">
        <v>1716</v>
      </c>
      <c r="C887" t="s">
        <v>1717</v>
      </c>
      <c r="D887" t="s">
        <v>7</v>
      </c>
      <c r="E887">
        <v>42256</v>
      </c>
    </row>
    <row r="888" spans="1:5" x14ac:dyDescent="0.25">
      <c r="A888">
        <v>5241020535</v>
      </c>
      <c r="B888" t="s">
        <v>1718</v>
      </c>
      <c r="C888" t="s">
        <v>1719</v>
      </c>
      <c r="D888" t="s">
        <v>7</v>
      </c>
      <c r="E888">
        <v>38828</v>
      </c>
    </row>
    <row r="889" spans="1:5" x14ac:dyDescent="0.25">
      <c r="A889">
        <v>594961432</v>
      </c>
      <c r="B889" t="s">
        <v>1720</v>
      </c>
      <c r="C889" t="s">
        <v>1008</v>
      </c>
      <c r="D889" t="s">
        <v>10</v>
      </c>
      <c r="E889">
        <v>90375</v>
      </c>
    </row>
    <row r="890" spans="1:5" x14ac:dyDescent="0.25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</row>
    <row r="891" spans="1:5" x14ac:dyDescent="0.25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</row>
    <row r="892" spans="1:5" x14ac:dyDescent="0.25">
      <c r="A892">
        <v>7251959615</v>
      </c>
      <c r="B892" t="s">
        <v>1725</v>
      </c>
      <c r="C892" t="s">
        <v>1726</v>
      </c>
      <c r="D892" t="s">
        <v>7</v>
      </c>
      <c r="E892">
        <v>42095</v>
      </c>
    </row>
    <row r="893" spans="1:5" x14ac:dyDescent="0.25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</row>
    <row r="894" spans="1:5" x14ac:dyDescent="0.25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</row>
    <row r="895" spans="1:5" x14ac:dyDescent="0.25">
      <c r="A895">
        <v>5244119095</v>
      </c>
      <c r="B895" t="s">
        <v>1106</v>
      </c>
      <c r="C895" t="s">
        <v>496</v>
      </c>
      <c r="D895" t="s">
        <v>7</v>
      </c>
      <c r="E895">
        <v>53456</v>
      </c>
    </row>
    <row r="896" spans="1:5" x14ac:dyDescent="0.25">
      <c r="A896">
        <v>556704134</v>
      </c>
      <c r="B896" t="s">
        <v>1730</v>
      </c>
      <c r="C896" t="s">
        <v>1731</v>
      </c>
      <c r="D896" t="s">
        <v>29</v>
      </c>
      <c r="E896">
        <v>71238</v>
      </c>
    </row>
    <row r="897" spans="1:5" x14ac:dyDescent="0.25">
      <c r="A897">
        <v>3075132195</v>
      </c>
      <c r="B897" t="s">
        <v>1732</v>
      </c>
      <c r="C897" t="s">
        <v>1733</v>
      </c>
      <c r="D897" t="s">
        <v>7</v>
      </c>
      <c r="E897">
        <v>43870</v>
      </c>
    </row>
    <row r="898" spans="1:5" x14ac:dyDescent="0.25">
      <c r="A898">
        <v>8501525324</v>
      </c>
      <c r="B898" t="s">
        <v>523</v>
      </c>
      <c r="C898" t="s">
        <v>1734</v>
      </c>
      <c r="D898" t="s">
        <v>10</v>
      </c>
      <c r="E898">
        <v>92754</v>
      </c>
    </row>
    <row r="899" spans="1:5" x14ac:dyDescent="0.25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</row>
    <row r="900" spans="1:5" x14ac:dyDescent="0.25">
      <c r="A900">
        <v>8841637323</v>
      </c>
      <c r="B900" t="s">
        <v>1737</v>
      </c>
      <c r="C900" t="s">
        <v>1738</v>
      </c>
      <c r="D900" t="s">
        <v>7</v>
      </c>
      <c r="E900">
        <v>40631</v>
      </c>
    </row>
    <row r="901" spans="1:5" x14ac:dyDescent="0.25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</row>
    <row r="902" spans="1:5" x14ac:dyDescent="0.25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</row>
    <row r="903" spans="1:5" x14ac:dyDescent="0.25">
      <c r="A903">
        <v>304906506</v>
      </c>
      <c r="B903" t="s">
        <v>1743</v>
      </c>
      <c r="C903" t="s">
        <v>1744</v>
      </c>
      <c r="D903" t="s">
        <v>7</v>
      </c>
      <c r="E903">
        <v>64753</v>
      </c>
    </row>
    <row r="904" spans="1:5" x14ac:dyDescent="0.25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</row>
    <row r="905" spans="1:5" x14ac:dyDescent="0.25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</row>
    <row r="906" spans="1:5" x14ac:dyDescent="0.25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</row>
    <row r="907" spans="1:5" x14ac:dyDescent="0.25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</row>
    <row r="908" spans="1:5" x14ac:dyDescent="0.25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</row>
    <row r="909" spans="1:5" x14ac:dyDescent="0.25">
      <c r="A909">
        <v>320120716</v>
      </c>
      <c r="B909" t="s">
        <v>1755</v>
      </c>
      <c r="C909" t="s">
        <v>1756</v>
      </c>
      <c r="D909" t="s">
        <v>29</v>
      </c>
      <c r="E909">
        <v>50348</v>
      </c>
    </row>
    <row r="910" spans="1:5" x14ac:dyDescent="0.25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</row>
    <row r="911" spans="1:5" x14ac:dyDescent="0.25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</row>
    <row r="912" spans="1:5" x14ac:dyDescent="0.25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</row>
    <row r="913" spans="1:5" x14ac:dyDescent="0.25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</row>
    <row r="914" spans="1:5" x14ac:dyDescent="0.25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</row>
    <row r="915" spans="1:5" x14ac:dyDescent="0.25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</row>
    <row r="916" spans="1:5" x14ac:dyDescent="0.25">
      <c r="A916">
        <v>5929508313</v>
      </c>
      <c r="B916" t="s">
        <v>123</v>
      </c>
      <c r="C916" t="s">
        <v>1769</v>
      </c>
      <c r="D916" t="s">
        <v>7</v>
      </c>
      <c r="E916">
        <v>64685</v>
      </c>
    </row>
    <row r="917" spans="1:5" x14ac:dyDescent="0.25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</row>
    <row r="918" spans="1:5" x14ac:dyDescent="0.25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</row>
    <row r="919" spans="1:5" x14ac:dyDescent="0.25">
      <c r="A919">
        <v>7373156215</v>
      </c>
      <c r="B919" t="s">
        <v>834</v>
      </c>
      <c r="C919" t="s">
        <v>1774</v>
      </c>
      <c r="D919" t="s">
        <v>29</v>
      </c>
      <c r="E919">
        <v>56461</v>
      </c>
    </row>
    <row r="920" spans="1:5" x14ac:dyDescent="0.25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</row>
    <row r="921" spans="1:5" x14ac:dyDescent="0.25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</row>
    <row r="922" spans="1:5" x14ac:dyDescent="0.25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</row>
    <row r="923" spans="1:5" x14ac:dyDescent="0.25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</row>
    <row r="924" spans="1:5" x14ac:dyDescent="0.25">
      <c r="A924">
        <v>5828678620</v>
      </c>
      <c r="B924" t="s">
        <v>1782</v>
      </c>
      <c r="C924" t="s">
        <v>1783</v>
      </c>
      <c r="D924" t="s">
        <v>7</v>
      </c>
      <c r="E924">
        <v>52885</v>
      </c>
    </row>
    <row r="925" spans="1:5" x14ac:dyDescent="0.25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</row>
    <row r="926" spans="1:5" x14ac:dyDescent="0.25">
      <c r="A926">
        <v>397599129</v>
      </c>
      <c r="B926" t="s">
        <v>1785</v>
      </c>
      <c r="C926" t="s">
        <v>1786</v>
      </c>
      <c r="D926" t="s">
        <v>7</v>
      </c>
      <c r="E926">
        <v>32665</v>
      </c>
    </row>
    <row r="927" spans="1:5" x14ac:dyDescent="0.25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</row>
    <row r="928" spans="1:5" x14ac:dyDescent="0.25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</row>
    <row r="929" spans="1:5" x14ac:dyDescent="0.25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</row>
    <row r="930" spans="1:5" x14ac:dyDescent="0.25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</row>
    <row r="931" spans="1:5" x14ac:dyDescent="0.25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</row>
    <row r="932" spans="1:5" x14ac:dyDescent="0.25">
      <c r="A932">
        <v>3538909016</v>
      </c>
      <c r="B932" t="s">
        <v>1797</v>
      </c>
      <c r="C932" t="s">
        <v>1798</v>
      </c>
      <c r="D932" t="s">
        <v>7</v>
      </c>
      <c r="E932">
        <v>57718</v>
      </c>
    </row>
    <row r="933" spans="1:5" x14ac:dyDescent="0.25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</row>
    <row r="934" spans="1:5" x14ac:dyDescent="0.25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</row>
    <row r="935" spans="1:5" x14ac:dyDescent="0.25">
      <c r="A935">
        <v>3041948354</v>
      </c>
      <c r="B935" t="s">
        <v>1802</v>
      </c>
      <c r="C935" t="s">
        <v>1803</v>
      </c>
      <c r="D935" t="s">
        <v>7</v>
      </c>
      <c r="E935">
        <v>46292</v>
      </c>
    </row>
    <row r="936" spans="1:5" x14ac:dyDescent="0.25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</row>
    <row r="937" spans="1:5" x14ac:dyDescent="0.25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</row>
    <row r="938" spans="1:5" x14ac:dyDescent="0.25">
      <c r="A938">
        <v>7326611955</v>
      </c>
      <c r="B938" t="s">
        <v>1808</v>
      </c>
      <c r="C938" t="s">
        <v>1809</v>
      </c>
      <c r="D938" t="s">
        <v>7</v>
      </c>
      <c r="E938">
        <v>52116</v>
      </c>
    </row>
    <row r="939" spans="1:5" x14ac:dyDescent="0.25">
      <c r="A939">
        <v>3145010581</v>
      </c>
      <c r="B939" t="s">
        <v>30</v>
      </c>
      <c r="C939" t="s">
        <v>1810</v>
      </c>
      <c r="D939" t="s">
        <v>29</v>
      </c>
      <c r="E939">
        <v>65220</v>
      </c>
    </row>
    <row r="940" spans="1:5" x14ac:dyDescent="0.25">
      <c r="A940">
        <v>9260254965</v>
      </c>
      <c r="B940" t="s">
        <v>1811</v>
      </c>
      <c r="C940" t="s">
        <v>1812</v>
      </c>
      <c r="D940" t="s">
        <v>7</v>
      </c>
      <c r="E940">
        <v>59588</v>
      </c>
    </row>
    <row r="941" spans="1:5" x14ac:dyDescent="0.25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</row>
    <row r="942" spans="1:5" x14ac:dyDescent="0.25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</row>
    <row r="943" spans="1:5" x14ac:dyDescent="0.25">
      <c r="A943">
        <v>701563818</v>
      </c>
      <c r="B943" t="s">
        <v>1817</v>
      </c>
      <c r="C943" t="s">
        <v>1818</v>
      </c>
      <c r="D943" t="s">
        <v>10</v>
      </c>
      <c r="E943">
        <v>99084</v>
      </c>
    </row>
    <row r="944" spans="1:5" x14ac:dyDescent="0.25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</row>
    <row r="945" spans="1:5" x14ac:dyDescent="0.25">
      <c r="A945">
        <v>303831626</v>
      </c>
      <c r="B945" t="s">
        <v>1821</v>
      </c>
      <c r="C945" t="s">
        <v>1822</v>
      </c>
      <c r="D945" t="s">
        <v>7</v>
      </c>
      <c r="E945">
        <v>44015</v>
      </c>
    </row>
    <row r="946" spans="1:5" x14ac:dyDescent="0.25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</row>
    <row r="947" spans="1:5" x14ac:dyDescent="0.25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</row>
    <row r="948" spans="1:5" x14ac:dyDescent="0.25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</row>
    <row r="949" spans="1:5" x14ac:dyDescent="0.25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</row>
    <row r="950" spans="1:5" x14ac:dyDescent="0.25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</row>
    <row r="951" spans="1:5" x14ac:dyDescent="0.25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</row>
    <row r="952" spans="1:5" x14ac:dyDescent="0.25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</row>
    <row r="953" spans="1:5" x14ac:dyDescent="0.25">
      <c r="A953">
        <v>7700368295</v>
      </c>
      <c r="B953" t="s">
        <v>1837</v>
      </c>
      <c r="C953" t="s">
        <v>1838</v>
      </c>
      <c r="D953" t="s">
        <v>7</v>
      </c>
      <c r="E953">
        <v>47191</v>
      </c>
    </row>
    <row r="954" spans="1:5" x14ac:dyDescent="0.25">
      <c r="A954">
        <v>8333777430</v>
      </c>
      <c r="B954" t="s">
        <v>1670</v>
      </c>
      <c r="C954" t="s">
        <v>1839</v>
      </c>
      <c r="D954" t="s">
        <v>7</v>
      </c>
      <c r="E954">
        <v>51314</v>
      </c>
    </row>
    <row r="955" spans="1:5" x14ac:dyDescent="0.25">
      <c r="A955">
        <v>8032296239</v>
      </c>
      <c r="B955" t="s">
        <v>509</v>
      </c>
      <c r="C955" t="s">
        <v>1840</v>
      </c>
      <c r="D955" t="s">
        <v>29</v>
      </c>
      <c r="E955">
        <v>50836</v>
      </c>
    </row>
    <row r="956" spans="1:5" x14ac:dyDescent="0.25">
      <c r="A956">
        <v>273083503</v>
      </c>
      <c r="B956" t="s">
        <v>1841</v>
      </c>
      <c r="C956" t="s">
        <v>1842</v>
      </c>
      <c r="D956" t="s">
        <v>29</v>
      </c>
      <c r="E956">
        <v>69476</v>
      </c>
    </row>
    <row r="957" spans="1:5" x14ac:dyDescent="0.25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</row>
    <row r="958" spans="1:5" x14ac:dyDescent="0.25">
      <c r="A958">
        <v>5299481160</v>
      </c>
      <c r="B958" t="s">
        <v>658</v>
      </c>
      <c r="C958" t="s">
        <v>1845</v>
      </c>
      <c r="D958" t="s">
        <v>7</v>
      </c>
      <c r="E958">
        <v>49920</v>
      </c>
    </row>
    <row r="959" spans="1:5" x14ac:dyDescent="0.25">
      <c r="A959">
        <v>2893065872</v>
      </c>
      <c r="B959" t="s">
        <v>783</v>
      </c>
      <c r="C959" t="s">
        <v>1846</v>
      </c>
      <c r="D959" t="s">
        <v>7</v>
      </c>
      <c r="E959">
        <v>34863</v>
      </c>
    </row>
    <row r="960" spans="1:5" x14ac:dyDescent="0.25">
      <c r="A960">
        <v>7112955017</v>
      </c>
      <c r="B960" t="s">
        <v>1847</v>
      </c>
      <c r="C960" t="s">
        <v>1848</v>
      </c>
      <c r="D960" t="s">
        <v>7</v>
      </c>
      <c r="E960">
        <v>36196</v>
      </c>
    </row>
    <row r="961" spans="1:5" x14ac:dyDescent="0.25">
      <c r="A961">
        <v>3418374697</v>
      </c>
      <c r="B961" t="s">
        <v>1849</v>
      </c>
      <c r="C961" t="s">
        <v>1850</v>
      </c>
      <c r="D961" t="s">
        <v>7</v>
      </c>
      <c r="E961">
        <v>36594</v>
      </c>
    </row>
    <row r="962" spans="1:5" x14ac:dyDescent="0.25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</row>
    <row r="963" spans="1:5" x14ac:dyDescent="0.25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</row>
    <row r="964" spans="1:5" x14ac:dyDescent="0.25">
      <c r="A964">
        <v>2298319154</v>
      </c>
      <c r="B964" t="s">
        <v>1855</v>
      </c>
      <c r="C964" t="s">
        <v>1856</v>
      </c>
      <c r="D964" t="s">
        <v>7</v>
      </c>
      <c r="E964">
        <v>35017</v>
      </c>
    </row>
    <row r="965" spans="1:5" x14ac:dyDescent="0.25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</row>
    <row r="966" spans="1:5" x14ac:dyDescent="0.25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</row>
    <row r="967" spans="1:5" x14ac:dyDescent="0.25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</row>
    <row r="968" spans="1:5" x14ac:dyDescent="0.25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</row>
    <row r="969" spans="1:5" x14ac:dyDescent="0.25">
      <c r="A969">
        <v>5756920838</v>
      </c>
      <c r="B969" t="s">
        <v>1865</v>
      </c>
      <c r="C969" t="s">
        <v>1866</v>
      </c>
      <c r="D969" t="s">
        <v>7</v>
      </c>
      <c r="E969">
        <v>34761</v>
      </c>
    </row>
    <row r="970" spans="1:5" x14ac:dyDescent="0.25">
      <c r="A970">
        <v>6172549286</v>
      </c>
      <c r="B970" t="s">
        <v>157</v>
      </c>
      <c r="C970" t="s">
        <v>1867</v>
      </c>
      <c r="D970" t="s">
        <v>29</v>
      </c>
      <c r="E970">
        <v>67585</v>
      </c>
    </row>
    <row r="971" spans="1:5" x14ac:dyDescent="0.25">
      <c r="A971">
        <v>5341512014</v>
      </c>
      <c r="B971" t="s">
        <v>1868</v>
      </c>
      <c r="C971" t="s">
        <v>1869</v>
      </c>
      <c r="D971" t="s">
        <v>7</v>
      </c>
      <c r="E971">
        <v>57651</v>
      </c>
    </row>
    <row r="972" spans="1:5" x14ac:dyDescent="0.25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</row>
    <row r="973" spans="1:5" x14ac:dyDescent="0.25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</row>
    <row r="974" spans="1:5" x14ac:dyDescent="0.25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</row>
    <row r="975" spans="1:5" x14ac:dyDescent="0.25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</row>
    <row r="976" spans="1:5" x14ac:dyDescent="0.25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</row>
    <row r="977" spans="1:5" x14ac:dyDescent="0.25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</row>
    <row r="978" spans="1:5" x14ac:dyDescent="0.25">
      <c r="A978">
        <v>2045928187</v>
      </c>
      <c r="B978" t="s">
        <v>1881</v>
      </c>
      <c r="C978" t="s">
        <v>1882</v>
      </c>
      <c r="D978" t="s">
        <v>7</v>
      </c>
      <c r="E978">
        <v>33035</v>
      </c>
    </row>
    <row r="979" spans="1:5" x14ac:dyDescent="0.25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</row>
    <row r="980" spans="1:5" x14ac:dyDescent="0.25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</row>
    <row r="981" spans="1:5" x14ac:dyDescent="0.25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</row>
    <row r="982" spans="1:5" x14ac:dyDescent="0.25">
      <c r="A982">
        <v>5079859830</v>
      </c>
      <c r="B982" t="s">
        <v>1888</v>
      </c>
      <c r="C982" t="s">
        <v>1889</v>
      </c>
      <c r="D982" t="s">
        <v>7</v>
      </c>
      <c r="E982">
        <v>54395</v>
      </c>
    </row>
    <row r="983" spans="1:5" x14ac:dyDescent="0.25">
      <c r="A983">
        <v>5412518958</v>
      </c>
      <c r="B983" t="s">
        <v>1890</v>
      </c>
      <c r="C983" t="s">
        <v>1891</v>
      </c>
      <c r="D983" t="s">
        <v>7</v>
      </c>
      <c r="E983">
        <v>34010</v>
      </c>
    </row>
    <row r="984" spans="1:5" x14ac:dyDescent="0.25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</row>
    <row r="985" spans="1:5" x14ac:dyDescent="0.25">
      <c r="A985">
        <v>4439073344</v>
      </c>
      <c r="B985" t="s">
        <v>1894</v>
      </c>
      <c r="C985" t="s">
        <v>1895</v>
      </c>
      <c r="D985" t="s">
        <v>7</v>
      </c>
      <c r="E985">
        <v>61002</v>
      </c>
    </row>
    <row r="986" spans="1:5" x14ac:dyDescent="0.25">
      <c r="A986">
        <v>885693418</v>
      </c>
      <c r="B986" t="s">
        <v>1896</v>
      </c>
      <c r="C986" t="s">
        <v>1897</v>
      </c>
      <c r="D986" t="s">
        <v>7</v>
      </c>
      <c r="E986">
        <v>55828</v>
      </c>
    </row>
    <row r="987" spans="1:5" x14ac:dyDescent="0.25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</row>
    <row r="988" spans="1:5" x14ac:dyDescent="0.25">
      <c r="A988">
        <v>2763158331</v>
      </c>
      <c r="B988" t="s">
        <v>1900</v>
      </c>
      <c r="C988" t="s">
        <v>1901</v>
      </c>
      <c r="D988" t="s">
        <v>7</v>
      </c>
      <c r="E988">
        <v>63815</v>
      </c>
    </row>
    <row r="989" spans="1:5" x14ac:dyDescent="0.25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</row>
    <row r="990" spans="1:5" x14ac:dyDescent="0.25">
      <c r="A990">
        <v>1364767856</v>
      </c>
      <c r="B990" t="s">
        <v>1904</v>
      </c>
      <c r="C990" t="s">
        <v>1905</v>
      </c>
      <c r="D990" t="s">
        <v>7</v>
      </c>
      <c r="E990">
        <v>59415</v>
      </c>
    </row>
    <row r="991" spans="1:5" x14ac:dyDescent="0.25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</row>
    <row r="992" spans="1:5" x14ac:dyDescent="0.25">
      <c r="A992">
        <v>5395528121</v>
      </c>
      <c r="B992" t="s">
        <v>1907</v>
      </c>
      <c r="C992" t="s">
        <v>1908</v>
      </c>
      <c r="D992" t="s">
        <v>7</v>
      </c>
      <c r="E992">
        <v>37393</v>
      </c>
    </row>
    <row r="993" spans="1:5" x14ac:dyDescent="0.25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</row>
    <row r="994" spans="1:5" x14ac:dyDescent="0.25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</row>
    <row r="995" spans="1:5" x14ac:dyDescent="0.25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</row>
    <row r="996" spans="1:5" x14ac:dyDescent="0.25">
      <c r="A996">
        <v>8154943166</v>
      </c>
      <c r="B996" t="s">
        <v>1914</v>
      </c>
      <c r="C996" t="s">
        <v>1915</v>
      </c>
      <c r="D996" t="s">
        <v>7</v>
      </c>
      <c r="E996">
        <v>38259</v>
      </c>
    </row>
    <row r="997" spans="1:5" x14ac:dyDescent="0.25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</row>
    <row r="998" spans="1:5" x14ac:dyDescent="0.25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</row>
    <row r="999" spans="1:5" x14ac:dyDescent="0.25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</row>
    <row r="1000" spans="1:5" x14ac:dyDescent="0.25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</row>
    <row r="1001" spans="1:5" x14ac:dyDescent="0.25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B436-BB2C-4144-A3F5-9F55A981E6C9}">
  <dimension ref="B1:P10"/>
  <sheetViews>
    <sheetView showGridLines="0" zoomScaleNormal="100" workbookViewId="0">
      <selection activeCell="D7" sqref="D7"/>
    </sheetView>
  </sheetViews>
  <sheetFormatPr defaultColWidth="8.85546875" defaultRowHeight="15" x14ac:dyDescent="0.25"/>
  <cols>
    <col min="1" max="1" width="8.85546875" style="34"/>
    <col min="2" max="2" width="26.140625" style="34" bestFit="1" customWidth="1"/>
    <col min="3" max="3" width="19" style="34" bestFit="1" customWidth="1"/>
    <col min="4" max="4" width="22.7109375" style="34" bestFit="1" customWidth="1"/>
    <col min="5" max="5" width="16.28515625" style="34" bestFit="1" customWidth="1"/>
    <col min="6" max="6" width="16.42578125" style="34" bestFit="1" customWidth="1"/>
    <col min="7" max="7" width="18.28515625" style="34" bestFit="1" customWidth="1"/>
    <col min="8" max="16384" width="8.85546875" style="34"/>
  </cols>
  <sheetData>
    <row r="1" spans="2:16" ht="27" customHeight="1" x14ac:dyDescent="0.4">
      <c r="E1" s="60" t="s">
        <v>22368</v>
      </c>
      <c r="H1" s="60"/>
      <c r="I1" s="60"/>
      <c r="J1" s="60"/>
      <c r="K1" s="60"/>
      <c r="L1" s="60"/>
      <c r="M1" s="60"/>
      <c r="N1" s="60"/>
      <c r="O1" s="60"/>
      <c r="P1" s="60"/>
    </row>
    <row r="2" spans="2:16" ht="17.25" customHeight="1" x14ac:dyDescent="0.25"/>
    <row r="4" spans="2:16" ht="18.75" x14ac:dyDescent="0.3">
      <c r="B4" s="61" t="s">
        <v>22348</v>
      </c>
      <c r="C4" s="71">
        <v>0.3</v>
      </c>
      <c r="D4" s="62"/>
    </row>
    <row r="5" spans="2:16" ht="18.75" x14ac:dyDescent="0.3">
      <c r="B5" s="61" t="s">
        <v>22349</v>
      </c>
      <c r="C5" s="71">
        <v>0.05</v>
      </c>
      <c r="D5" s="62"/>
      <c r="E5" s="52"/>
      <c r="G5" s="34" t="s">
        <v>22369</v>
      </c>
    </row>
    <row r="6" spans="2:16" ht="18.75" x14ac:dyDescent="0.3">
      <c r="B6" s="62"/>
      <c r="C6" s="62"/>
      <c r="D6" s="62"/>
      <c r="G6" s="34" t="s">
        <v>22370</v>
      </c>
    </row>
    <row r="7" spans="2:16" ht="18.75" x14ac:dyDescent="0.3">
      <c r="B7" s="63"/>
      <c r="C7" s="64">
        <f>'2018_commission_structure Finis'!M2</f>
        <v>2018</v>
      </c>
      <c r="D7" s="72" t="s">
        <v>22354</v>
      </c>
      <c r="E7" s="73" t="s">
        <v>22373</v>
      </c>
      <c r="G7" s="34" t="s">
        <v>22371</v>
      </c>
    </row>
    <row r="8" spans="2:16" ht="18.75" x14ac:dyDescent="0.3">
      <c r="B8" s="65" t="str">
        <f>'2018_commission_structure Finis'!L3</f>
        <v>Number of Employees</v>
      </c>
      <c r="C8" s="66">
        <f>'2018_commission_structure Finis'!M3</f>
        <v>1000</v>
      </c>
      <c r="D8" s="67">
        <f>IF($D$7="Strategy 1",'2018_commission_structure Finis'!N3,
IF($D$7="Strategy 2",'2018_commission_structure Finis'!O3,
IF($D$7="Strategy 3",'2018_commission_structure Finis'!P3,"")))</f>
        <v>1000</v>
      </c>
      <c r="G8" s="34" t="s">
        <v>22372</v>
      </c>
    </row>
    <row r="9" spans="2:16" ht="18.75" x14ac:dyDescent="0.3">
      <c r="B9" s="65" t="str">
        <f>'2018_commission_structure Finis'!L4</f>
        <v>Gross Revenue</v>
      </c>
      <c r="C9" s="68">
        <f>'2018_commission_structure Finis'!M4</f>
        <v>699144198</v>
      </c>
      <c r="D9" s="69">
        <f>IF($D$7="Strategy 1",'2018_commission_structure Finis'!N4,
IF($D$7="Strategy 2",'2018_commission_structure Finis'!O4,
IF($D$7="Strategy 3",'2018_commission_structure Finis'!P4,"")))</f>
        <v>908887457.39999998</v>
      </c>
    </row>
    <row r="10" spans="2:16" ht="18.75" x14ac:dyDescent="0.3">
      <c r="B10" s="65" t="str">
        <f>'2018_commission_structure Finis'!L5</f>
        <v>Target Gross Revenue</v>
      </c>
      <c r="C10" s="68">
        <f>'2018_commission_structure Finis'!M5</f>
        <v>621050000</v>
      </c>
      <c r="D10" s="70">
        <f>IF($D$7="Strategy 1",'2018_commission_structure Finis'!N5,
IF($D$7="Strategy 2",'2018_commission_structure Finis'!O5,
IF($D$7="Strategy 3",'2018_commission_structure Finis'!P5,"")))</f>
        <v>703700000</v>
      </c>
    </row>
  </sheetData>
  <sheetProtection sheet="1" selectLockedCells="1"/>
  <dataValidations xWindow="564" yWindow="337" count="2">
    <dataValidation type="decimal" allowBlank="1" showErrorMessage="1" errorTitle="Annual Raise" error="Annual raise must be between 0 and 20 percent." sqref="C5" xr:uid="{B5B46BE7-765F-4F07-A279-DABEA9FFB830}">
      <formula1>0</formula1>
      <formula2>0.2</formula2>
    </dataValidation>
    <dataValidation type="decimal" allowBlank="1" showErrorMessage="1" errorTitle="Growth Rate Assumption" error="Growth rate must be between 0 and 100 percent." promptTitle="Growth Rate Assumption" prompt="Growth rate must be between 0 and 100 percent." sqref="C4" xr:uid="{69EC6D85-1A0E-4571-AC30-DDFCAC0CF815}">
      <formula1>0</formula1>
      <formula2>1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564" yWindow="337" count="1">
        <x14:dataValidation type="list" allowBlank="1" showInputMessage="1" showErrorMessage="1" promptTitle="Choose Strategy" prompt="Please choose strategy to compare_x000a_" xr:uid="{00D04B38-FB71-4D25-9803-346D889A2DA2}">
          <x14:formula1>
            <xm:f>'2018_commission_structure Finis'!$N$2:$P$2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4BD-62F6-4506-B3E2-349BEF0027FC}">
  <dimension ref="B4:M18"/>
  <sheetViews>
    <sheetView showGridLines="0" workbookViewId="0">
      <selection activeCell="D7" sqref="D7"/>
    </sheetView>
  </sheetViews>
  <sheetFormatPr defaultRowHeight="15" x14ac:dyDescent="0.25"/>
  <cols>
    <col min="2" max="2" width="19.85546875" customWidth="1"/>
    <col min="3" max="3" width="20.7109375" bestFit="1" customWidth="1"/>
    <col min="4" max="4" width="18.42578125" bestFit="1" customWidth="1"/>
    <col min="5" max="5" width="17.85546875" customWidth="1"/>
    <col min="6" max="6" width="16.140625" customWidth="1"/>
    <col min="7" max="7" width="5.7109375" bestFit="1" customWidth="1"/>
    <col min="8" max="8" width="18.42578125" bestFit="1" customWidth="1"/>
    <col min="9" max="9" width="11.5703125" bestFit="1" customWidth="1"/>
    <col min="10" max="10" width="20" bestFit="1" customWidth="1"/>
    <col min="11" max="11" width="11.5703125" bestFit="1" customWidth="1"/>
    <col min="12" max="12" width="19.28515625" bestFit="1" customWidth="1"/>
    <col min="13" max="13" width="12.5703125" bestFit="1" customWidth="1"/>
    <col min="14" max="14" width="16.28515625" bestFit="1" customWidth="1"/>
    <col min="15" max="15" width="10.5703125" bestFit="1" customWidth="1"/>
    <col min="16" max="16" width="14.85546875" bestFit="1" customWidth="1"/>
    <col min="17" max="17" width="20.28515625" bestFit="1" customWidth="1"/>
    <col min="18" max="18" width="12" bestFit="1" customWidth="1"/>
    <col min="19" max="19" width="15.28515625" bestFit="1" customWidth="1"/>
    <col min="20" max="20" width="12.7109375" bestFit="1" customWidth="1"/>
    <col min="21" max="21" width="14.7109375" bestFit="1" customWidth="1"/>
    <col min="22" max="22" width="19" bestFit="1" customWidth="1"/>
    <col min="23" max="23" width="15.140625" bestFit="1" customWidth="1"/>
    <col min="24" max="24" width="14.42578125" bestFit="1" customWidth="1"/>
    <col min="25" max="25" width="15.85546875" bestFit="1" customWidth="1"/>
    <col min="26" max="26" width="13.28515625" bestFit="1" customWidth="1"/>
    <col min="27" max="27" width="11.140625" bestFit="1" customWidth="1"/>
    <col min="28" max="28" width="13.85546875" bestFit="1" customWidth="1"/>
    <col min="29" max="29" width="15" bestFit="1" customWidth="1"/>
    <col min="30" max="30" width="8.140625" bestFit="1" customWidth="1"/>
    <col min="31" max="31" width="12.85546875" bestFit="1" customWidth="1"/>
    <col min="32" max="32" width="14.7109375" bestFit="1" customWidth="1"/>
    <col min="33" max="33" width="11.140625" bestFit="1" customWidth="1"/>
    <col min="34" max="34" width="14.28515625" bestFit="1" customWidth="1"/>
    <col min="35" max="35" width="15.28515625" bestFit="1" customWidth="1"/>
    <col min="36" max="37" width="13.7109375" bestFit="1" customWidth="1"/>
    <col min="38" max="38" width="16.85546875" bestFit="1" customWidth="1"/>
    <col min="39" max="39" width="12" bestFit="1" customWidth="1"/>
    <col min="40" max="40" width="15.5703125" bestFit="1" customWidth="1"/>
    <col min="41" max="41" width="16.42578125" bestFit="1" customWidth="1"/>
    <col min="42" max="43" width="15.85546875" bestFit="1" customWidth="1"/>
    <col min="44" max="44" width="12" bestFit="1" customWidth="1"/>
    <col min="45" max="45" width="14.5703125" bestFit="1" customWidth="1"/>
    <col min="46" max="46" width="13.85546875" bestFit="1" customWidth="1"/>
    <col min="47" max="47" width="14.28515625" bestFit="1" customWidth="1"/>
    <col min="48" max="48" width="20.28515625" bestFit="1" customWidth="1"/>
    <col min="49" max="49" width="16.7109375" bestFit="1" customWidth="1"/>
    <col min="50" max="50" width="14.42578125" bestFit="1" customWidth="1"/>
    <col min="51" max="51" width="16.28515625" bestFit="1" customWidth="1"/>
    <col min="52" max="52" width="15.42578125" bestFit="1" customWidth="1"/>
    <col min="53" max="53" width="15.28515625" bestFit="1" customWidth="1"/>
    <col min="54" max="54" width="16.85546875" bestFit="1" customWidth="1"/>
    <col min="55" max="55" width="13.7109375" bestFit="1" customWidth="1"/>
    <col min="56" max="56" width="16.42578125" bestFit="1" customWidth="1"/>
    <col min="57" max="57" width="18.28515625" bestFit="1" customWidth="1"/>
    <col min="58" max="58" width="14.140625" bestFit="1" customWidth="1"/>
    <col min="59" max="59" width="14.7109375" bestFit="1" customWidth="1"/>
    <col min="60" max="60" width="17.7109375" bestFit="1" customWidth="1"/>
    <col min="61" max="61" width="10.7109375" bestFit="1" customWidth="1"/>
    <col min="62" max="62" width="13.7109375" bestFit="1" customWidth="1"/>
    <col min="63" max="63" width="13.85546875" bestFit="1" customWidth="1"/>
    <col min="64" max="64" width="11.85546875" bestFit="1" customWidth="1"/>
    <col min="65" max="65" width="16.7109375" bestFit="1" customWidth="1"/>
    <col min="66" max="66" width="14.85546875" bestFit="1" customWidth="1"/>
    <col min="67" max="67" width="14.28515625" bestFit="1" customWidth="1"/>
    <col min="68" max="68" width="13.85546875" bestFit="1" customWidth="1"/>
    <col min="69" max="69" width="14.28515625" bestFit="1" customWidth="1"/>
    <col min="70" max="70" width="13.42578125" bestFit="1" customWidth="1"/>
    <col min="71" max="71" width="12.85546875" bestFit="1" customWidth="1"/>
    <col min="72" max="72" width="14.85546875" bestFit="1" customWidth="1"/>
    <col min="73" max="73" width="12.42578125" bestFit="1" customWidth="1"/>
    <col min="74" max="74" width="11.7109375" bestFit="1" customWidth="1"/>
    <col min="75" max="75" width="15.140625" bestFit="1" customWidth="1"/>
    <col min="76" max="76" width="11.28515625" bestFit="1" customWidth="1"/>
    <col min="77" max="77" width="10.140625" bestFit="1" customWidth="1"/>
    <col min="78" max="78" width="15.140625" bestFit="1" customWidth="1"/>
    <col min="79" max="79" width="16.28515625" bestFit="1" customWidth="1"/>
    <col min="80" max="80" width="12.28515625" bestFit="1" customWidth="1"/>
    <col min="81" max="81" width="15" bestFit="1" customWidth="1"/>
    <col min="82" max="82" width="13.28515625" bestFit="1" customWidth="1"/>
    <col min="83" max="83" width="15.7109375" bestFit="1" customWidth="1"/>
    <col min="84" max="84" width="11.28515625" bestFit="1" customWidth="1"/>
    <col min="85" max="85" width="15.5703125" bestFit="1" customWidth="1"/>
    <col min="86" max="86" width="13.28515625" bestFit="1" customWidth="1"/>
    <col min="87" max="89" width="12.42578125" bestFit="1" customWidth="1"/>
    <col min="90" max="90" width="11.7109375" bestFit="1" customWidth="1"/>
    <col min="91" max="91" width="13.28515625" bestFit="1" customWidth="1"/>
    <col min="92" max="92" width="14" bestFit="1" customWidth="1"/>
    <col min="93" max="93" width="17.5703125" bestFit="1" customWidth="1"/>
    <col min="94" max="94" width="14" bestFit="1" customWidth="1"/>
    <col min="95" max="96" width="14.140625" bestFit="1" customWidth="1"/>
    <col min="97" max="97" width="12.140625" bestFit="1" customWidth="1"/>
    <col min="98" max="98" width="12.28515625" bestFit="1" customWidth="1"/>
    <col min="99" max="99" width="11.28515625" bestFit="1" customWidth="1"/>
    <col min="100" max="100" width="18" bestFit="1" customWidth="1"/>
    <col min="101" max="101" width="18.7109375" bestFit="1" customWidth="1"/>
    <col min="102" max="102" width="10.5703125" bestFit="1" customWidth="1"/>
    <col min="103" max="103" width="15.42578125" bestFit="1" customWidth="1"/>
    <col min="104" max="104" width="18.140625" bestFit="1" customWidth="1"/>
    <col min="105" max="105" width="15" bestFit="1" customWidth="1"/>
    <col min="106" max="106" width="17.42578125" bestFit="1" customWidth="1"/>
    <col min="107" max="107" width="20" bestFit="1" customWidth="1"/>
    <col min="108" max="108" width="16.5703125" bestFit="1" customWidth="1"/>
    <col min="109" max="109" width="11" bestFit="1" customWidth="1"/>
    <col min="110" max="110" width="11.140625" bestFit="1" customWidth="1"/>
    <col min="111" max="111" width="17.42578125" bestFit="1" customWidth="1"/>
    <col min="112" max="112" width="15.28515625" bestFit="1" customWidth="1"/>
    <col min="113" max="113" width="18.42578125" bestFit="1" customWidth="1"/>
    <col min="114" max="114" width="14.140625" bestFit="1" customWidth="1"/>
    <col min="115" max="115" width="13.140625" bestFit="1" customWidth="1"/>
    <col min="116" max="116" width="10.7109375" bestFit="1" customWidth="1"/>
    <col min="117" max="117" width="17" bestFit="1" customWidth="1"/>
    <col min="118" max="118" width="14" bestFit="1" customWidth="1"/>
    <col min="119" max="119" width="13.42578125" bestFit="1" customWidth="1"/>
    <col min="120" max="120" width="14.85546875" bestFit="1" customWidth="1"/>
    <col min="121" max="121" width="13.5703125" bestFit="1" customWidth="1"/>
    <col min="122" max="122" width="10.85546875" bestFit="1" customWidth="1"/>
    <col min="123" max="123" width="16.42578125" bestFit="1" customWidth="1"/>
    <col min="124" max="124" width="17" bestFit="1" customWidth="1"/>
    <col min="125" max="125" width="13.28515625" bestFit="1" customWidth="1"/>
    <col min="126" max="126" width="16.42578125" bestFit="1" customWidth="1"/>
    <col min="127" max="128" width="13.140625" bestFit="1" customWidth="1"/>
    <col min="129" max="129" width="12.5703125" bestFit="1" customWidth="1"/>
    <col min="130" max="130" width="14.5703125" bestFit="1" customWidth="1"/>
    <col min="131" max="131" width="15.28515625" bestFit="1" customWidth="1"/>
    <col min="132" max="132" width="12.5703125" bestFit="1" customWidth="1"/>
    <col min="133" max="133" width="7.85546875" bestFit="1" customWidth="1"/>
    <col min="134" max="134" width="8.7109375" bestFit="1" customWidth="1"/>
    <col min="135" max="135" width="14.140625" bestFit="1" customWidth="1"/>
    <col min="136" max="136" width="12.42578125" bestFit="1" customWidth="1"/>
    <col min="137" max="137" width="14.5703125" bestFit="1" customWidth="1"/>
    <col min="138" max="138" width="15" bestFit="1" customWidth="1"/>
    <col min="139" max="139" width="11.5703125" bestFit="1" customWidth="1"/>
    <col min="140" max="140" width="14.85546875" bestFit="1" customWidth="1"/>
    <col min="141" max="141" width="16.140625" bestFit="1" customWidth="1"/>
    <col min="142" max="142" width="13.5703125" bestFit="1" customWidth="1"/>
    <col min="143" max="143" width="19.140625" bestFit="1" customWidth="1"/>
    <col min="144" max="144" width="14" bestFit="1" customWidth="1"/>
    <col min="145" max="145" width="10.5703125" bestFit="1" customWidth="1"/>
    <col min="146" max="146" width="14.140625" bestFit="1" customWidth="1"/>
    <col min="147" max="147" width="16.85546875" bestFit="1" customWidth="1"/>
    <col min="148" max="148" width="19" bestFit="1" customWidth="1"/>
    <col min="149" max="149" width="14.42578125" bestFit="1" customWidth="1"/>
    <col min="150" max="150" width="12.5703125" bestFit="1" customWidth="1"/>
    <col min="151" max="151" width="15.85546875" bestFit="1" customWidth="1"/>
    <col min="152" max="152" width="13.5703125" bestFit="1" customWidth="1"/>
    <col min="153" max="153" width="16.42578125" bestFit="1" customWidth="1"/>
    <col min="154" max="154" width="11.7109375" bestFit="1" customWidth="1"/>
    <col min="155" max="155" width="15.85546875" bestFit="1" customWidth="1"/>
    <col min="156" max="156" width="10.85546875" bestFit="1" customWidth="1"/>
    <col min="157" max="157" width="17.85546875" bestFit="1" customWidth="1"/>
    <col min="158" max="158" width="16.5703125" bestFit="1" customWidth="1"/>
    <col min="159" max="159" width="11.140625" bestFit="1" customWidth="1"/>
    <col min="160" max="160" width="10.42578125" bestFit="1" customWidth="1"/>
    <col min="161" max="161" width="16.7109375" bestFit="1" customWidth="1"/>
    <col min="162" max="162" width="15.7109375" bestFit="1" customWidth="1"/>
    <col min="163" max="163" width="15.140625" bestFit="1" customWidth="1"/>
    <col min="164" max="164" width="19.42578125" bestFit="1" customWidth="1"/>
    <col min="165" max="165" width="12.5703125" bestFit="1" customWidth="1"/>
    <col min="166" max="166" width="15.85546875" bestFit="1" customWidth="1"/>
    <col min="167" max="167" width="15" bestFit="1" customWidth="1"/>
    <col min="168" max="168" width="14.7109375" bestFit="1" customWidth="1"/>
    <col min="169" max="169" width="12.42578125" bestFit="1" customWidth="1"/>
    <col min="170" max="170" width="13.42578125" bestFit="1" customWidth="1"/>
    <col min="171" max="171" width="13.85546875" bestFit="1" customWidth="1"/>
    <col min="172" max="172" width="14.28515625" bestFit="1" customWidth="1"/>
    <col min="173" max="173" width="17.85546875" bestFit="1" customWidth="1"/>
    <col min="174" max="174" width="17" bestFit="1" customWidth="1"/>
    <col min="175" max="175" width="16.28515625" bestFit="1" customWidth="1"/>
    <col min="176" max="176" width="14.42578125" bestFit="1" customWidth="1"/>
    <col min="177" max="177" width="14.7109375" bestFit="1" customWidth="1"/>
    <col min="178" max="178" width="16.140625" bestFit="1" customWidth="1"/>
    <col min="179" max="179" width="14.140625" bestFit="1" customWidth="1"/>
    <col min="180" max="180" width="11" bestFit="1" customWidth="1"/>
    <col min="181" max="181" width="16.7109375" bestFit="1" customWidth="1"/>
    <col min="182" max="182" width="18" bestFit="1" customWidth="1"/>
    <col min="183" max="183" width="17.28515625" bestFit="1" customWidth="1"/>
    <col min="184" max="184" width="11" bestFit="1" customWidth="1"/>
    <col min="185" max="185" width="16.42578125" bestFit="1" customWidth="1"/>
    <col min="186" max="186" width="17.7109375" bestFit="1" customWidth="1"/>
    <col min="187" max="187" width="15.85546875" bestFit="1" customWidth="1"/>
    <col min="188" max="188" width="13.28515625" bestFit="1" customWidth="1"/>
    <col min="189" max="189" width="11" bestFit="1" customWidth="1"/>
    <col min="190" max="190" width="15" bestFit="1" customWidth="1"/>
    <col min="191" max="191" width="15.85546875" bestFit="1" customWidth="1"/>
    <col min="192" max="192" width="16" bestFit="1" customWidth="1"/>
    <col min="193" max="193" width="15.140625" bestFit="1" customWidth="1"/>
    <col min="194" max="194" width="14.85546875" bestFit="1" customWidth="1"/>
    <col min="195" max="195" width="12.7109375" bestFit="1" customWidth="1"/>
    <col min="196" max="196" width="18" bestFit="1" customWidth="1"/>
    <col min="197" max="197" width="15.42578125" bestFit="1" customWidth="1"/>
    <col min="198" max="198" width="15.7109375" bestFit="1" customWidth="1"/>
    <col min="199" max="199" width="18" bestFit="1" customWidth="1"/>
    <col min="200" max="200" width="11.5703125" bestFit="1" customWidth="1"/>
    <col min="201" max="201" width="17.42578125" bestFit="1" customWidth="1"/>
    <col min="202" max="202" width="14.85546875" bestFit="1" customWidth="1"/>
    <col min="203" max="203" width="15.7109375" bestFit="1" customWidth="1"/>
    <col min="204" max="204" width="19.85546875" bestFit="1" customWidth="1"/>
    <col min="205" max="205" width="18.42578125" bestFit="1" customWidth="1"/>
    <col min="206" max="206" width="14.5703125" bestFit="1" customWidth="1"/>
    <col min="207" max="207" width="16.42578125" bestFit="1" customWidth="1"/>
    <col min="208" max="208" width="12.85546875" bestFit="1" customWidth="1"/>
    <col min="209" max="209" width="15.42578125" bestFit="1" customWidth="1"/>
    <col min="210" max="210" width="9.7109375" bestFit="1" customWidth="1"/>
    <col min="211" max="211" width="13.42578125" bestFit="1" customWidth="1"/>
    <col min="212" max="212" width="15.7109375" bestFit="1" customWidth="1"/>
    <col min="213" max="213" width="13.7109375" bestFit="1" customWidth="1"/>
    <col min="214" max="214" width="10.5703125" bestFit="1" customWidth="1"/>
    <col min="215" max="215" width="15.42578125" bestFit="1" customWidth="1"/>
    <col min="216" max="216" width="13.5703125" bestFit="1" customWidth="1"/>
    <col min="217" max="217" width="12.28515625" bestFit="1" customWidth="1"/>
    <col min="218" max="218" width="14.5703125" bestFit="1" customWidth="1"/>
    <col min="219" max="219" width="10.7109375" bestFit="1" customWidth="1"/>
    <col min="220" max="220" width="20.7109375" bestFit="1" customWidth="1"/>
    <col min="221" max="221" width="15.42578125" bestFit="1" customWidth="1"/>
    <col min="222" max="222" width="17.42578125" bestFit="1" customWidth="1"/>
    <col min="223" max="223" width="16.140625" bestFit="1" customWidth="1"/>
    <col min="224" max="224" width="15.85546875" bestFit="1" customWidth="1"/>
    <col min="225" max="225" width="16.42578125" bestFit="1" customWidth="1"/>
    <col min="226" max="226" width="18.42578125" bestFit="1" customWidth="1"/>
    <col min="227" max="227" width="15.140625" bestFit="1" customWidth="1"/>
    <col min="228" max="228" width="18.140625" bestFit="1" customWidth="1"/>
    <col min="229" max="229" width="15.42578125" bestFit="1" customWidth="1"/>
    <col min="230" max="230" width="14.42578125" bestFit="1" customWidth="1"/>
    <col min="231" max="231" width="11.7109375" bestFit="1" customWidth="1"/>
    <col min="232" max="232" width="12" bestFit="1" customWidth="1"/>
    <col min="233" max="233" width="15.5703125" bestFit="1" customWidth="1"/>
    <col min="234" max="234" width="14.85546875" bestFit="1" customWidth="1"/>
    <col min="235" max="235" width="15.85546875" bestFit="1" customWidth="1"/>
    <col min="236" max="236" width="14.28515625" bestFit="1" customWidth="1"/>
    <col min="237" max="237" width="16.140625" bestFit="1" customWidth="1"/>
    <col min="238" max="238" width="9" bestFit="1" customWidth="1"/>
    <col min="239" max="239" width="17.42578125" bestFit="1" customWidth="1"/>
    <col min="240" max="240" width="14.85546875" bestFit="1" customWidth="1"/>
    <col min="241" max="241" width="11.7109375" bestFit="1" customWidth="1"/>
    <col min="242" max="242" width="18.7109375" bestFit="1" customWidth="1"/>
    <col min="243" max="243" width="16.28515625" bestFit="1" customWidth="1"/>
    <col min="244" max="244" width="14.140625" bestFit="1" customWidth="1"/>
    <col min="245" max="245" width="11.42578125" bestFit="1" customWidth="1"/>
    <col min="246" max="246" width="15.5703125" bestFit="1" customWidth="1"/>
    <col min="247" max="247" width="15" bestFit="1" customWidth="1"/>
    <col min="248" max="248" width="18.28515625" bestFit="1" customWidth="1"/>
    <col min="249" max="249" width="13.140625" bestFit="1" customWidth="1"/>
    <col min="250" max="251" width="14.42578125" bestFit="1" customWidth="1"/>
    <col min="252" max="252" width="13.7109375" bestFit="1" customWidth="1"/>
    <col min="253" max="253" width="14.28515625" bestFit="1" customWidth="1"/>
    <col min="254" max="254" width="11.5703125" bestFit="1" customWidth="1"/>
    <col min="255" max="255" width="14.140625" bestFit="1" customWidth="1"/>
    <col min="256" max="256" width="12.5703125" bestFit="1" customWidth="1"/>
    <col min="257" max="257" width="11.85546875" bestFit="1" customWidth="1"/>
    <col min="258" max="258" width="16.42578125" bestFit="1" customWidth="1"/>
    <col min="259" max="259" width="13.85546875" bestFit="1" customWidth="1"/>
    <col min="260" max="260" width="14.42578125" bestFit="1" customWidth="1"/>
    <col min="261" max="261" width="14.140625" bestFit="1" customWidth="1"/>
    <col min="262" max="262" width="13.42578125" bestFit="1" customWidth="1"/>
    <col min="263" max="263" width="14.140625" bestFit="1" customWidth="1"/>
    <col min="264" max="264" width="14" bestFit="1" customWidth="1"/>
    <col min="265" max="265" width="12.42578125" bestFit="1" customWidth="1"/>
    <col min="266" max="266" width="14.85546875" bestFit="1" customWidth="1"/>
    <col min="267" max="267" width="13.140625" bestFit="1" customWidth="1"/>
    <col min="268" max="268" width="10.7109375" bestFit="1" customWidth="1"/>
    <col min="269" max="269" width="12.28515625" bestFit="1" customWidth="1"/>
    <col min="270" max="270" width="15.28515625" bestFit="1" customWidth="1"/>
    <col min="271" max="271" width="14.42578125" bestFit="1" customWidth="1"/>
    <col min="272" max="272" width="13.42578125" bestFit="1" customWidth="1"/>
    <col min="273" max="273" width="17.7109375" bestFit="1" customWidth="1"/>
    <col min="274" max="274" width="17" bestFit="1" customWidth="1"/>
    <col min="275" max="275" width="19.7109375" bestFit="1" customWidth="1"/>
    <col min="276" max="276" width="12.42578125" bestFit="1" customWidth="1"/>
    <col min="277" max="277" width="17.42578125" bestFit="1" customWidth="1"/>
    <col min="278" max="278" width="11" bestFit="1" customWidth="1"/>
    <col min="279" max="279" width="14.85546875" bestFit="1" customWidth="1"/>
    <col min="280" max="280" width="13.7109375" bestFit="1" customWidth="1"/>
    <col min="281" max="281" width="12.42578125" bestFit="1" customWidth="1"/>
    <col min="282" max="282" width="13.28515625" bestFit="1" customWidth="1"/>
    <col min="283" max="283" width="12" bestFit="1" customWidth="1"/>
    <col min="284" max="284" width="14" bestFit="1" customWidth="1"/>
    <col min="285" max="285" width="15.28515625" bestFit="1" customWidth="1"/>
    <col min="286" max="286" width="17.7109375" bestFit="1" customWidth="1"/>
    <col min="287" max="287" width="14.85546875" bestFit="1" customWidth="1"/>
    <col min="288" max="288" width="18.140625" bestFit="1" customWidth="1"/>
    <col min="289" max="289" width="11.28515625" bestFit="1" customWidth="1"/>
    <col min="290" max="290" width="11.140625" bestFit="1" customWidth="1"/>
    <col min="291" max="291" width="15.85546875" bestFit="1" customWidth="1"/>
    <col min="292" max="292" width="13.140625" bestFit="1" customWidth="1"/>
    <col min="293" max="293" width="12.140625" bestFit="1" customWidth="1"/>
    <col min="294" max="294" width="12.7109375" bestFit="1" customWidth="1"/>
    <col min="295" max="295" width="15.28515625" bestFit="1" customWidth="1"/>
    <col min="296" max="296" width="15.42578125" bestFit="1" customWidth="1"/>
    <col min="297" max="297" width="14.7109375" bestFit="1" customWidth="1"/>
    <col min="298" max="298" width="18.42578125" bestFit="1" customWidth="1"/>
    <col min="299" max="299" width="13.85546875" bestFit="1" customWidth="1"/>
    <col min="300" max="300" width="19.85546875" bestFit="1" customWidth="1"/>
    <col min="301" max="301" width="15.85546875" bestFit="1" customWidth="1"/>
    <col min="302" max="302" width="14.7109375" bestFit="1" customWidth="1"/>
    <col min="303" max="303" width="17.5703125" bestFit="1" customWidth="1"/>
    <col min="304" max="304" width="19.140625" bestFit="1" customWidth="1"/>
    <col min="305" max="305" width="14.7109375" bestFit="1" customWidth="1"/>
    <col min="306" max="306" width="17.5703125" bestFit="1" customWidth="1"/>
    <col min="307" max="307" width="16" bestFit="1" customWidth="1"/>
    <col min="308" max="308" width="11.7109375" bestFit="1" customWidth="1"/>
    <col min="309" max="309" width="11.28515625" bestFit="1" customWidth="1"/>
    <col min="310" max="310" width="14.5703125" bestFit="1" customWidth="1"/>
    <col min="311" max="311" width="8.42578125" bestFit="1" customWidth="1"/>
    <col min="312" max="312" width="12.85546875" bestFit="1" customWidth="1"/>
    <col min="313" max="313" width="16.42578125" bestFit="1" customWidth="1"/>
    <col min="314" max="314" width="11.5703125" bestFit="1" customWidth="1"/>
    <col min="315" max="315" width="12.85546875" bestFit="1" customWidth="1"/>
    <col min="316" max="316" width="18.28515625" bestFit="1" customWidth="1"/>
    <col min="317" max="317" width="16.28515625" bestFit="1" customWidth="1"/>
    <col min="318" max="318" width="14" bestFit="1" customWidth="1"/>
    <col min="319" max="319" width="11.5703125" bestFit="1" customWidth="1"/>
    <col min="320" max="320" width="18" bestFit="1" customWidth="1"/>
    <col min="321" max="321" width="13.42578125" bestFit="1" customWidth="1"/>
    <col min="322" max="322" width="16.28515625" bestFit="1" customWidth="1"/>
    <col min="323" max="323" width="18.42578125" bestFit="1" customWidth="1"/>
    <col min="324" max="324" width="15.28515625" bestFit="1" customWidth="1"/>
    <col min="325" max="325" width="13.42578125" bestFit="1" customWidth="1"/>
    <col min="326" max="326" width="10.5703125" bestFit="1" customWidth="1"/>
    <col min="327" max="327" width="13.140625" bestFit="1" customWidth="1"/>
    <col min="328" max="328" width="15.5703125" bestFit="1" customWidth="1"/>
    <col min="329" max="329" width="15.42578125" bestFit="1" customWidth="1"/>
    <col min="330" max="330" width="14.5703125" bestFit="1" customWidth="1"/>
    <col min="331" max="331" width="13.5703125" bestFit="1" customWidth="1"/>
    <col min="332" max="332" width="14.7109375" bestFit="1" customWidth="1"/>
    <col min="333" max="333" width="13.28515625" bestFit="1" customWidth="1"/>
    <col min="334" max="334" width="12.7109375" bestFit="1" customWidth="1"/>
    <col min="335" max="335" width="13.28515625" bestFit="1" customWidth="1"/>
    <col min="336" max="336" width="12.85546875" bestFit="1" customWidth="1"/>
    <col min="337" max="337" width="14.85546875" bestFit="1" customWidth="1"/>
    <col min="338" max="338" width="15" bestFit="1" customWidth="1"/>
    <col min="339" max="339" width="18.5703125" bestFit="1" customWidth="1"/>
    <col min="340" max="340" width="16.28515625" bestFit="1" customWidth="1"/>
    <col min="341" max="341" width="17.42578125" bestFit="1" customWidth="1"/>
    <col min="342" max="342" width="14.5703125" bestFit="1" customWidth="1"/>
    <col min="343" max="343" width="18.85546875" bestFit="1" customWidth="1"/>
    <col min="344" max="344" width="12.85546875" bestFit="1" customWidth="1"/>
    <col min="345" max="345" width="15" bestFit="1" customWidth="1"/>
    <col min="346" max="346" width="12.85546875" bestFit="1" customWidth="1"/>
    <col min="347" max="347" width="11" bestFit="1" customWidth="1"/>
    <col min="348" max="348" width="12" bestFit="1" customWidth="1"/>
    <col min="349" max="349" width="12.5703125" bestFit="1" customWidth="1"/>
    <col min="350" max="350" width="13.7109375" bestFit="1" customWidth="1"/>
    <col min="351" max="351" width="11.140625" bestFit="1" customWidth="1"/>
    <col min="352" max="352" width="10.140625" bestFit="1" customWidth="1"/>
    <col min="353" max="353" width="13.85546875" bestFit="1" customWidth="1"/>
    <col min="354" max="354" width="12" bestFit="1" customWidth="1"/>
    <col min="355" max="355" width="14.140625" bestFit="1" customWidth="1"/>
    <col min="356" max="356" width="14" bestFit="1" customWidth="1"/>
    <col min="357" max="357" width="10" bestFit="1" customWidth="1"/>
    <col min="358" max="358" width="15.42578125" bestFit="1" customWidth="1"/>
    <col min="359" max="359" width="13.42578125" bestFit="1" customWidth="1"/>
    <col min="360" max="360" width="16.28515625" bestFit="1" customWidth="1"/>
    <col min="361" max="361" width="12.7109375" bestFit="1" customWidth="1"/>
    <col min="362" max="362" width="11.140625" bestFit="1" customWidth="1"/>
    <col min="363" max="363" width="14.140625" bestFit="1" customWidth="1"/>
    <col min="364" max="364" width="12.42578125" bestFit="1" customWidth="1"/>
    <col min="365" max="365" width="15.7109375" bestFit="1" customWidth="1"/>
    <col min="366" max="366" width="14.42578125" bestFit="1" customWidth="1"/>
    <col min="367" max="367" width="11.5703125" bestFit="1" customWidth="1"/>
    <col min="368" max="368" width="13.42578125" bestFit="1" customWidth="1"/>
    <col min="369" max="369" width="16.85546875" bestFit="1" customWidth="1"/>
    <col min="370" max="370" width="14.140625" bestFit="1" customWidth="1"/>
    <col min="371" max="371" width="19.140625" bestFit="1" customWidth="1"/>
    <col min="372" max="372" width="15.42578125" bestFit="1" customWidth="1"/>
    <col min="373" max="373" width="15.5703125" bestFit="1" customWidth="1"/>
    <col min="374" max="374" width="15.7109375" bestFit="1" customWidth="1"/>
    <col min="375" max="375" width="14.42578125" bestFit="1" customWidth="1"/>
    <col min="376" max="376" width="12.42578125" bestFit="1" customWidth="1"/>
    <col min="377" max="377" width="13.28515625" bestFit="1" customWidth="1"/>
    <col min="378" max="378" width="13.85546875" bestFit="1" customWidth="1"/>
    <col min="379" max="379" width="10.28515625" bestFit="1" customWidth="1"/>
    <col min="380" max="380" width="14.28515625" bestFit="1" customWidth="1"/>
    <col min="381" max="381" width="12.140625" bestFit="1" customWidth="1"/>
    <col min="382" max="382" width="14.7109375" bestFit="1" customWidth="1"/>
    <col min="383" max="383" width="16.7109375" bestFit="1" customWidth="1"/>
    <col min="384" max="385" width="15.85546875" bestFit="1" customWidth="1"/>
    <col min="386" max="386" width="11.7109375" bestFit="1" customWidth="1"/>
    <col min="387" max="387" width="10.7109375" bestFit="1" customWidth="1"/>
    <col min="388" max="388" width="13.5703125" bestFit="1" customWidth="1"/>
    <col min="389" max="389" width="16.140625" bestFit="1" customWidth="1"/>
    <col min="390" max="390" width="14.140625" bestFit="1" customWidth="1"/>
    <col min="391" max="391" width="18.7109375" bestFit="1" customWidth="1"/>
    <col min="392" max="392" width="14.85546875" bestFit="1" customWidth="1"/>
    <col min="393" max="393" width="11.42578125" bestFit="1" customWidth="1"/>
    <col min="394" max="394" width="17.5703125" bestFit="1" customWidth="1"/>
    <col min="395" max="395" width="13.28515625" bestFit="1" customWidth="1"/>
    <col min="396" max="396" width="14.7109375" bestFit="1" customWidth="1"/>
    <col min="397" max="397" width="15.28515625" bestFit="1" customWidth="1"/>
    <col min="398" max="398" width="11.7109375" bestFit="1" customWidth="1"/>
    <col min="399" max="399" width="16" bestFit="1" customWidth="1"/>
    <col min="400" max="400" width="11.5703125" bestFit="1" customWidth="1"/>
    <col min="401" max="401" width="20.85546875" bestFit="1" customWidth="1"/>
    <col min="402" max="402" width="19" bestFit="1" customWidth="1"/>
    <col min="403" max="403" width="13.7109375" bestFit="1" customWidth="1"/>
    <col min="404" max="404" width="15.140625" bestFit="1" customWidth="1"/>
    <col min="405" max="405" width="16.7109375" bestFit="1" customWidth="1"/>
    <col min="406" max="406" width="12.85546875" bestFit="1" customWidth="1"/>
    <col min="407" max="407" width="17.5703125" bestFit="1" customWidth="1"/>
    <col min="408" max="408" width="20" bestFit="1" customWidth="1"/>
    <col min="409" max="409" width="15.42578125" bestFit="1" customWidth="1"/>
    <col min="410" max="410" width="16.28515625" bestFit="1" customWidth="1"/>
    <col min="411" max="411" width="14.85546875" bestFit="1" customWidth="1"/>
    <col min="412" max="412" width="17" bestFit="1" customWidth="1"/>
    <col min="413" max="413" width="14.28515625" bestFit="1" customWidth="1"/>
    <col min="414" max="414" width="12.140625" bestFit="1" customWidth="1"/>
    <col min="415" max="415" width="15.85546875" bestFit="1" customWidth="1"/>
    <col min="416" max="416" width="11" bestFit="1" customWidth="1"/>
    <col min="417" max="417" width="10.85546875" bestFit="1" customWidth="1"/>
    <col min="418" max="418" width="11.140625" bestFit="1" customWidth="1"/>
    <col min="419" max="419" width="14.7109375" bestFit="1" customWidth="1"/>
    <col min="420" max="420" width="15" bestFit="1" customWidth="1"/>
    <col min="421" max="421" width="12.7109375" bestFit="1" customWidth="1"/>
    <col min="422" max="422" width="12.140625" bestFit="1" customWidth="1"/>
    <col min="423" max="423" width="15" bestFit="1" customWidth="1"/>
    <col min="424" max="424" width="16.5703125" bestFit="1" customWidth="1"/>
    <col min="425" max="425" width="15.28515625" bestFit="1" customWidth="1"/>
    <col min="426" max="426" width="15.5703125" bestFit="1" customWidth="1"/>
    <col min="427" max="427" width="13.5703125" bestFit="1" customWidth="1"/>
    <col min="428" max="428" width="14.140625" bestFit="1" customWidth="1"/>
    <col min="429" max="429" width="15.5703125" bestFit="1" customWidth="1"/>
    <col min="430" max="430" width="13.5703125" bestFit="1" customWidth="1"/>
    <col min="431" max="432" width="14" bestFit="1" customWidth="1"/>
    <col min="433" max="433" width="19.28515625" bestFit="1" customWidth="1"/>
    <col min="434" max="435" width="13.42578125" bestFit="1" customWidth="1"/>
    <col min="436" max="436" width="18.28515625" bestFit="1" customWidth="1"/>
    <col min="437" max="437" width="16.7109375" bestFit="1" customWidth="1"/>
    <col min="438" max="438" width="13.28515625" bestFit="1" customWidth="1"/>
    <col min="439" max="439" width="15.85546875" bestFit="1" customWidth="1"/>
    <col min="440" max="440" width="9.5703125" bestFit="1" customWidth="1"/>
    <col min="441" max="441" width="15.42578125" bestFit="1" customWidth="1"/>
    <col min="442" max="442" width="16" bestFit="1" customWidth="1"/>
    <col min="443" max="443" width="11.85546875" bestFit="1" customWidth="1"/>
    <col min="444" max="444" width="15.28515625" bestFit="1" customWidth="1"/>
    <col min="445" max="445" width="16.42578125" bestFit="1" customWidth="1"/>
    <col min="446" max="446" width="13.140625" bestFit="1" customWidth="1"/>
    <col min="447" max="447" width="15.5703125" bestFit="1" customWidth="1"/>
    <col min="448" max="448" width="15" bestFit="1" customWidth="1"/>
    <col min="449" max="449" width="15.85546875" bestFit="1" customWidth="1"/>
    <col min="450" max="450" width="15" bestFit="1" customWidth="1"/>
    <col min="451" max="451" width="17.5703125" bestFit="1" customWidth="1"/>
    <col min="452" max="452" width="15.7109375" bestFit="1" customWidth="1"/>
    <col min="453" max="453" width="14.42578125" bestFit="1" customWidth="1"/>
    <col min="454" max="454" width="15.5703125" bestFit="1" customWidth="1"/>
    <col min="455" max="455" width="18.28515625" bestFit="1" customWidth="1"/>
    <col min="456" max="456" width="12.85546875" bestFit="1" customWidth="1"/>
    <col min="457" max="457" width="12" bestFit="1" customWidth="1"/>
    <col min="458" max="458" width="15.28515625" bestFit="1" customWidth="1"/>
    <col min="459" max="459" width="13.5703125" bestFit="1" customWidth="1"/>
    <col min="460" max="460" width="19.5703125" bestFit="1" customWidth="1"/>
    <col min="461" max="461" width="12.7109375" bestFit="1" customWidth="1"/>
    <col min="462" max="462" width="15" bestFit="1" customWidth="1"/>
    <col min="463" max="463" width="16.28515625" bestFit="1" customWidth="1"/>
    <col min="464" max="464" width="14.140625" bestFit="1" customWidth="1"/>
    <col min="465" max="465" width="14.5703125" bestFit="1" customWidth="1"/>
    <col min="466" max="466" width="12.7109375" bestFit="1" customWidth="1"/>
    <col min="467" max="467" width="11" bestFit="1" customWidth="1"/>
    <col min="468" max="468" width="13.7109375" bestFit="1" customWidth="1"/>
    <col min="469" max="469" width="12" bestFit="1" customWidth="1"/>
    <col min="470" max="470" width="10.140625" bestFit="1" customWidth="1"/>
    <col min="471" max="472" width="12.28515625" bestFit="1" customWidth="1"/>
    <col min="473" max="473" width="12.7109375" bestFit="1" customWidth="1"/>
    <col min="474" max="474" width="14.28515625" bestFit="1" customWidth="1"/>
    <col min="475" max="475" width="10.140625" bestFit="1" customWidth="1"/>
    <col min="476" max="476" width="14.42578125" bestFit="1" customWidth="1"/>
    <col min="477" max="477" width="13.28515625" bestFit="1" customWidth="1"/>
    <col min="478" max="478" width="16.140625" bestFit="1" customWidth="1"/>
    <col min="479" max="479" width="12.42578125" bestFit="1" customWidth="1"/>
    <col min="480" max="480" width="10" bestFit="1" customWidth="1"/>
    <col min="481" max="481" width="10.85546875" bestFit="1" customWidth="1"/>
    <col min="482" max="482" width="15.5703125" bestFit="1" customWidth="1"/>
    <col min="483" max="483" width="12.42578125" bestFit="1" customWidth="1"/>
    <col min="484" max="484" width="11.7109375" bestFit="1" customWidth="1"/>
    <col min="485" max="485" width="17.42578125" bestFit="1" customWidth="1"/>
    <col min="486" max="486" width="10.7109375" bestFit="1" customWidth="1"/>
    <col min="487" max="487" width="10" bestFit="1" customWidth="1"/>
    <col min="488" max="488" width="14.85546875" bestFit="1" customWidth="1"/>
    <col min="489" max="489" width="16.28515625" bestFit="1" customWidth="1"/>
    <col min="490" max="490" width="15.28515625" bestFit="1" customWidth="1"/>
    <col min="491" max="491" width="13.42578125" bestFit="1" customWidth="1"/>
    <col min="492" max="492" width="15.5703125" bestFit="1" customWidth="1"/>
    <col min="493" max="493" width="12" bestFit="1" customWidth="1"/>
    <col min="494" max="494" width="14.42578125" bestFit="1" customWidth="1"/>
    <col min="495" max="495" width="15.42578125" bestFit="1" customWidth="1"/>
    <col min="496" max="496" width="17.7109375" bestFit="1" customWidth="1"/>
    <col min="497" max="497" width="16" bestFit="1" customWidth="1"/>
    <col min="498" max="498" width="14.42578125" bestFit="1" customWidth="1"/>
    <col min="499" max="499" width="11.5703125" bestFit="1" customWidth="1"/>
    <col min="500" max="500" width="13.7109375" bestFit="1" customWidth="1"/>
    <col min="501" max="501" width="16" bestFit="1" customWidth="1"/>
    <col min="502" max="502" width="15.7109375" bestFit="1" customWidth="1"/>
    <col min="503" max="503" width="17.5703125" bestFit="1" customWidth="1"/>
    <col min="504" max="504" width="11.5703125" bestFit="1" customWidth="1"/>
    <col min="505" max="505" width="16.28515625" bestFit="1" customWidth="1"/>
    <col min="506" max="506" width="19.85546875" bestFit="1" customWidth="1"/>
    <col min="507" max="507" width="15.5703125" bestFit="1" customWidth="1"/>
    <col min="508" max="508" width="14.5703125" bestFit="1" customWidth="1"/>
    <col min="509" max="509" width="12.5703125" bestFit="1" customWidth="1"/>
    <col min="510" max="510" width="14.140625" bestFit="1" customWidth="1"/>
    <col min="511" max="511" width="17.5703125" bestFit="1" customWidth="1"/>
    <col min="512" max="512" width="14.140625" bestFit="1" customWidth="1"/>
    <col min="513" max="513" width="9" bestFit="1" customWidth="1"/>
    <col min="514" max="514" width="18.140625" bestFit="1" customWidth="1"/>
    <col min="515" max="515" width="13.28515625" bestFit="1" customWidth="1"/>
    <col min="516" max="516" width="13.85546875" bestFit="1" customWidth="1"/>
    <col min="517" max="517" width="14.28515625" bestFit="1" customWidth="1"/>
    <col min="518" max="518" width="10.85546875" bestFit="1" customWidth="1"/>
    <col min="519" max="519" width="18.28515625" bestFit="1" customWidth="1"/>
    <col min="520" max="520" width="10.5703125" bestFit="1" customWidth="1"/>
    <col min="521" max="521" width="11.7109375" bestFit="1" customWidth="1"/>
    <col min="522" max="522" width="10.85546875" bestFit="1" customWidth="1"/>
    <col min="523" max="523" width="10.7109375" bestFit="1" customWidth="1"/>
    <col min="524" max="524" width="16.85546875" bestFit="1" customWidth="1"/>
    <col min="525" max="525" width="13.5703125" bestFit="1" customWidth="1"/>
    <col min="526" max="526" width="12.85546875" bestFit="1" customWidth="1"/>
    <col min="527" max="527" width="12.42578125" bestFit="1" customWidth="1"/>
    <col min="528" max="528" width="16.28515625" bestFit="1" customWidth="1"/>
    <col min="529" max="529" width="14.42578125" bestFit="1" customWidth="1"/>
    <col min="530" max="530" width="14.140625" bestFit="1" customWidth="1"/>
    <col min="531" max="531" width="17" bestFit="1" customWidth="1"/>
    <col min="532" max="532" width="14" bestFit="1" customWidth="1"/>
    <col min="533" max="533" width="12.85546875" bestFit="1" customWidth="1"/>
    <col min="534" max="534" width="10.7109375" bestFit="1" customWidth="1"/>
    <col min="535" max="535" width="16.28515625" bestFit="1" customWidth="1"/>
    <col min="536" max="536" width="16.85546875" bestFit="1" customWidth="1"/>
    <col min="537" max="537" width="18" bestFit="1" customWidth="1"/>
    <col min="538" max="538" width="17.28515625" bestFit="1" customWidth="1"/>
    <col min="539" max="539" width="11.42578125" bestFit="1" customWidth="1"/>
    <col min="540" max="540" width="19.28515625" bestFit="1" customWidth="1"/>
    <col min="541" max="541" width="15.5703125" bestFit="1" customWidth="1"/>
    <col min="542" max="542" width="13.5703125" bestFit="1" customWidth="1"/>
    <col min="543" max="543" width="11.28515625" bestFit="1" customWidth="1"/>
    <col min="544" max="544" width="13.85546875" bestFit="1" customWidth="1"/>
    <col min="545" max="545" width="14.85546875" bestFit="1" customWidth="1"/>
    <col min="546" max="546" width="16.85546875" bestFit="1" customWidth="1"/>
    <col min="547" max="547" width="12.7109375" bestFit="1" customWidth="1"/>
    <col min="548" max="548" width="19" bestFit="1" customWidth="1"/>
    <col min="549" max="549" width="13.28515625" bestFit="1" customWidth="1"/>
    <col min="550" max="550" width="13.42578125" bestFit="1" customWidth="1"/>
    <col min="551" max="551" width="10.42578125" bestFit="1" customWidth="1"/>
    <col min="552" max="552" width="14.5703125" bestFit="1" customWidth="1"/>
    <col min="553" max="553" width="13.28515625" bestFit="1" customWidth="1"/>
    <col min="554" max="554" width="10.5703125" bestFit="1" customWidth="1"/>
    <col min="555" max="555" width="11.140625" bestFit="1" customWidth="1"/>
    <col min="556" max="556" width="16.5703125" bestFit="1" customWidth="1"/>
    <col min="557" max="557" width="11.7109375" bestFit="1" customWidth="1"/>
    <col min="558" max="558" width="16.5703125" bestFit="1" customWidth="1"/>
    <col min="559" max="559" width="12.42578125" bestFit="1" customWidth="1"/>
    <col min="560" max="560" width="14.42578125" bestFit="1" customWidth="1"/>
    <col min="561" max="561" width="12" bestFit="1" customWidth="1"/>
    <col min="562" max="562" width="10.5703125" bestFit="1" customWidth="1"/>
    <col min="563" max="563" width="14.140625" bestFit="1" customWidth="1"/>
    <col min="564" max="564" width="16.7109375" bestFit="1" customWidth="1"/>
    <col min="565" max="565" width="18.28515625" bestFit="1" customWidth="1"/>
    <col min="566" max="566" width="16.85546875" bestFit="1" customWidth="1"/>
    <col min="567" max="567" width="16" bestFit="1" customWidth="1"/>
    <col min="568" max="568" width="17.85546875" bestFit="1" customWidth="1"/>
    <col min="569" max="569" width="15.85546875" bestFit="1" customWidth="1"/>
    <col min="570" max="570" width="19.85546875" bestFit="1" customWidth="1"/>
    <col min="571" max="571" width="13.85546875" bestFit="1" customWidth="1"/>
    <col min="572" max="572" width="12" bestFit="1" customWidth="1"/>
    <col min="573" max="573" width="11" bestFit="1" customWidth="1"/>
    <col min="574" max="574" width="14.5703125" bestFit="1" customWidth="1"/>
    <col min="575" max="575" width="16.5703125" bestFit="1" customWidth="1"/>
    <col min="576" max="576" width="19" bestFit="1" customWidth="1"/>
    <col min="577" max="577" width="11.85546875" bestFit="1" customWidth="1"/>
    <col min="578" max="578" width="17.28515625" bestFit="1" customWidth="1"/>
    <col min="579" max="579" width="12.85546875" bestFit="1" customWidth="1"/>
    <col min="580" max="580" width="12.28515625" bestFit="1" customWidth="1"/>
    <col min="581" max="581" width="14.28515625" bestFit="1" customWidth="1"/>
    <col min="582" max="582" width="20.85546875" bestFit="1" customWidth="1"/>
    <col min="583" max="583" width="11.85546875" bestFit="1" customWidth="1"/>
    <col min="584" max="584" width="14.42578125" bestFit="1" customWidth="1"/>
    <col min="585" max="585" width="14.7109375" bestFit="1" customWidth="1"/>
    <col min="586" max="586" width="17" bestFit="1" customWidth="1"/>
    <col min="587" max="587" width="15.28515625" bestFit="1" customWidth="1"/>
    <col min="588" max="588" width="10.140625" bestFit="1" customWidth="1"/>
    <col min="589" max="589" width="13.85546875" bestFit="1" customWidth="1"/>
    <col min="590" max="590" width="12.85546875" bestFit="1" customWidth="1"/>
    <col min="591" max="591" width="14.7109375" bestFit="1" customWidth="1"/>
    <col min="592" max="592" width="13.5703125" bestFit="1" customWidth="1"/>
    <col min="593" max="593" width="11.5703125" bestFit="1" customWidth="1"/>
    <col min="594" max="594" width="16.85546875" bestFit="1" customWidth="1"/>
    <col min="595" max="595" width="13.140625" bestFit="1" customWidth="1"/>
    <col min="596" max="596" width="14.140625" bestFit="1" customWidth="1"/>
    <col min="597" max="597" width="14.7109375" bestFit="1" customWidth="1"/>
    <col min="598" max="598" width="17" bestFit="1" customWidth="1"/>
    <col min="599" max="599" width="9.7109375" bestFit="1" customWidth="1"/>
    <col min="601" max="601" width="13.28515625" bestFit="1" customWidth="1"/>
    <col min="602" max="602" width="16.42578125" bestFit="1" customWidth="1"/>
    <col min="603" max="603" width="13.7109375" bestFit="1" customWidth="1"/>
    <col min="604" max="604" width="12.28515625" bestFit="1" customWidth="1"/>
    <col min="605" max="605" width="11.140625" bestFit="1" customWidth="1"/>
    <col min="606" max="606" width="14.140625" bestFit="1" customWidth="1"/>
    <col min="607" max="607" width="13.85546875" bestFit="1" customWidth="1"/>
    <col min="608" max="608" width="18.5703125" bestFit="1" customWidth="1"/>
    <col min="609" max="609" width="16.42578125" bestFit="1" customWidth="1"/>
    <col min="610" max="610" width="14.140625" bestFit="1" customWidth="1"/>
    <col min="611" max="611" width="12.7109375" bestFit="1" customWidth="1"/>
    <col min="612" max="612" width="14.85546875" bestFit="1" customWidth="1"/>
    <col min="613" max="613" width="11.140625" bestFit="1" customWidth="1"/>
    <col min="614" max="614" width="13.42578125" bestFit="1" customWidth="1"/>
    <col min="615" max="615" width="10.5703125" bestFit="1" customWidth="1"/>
    <col min="616" max="616" width="14.42578125" bestFit="1" customWidth="1"/>
    <col min="617" max="617" width="14.5703125" bestFit="1" customWidth="1"/>
    <col min="618" max="618" width="16.28515625" bestFit="1" customWidth="1"/>
    <col min="619" max="619" width="10.42578125" bestFit="1" customWidth="1"/>
    <col min="620" max="620" width="14.28515625" bestFit="1" customWidth="1"/>
    <col min="621" max="621" width="12.140625" bestFit="1" customWidth="1"/>
    <col min="622" max="624" width="11.42578125" bestFit="1" customWidth="1"/>
    <col min="625" max="625" width="16.140625" bestFit="1" customWidth="1"/>
    <col min="626" max="626" width="13.28515625" bestFit="1" customWidth="1"/>
    <col min="627" max="627" width="11.7109375" bestFit="1" customWidth="1"/>
    <col min="628" max="628" width="19.42578125" bestFit="1" customWidth="1"/>
    <col min="629" max="629" width="14.7109375" bestFit="1" customWidth="1"/>
    <col min="630" max="630" width="15.7109375" bestFit="1" customWidth="1"/>
    <col min="631" max="631" width="17.5703125" bestFit="1" customWidth="1"/>
    <col min="632" max="632" width="16.5703125" bestFit="1" customWidth="1"/>
    <col min="633" max="633" width="11.42578125" bestFit="1" customWidth="1"/>
    <col min="634" max="634" width="14.28515625" bestFit="1" customWidth="1"/>
    <col min="635" max="635" width="11.7109375" bestFit="1" customWidth="1"/>
    <col min="636" max="636" width="13.140625" bestFit="1" customWidth="1"/>
    <col min="637" max="637" width="16.5703125" bestFit="1" customWidth="1"/>
    <col min="638" max="638" width="16.7109375" bestFit="1" customWidth="1"/>
    <col min="639" max="639" width="20.85546875" bestFit="1" customWidth="1"/>
    <col min="640" max="640" width="13.42578125" bestFit="1" customWidth="1"/>
    <col min="641" max="641" width="14.42578125" bestFit="1" customWidth="1"/>
    <col min="642" max="642" width="17.85546875" bestFit="1" customWidth="1"/>
    <col min="643" max="643" width="16.140625" bestFit="1" customWidth="1"/>
    <col min="644" max="644" width="15.5703125" bestFit="1" customWidth="1"/>
    <col min="645" max="645" width="14.5703125" bestFit="1" customWidth="1"/>
    <col min="646" max="646" width="18" bestFit="1" customWidth="1"/>
    <col min="647" max="647" width="14.85546875" bestFit="1" customWidth="1"/>
    <col min="648" max="648" width="13.5703125" bestFit="1" customWidth="1"/>
    <col min="649" max="649" width="14.28515625" bestFit="1" customWidth="1"/>
    <col min="650" max="650" width="13.85546875" bestFit="1" customWidth="1"/>
    <col min="651" max="651" width="11.7109375" bestFit="1" customWidth="1"/>
    <col min="652" max="652" width="20.140625" bestFit="1" customWidth="1"/>
    <col min="653" max="653" width="12.85546875" bestFit="1" customWidth="1"/>
    <col min="654" max="654" width="19.7109375" bestFit="1" customWidth="1"/>
    <col min="655" max="655" width="18.7109375" bestFit="1" customWidth="1"/>
    <col min="656" max="656" width="12.85546875" bestFit="1" customWidth="1"/>
    <col min="657" max="657" width="16.85546875" bestFit="1" customWidth="1"/>
    <col min="658" max="658" width="18.42578125" bestFit="1" customWidth="1"/>
    <col min="659" max="659" width="14.42578125" bestFit="1" customWidth="1"/>
    <col min="660" max="660" width="15" bestFit="1" customWidth="1"/>
    <col min="661" max="661" width="16.28515625" bestFit="1" customWidth="1"/>
    <col min="662" max="662" width="14.7109375" bestFit="1" customWidth="1"/>
    <col min="663" max="663" width="12.28515625" bestFit="1" customWidth="1"/>
    <col min="664" max="664" width="24.140625" bestFit="1" customWidth="1"/>
    <col min="665" max="665" width="16.140625" bestFit="1" customWidth="1"/>
    <col min="666" max="666" width="12.5703125" bestFit="1" customWidth="1"/>
    <col min="667" max="667" width="14.42578125" bestFit="1" customWidth="1"/>
    <col min="668" max="668" width="13.7109375" bestFit="1" customWidth="1"/>
    <col min="669" max="669" width="15.7109375" bestFit="1" customWidth="1"/>
    <col min="670" max="670" width="16.7109375" bestFit="1" customWidth="1"/>
    <col min="671" max="671" width="14.7109375" bestFit="1" customWidth="1"/>
    <col min="672" max="672" width="14" bestFit="1" customWidth="1"/>
    <col min="673" max="673" width="17.85546875" bestFit="1" customWidth="1"/>
    <col min="674" max="674" width="15.85546875" bestFit="1" customWidth="1"/>
    <col min="675" max="675" width="13.28515625" bestFit="1" customWidth="1"/>
    <col min="676" max="676" width="15.7109375" bestFit="1" customWidth="1"/>
    <col min="677" max="677" width="16.7109375" bestFit="1" customWidth="1"/>
    <col min="678" max="678" width="18" bestFit="1" customWidth="1"/>
    <col min="679" max="679" width="17.85546875" bestFit="1" customWidth="1"/>
    <col min="680" max="680" width="13.28515625" bestFit="1" customWidth="1"/>
    <col min="681" max="681" width="16.140625" bestFit="1" customWidth="1"/>
    <col min="682" max="682" width="14.85546875" bestFit="1" customWidth="1"/>
    <col min="683" max="683" width="16.85546875" bestFit="1" customWidth="1"/>
    <col min="684" max="684" width="13.28515625" bestFit="1" customWidth="1"/>
    <col min="685" max="685" width="16.85546875" bestFit="1" customWidth="1"/>
    <col min="686" max="686" width="16.28515625" bestFit="1" customWidth="1"/>
    <col min="687" max="687" width="15.42578125" bestFit="1" customWidth="1"/>
    <col min="688" max="688" width="15.5703125" bestFit="1" customWidth="1"/>
    <col min="689" max="689" width="18" bestFit="1" customWidth="1"/>
    <col min="690" max="690" width="12.42578125" bestFit="1" customWidth="1"/>
    <col min="691" max="691" width="15.85546875" bestFit="1" customWidth="1"/>
    <col min="692" max="692" width="13.42578125" bestFit="1" customWidth="1"/>
    <col min="693" max="693" width="17.7109375" bestFit="1" customWidth="1"/>
    <col min="694" max="694" width="15" bestFit="1" customWidth="1"/>
    <col min="695" max="695" width="16.7109375" bestFit="1" customWidth="1"/>
    <col min="696" max="696" width="14" bestFit="1" customWidth="1"/>
    <col min="697" max="697" width="13.85546875" bestFit="1" customWidth="1"/>
    <col min="698" max="698" width="10.85546875" bestFit="1" customWidth="1"/>
    <col min="699" max="699" width="21.42578125" bestFit="1" customWidth="1"/>
    <col min="700" max="700" width="16.28515625" bestFit="1" customWidth="1"/>
    <col min="701" max="701" width="19.5703125" bestFit="1" customWidth="1"/>
    <col min="702" max="702" width="14.140625" bestFit="1" customWidth="1"/>
    <col min="703" max="703" width="15.7109375" bestFit="1" customWidth="1"/>
    <col min="704" max="704" width="13.85546875" bestFit="1" customWidth="1"/>
    <col min="705" max="705" width="15" bestFit="1" customWidth="1"/>
    <col min="706" max="706" width="12.5703125" bestFit="1" customWidth="1"/>
    <col min="707" max="707" width="14" bestFit="1" customWidth="1"/>
    <col min="708" max="708" width="16.85546875" bestFit="1" customWidth="1"/>
    <col min="709" max="709" width="16" bestFit="1" customWidth="1"/>
    <col min="710" max="710" width="15.7109375" bestFit="1" customWidth="1"/>
    <col min="711" max="711" width="14.140625" bestFit="1" customWidth="1"/>
    <col min="712" max="712" width="19.28515625" bestFit="1" customWidth="1"/>
    <col min="713" max="713" width="16.42578125" bestFit="1" customWidth="1"/>
    <col min="714" max="714" width="15.140625" bestFit="1" customWidth="1"/>
    <col min="715" max="715" width="11" bestFit="1" customWidth="1"/>
    <col min="716" max="716" width="10.85546875" bestFit="1" customWidth="1"/>
    <col min="717" max="717" width="12.42578125" bestFit="1" customWidth="1"/>
    <col min="718" max="718" width="13.140625" bestFit="1" customWidth="1"/>
    <col min="719" max="719" width="17.7109375" bestFit="1" customWidth="1"/>
    <col min="720" max="720" width="13.85546875" bestFit="1" customWidth="1"/>
    <col min="721" max="721" width="14.7109375" bestFit="1" customWidth="1"/>
    <col min="722" max="722" width="13.140625" bestFit="1" customWidth="1"/>
    <col min="723" max="723" width="13.7109375" bestFit="1" customWidth="1"/>
    <col min="724" max="724" width="15.42578125" bestFit="1" customWidth="1"/>
    <col min="725" max="725" width="15.5703125" bestFit="1" customWidth="1"/>
    <col min="726" max="726" width="20.5703125" bestFit="1" customWidth="1"/>
    <col min="727" max="727" width="16.28515625" bestFit="1" customWidth="1"/>
    <col min="728" max="728" width="19.140625" bestFit="1" customWidth="1"/>
    <col min="729" max="729" width="15.7109375" bestFit="1" customWidth="1"/>
    <col min="730" max="730" width="16.42578125" bestFit="1" customWidth="1"/>
    <col min="731" max="731" width="18.28515625" bestFit="1" customWidth="1"/>
    <col min="732" max="732" width="15.140625" bestFit="1" customWidth="1"/>
    <col min="733" max="733" width="15" bestFit="1" customWidth="1"/>
    <col min="734" max="734" width="11.42578125" bestFit="1" customWidth="1"/>
    <col min="735" max="735" width="15.140625" bestFit="1" customWidth="1"/>
    <col min="736" max="736" width="14.42578125" bestFit="1" customWidth="1"/>
    <col min="737" max="737" width="14.85546875" bestFit="1" customWidth="1"/>
    <col min="738" max="738" width="14.140625" bestFit="1" customWidth="1"/>
    <col min="739" max="739" width="12.85546875" bestFit="1" customWidth="1"/>
    <col min="740" max="740" width="14.7109375" bestFit="1" customWidth="1"/>
    <col min="741" max="741" width="14.85546875" bestFit="1" customWidth="1"/>
    <col min="742" max="742" width="14.28515625" bestFit="1" customWidth="1"/>
    <col min="743" max="743" width="15.28515625" bestFit="1" customWidth="1"/>
    <col min="744" max="744" width="14" bestFit="1" customWidth="1"/>
    <col min="745" max="745" width="17.42578125" bestFit="1" customWidth="1"/>
    <col min="746" max="746" width="15" bestFit="1" customWidth="1"/>
    <col min="747" max="747" width="16.7109375" bestFit="1" customWidth="1"/>
    <col min="748" max="748" width="19.140625" bestFit="1" customWidth="1"/>
    <col min="749" max="749" width="14.7109375" bestFit="1" customWidth="1"/>
    <col min="750" max="750" width="12.42578125" bestFit="1" customWidth="1"/>
    <col min="751" max="751" width="14" bestFit="1" customWidth="1"/>
    <col min="752" max="752" width="11.28515625" bestFit="1" customWidth="1"/>
    <col min="753" max="753" width="15.28515625" bestFit="1" customWidth="1"/>
    <col min="754" max="754" width="11.5703125" bestFit="1" customWidth="1"/>
    <col min="755" max="755" width="11.85546875" bestFit="1" customWidth="1"/>
    <col min="756" max="756" width="16.42578125" bestFit="1" customWidth="1"/>
    <col min="757" max="757" width="11.85546875" bestFit="1" customWidth="1"/>
    <col min="758" max="758" width="11.28515625" bestFit="1" customWidth="1"/>
    <col min="759" max="759" width="17" bestFit="1" customWidth="1"/>
    <col min="760" max="760" width="16.28515625" bestFit="1" customWidth="1"/>
    <col min="761" max="761" width="11.85546875" bestFit="1" customWidth="1"/>
    <col min="762" max="762" width="11.7109375" bestFit="1" customWidth="1"/>
    <col min="763" max="764" width="15.85546875" bestFit="1" customWidth="1"/>
    <col min="765" max="765" width="14.42578125" bestFit="1" customWidth="1"/>
    <col min="766" max="766" width="13.5703125" bestFit="1" customWidth="1"/>
    <col min="767" max="767" width="13.7109375" bestFit="1" customWidth="1"/>
    <col min="768" max="768" width="15.5703125" bestFit="1" customWidth="1"/>
    <col min="769" max="769" width="12.85546875" bestFit="1" customWidth="1"/>
    <col min="770" max="770" width="15" bestFit="1" customWidth="1"/>
    <col min="771" max="771" width="15.5703125" bestFit="1" customWidth="1"/>
    <col min="772" max="773" width="15.28515625" bestFit="1" customWidth="1"/>
    <col min="774" max="774" width="9.5703125" bestFit="1" customWidth="1"/>
    <col min="775" max="775" width="19" bestFit="1" customWidth="1"/>
    <col min="776" max="776" width="15" bestFit="1" customWidth="1"/>
    <col min="777" max="777" width="12.28515625" bestFit="1" customWidth="1"/>
    <col min="778" max="778" width="11.5703125" bestFit="1" customWidth="1"/>
    <col min="779" max="779" width="14" bestFit="1" customWidth="1"/>
    <col min="780" max="780" width="18.140625" bestFit="1" customWidth="1"/>
    <col min="781" max="781" width="16.7109375" bestFit="1" customWidth="1"/>
    <col min="782" max="782" width="16.5703125" bestFit="1" customWidth="1"/>
    <col min="783" max="783" width="13.140625" bestFit="1" customWidth="1"/>
    <col min="784" max="784" width="16" bestFit="1" customWidth="1"/>
    <col min="785" max="785" width="11.5703125" bestFit="1" customWidth="1"/>
    <col min="786" max="786" width="14.28515625" bestFit="1" customWidth="1"/>
    <col min="787" max="787" width="17.42578125" bestFit="1" customWidth="1"/>
    <col min="788" max="788" width="15.42578125" bestFit="1" customWidth="1"/>
    <col min="789" max="789" width="19.5703125" bestFit="1" customWidth="1"/>
    <col min="790" max="790" width="12.5703125" bestFit="1" customWidth="1"/>
    <col min="791" max="791" width="14.42578125" bestFit="1" customWidth="1"/>
    <col min="792" max="792" width="13.28515625" bestFit="1" customWidth="1"/>
    <col min="793" max="793" width="11.28515625" bestFit="1" customWidth="1"/>
    <col min="794" max="794" width="14.140625" bestFit="1" customWidth="1"/>
    <col min="795" max="795" width="11.7109375" bestFit="1" customWidth="1"/>
    <col min="796" max="796" width="15" bestFit="1" customWidth="1"/>
    <col min="797" max="797" width="14.85546875" bestFit="1" customWidth="1"/>
    <col min="798" max="798" width="12.42578125" bestFit="1" customWidth="1"/>
    <col min="799" max="799" width="12.28515625" bestFit="1" customWidth="1"/>
    <col min="800" max="800" width="13.42578125" bestFit="1" customWidth="1"/>
    <col min="801" max="801" width="13.5703125" bestFit="1" customWidth="1"/>
    <col min="802" max="802" width="12.28515625" bestFit="1" customWidth="1"/>
    <col min="803" max="803" width="13.85546875" bestFit="1" customWidth="1"/>
    <col min="804" max="805" width="11.85546875" bestFit="1" customWidth="1"/>
    <col min="806" max="806" width="16.28515625" bestFit="1" customWidth="1"/>
    <col min="807" max="807" width="13.5703125" bestFit="1" customWidth="1"/>
    <col min="808" max="808" width="13.28515625" bestFit="1" customWidth="1"/>
    <col min="809" max="809" width="11.28515625" bestFit="1" customWidth="1"/>
    <col min="810" max="810" width="13.42578125" bestFit="1" customWidth="1"/>
    <col min="811" max="811" width="16.7109375" bestFit="1" customWidth="1"/>
    <col min="812" max="812" width="17.42578125" bestFit="1" customWidth="1"/>
    <col min="813" max="813" width="14.85546875" bestFit="1" customWidth="1"/>
    <col min="814" max="814" width="19.140625" bestFit="1" customWidth="1"/>
    <col min="815" max="815" width="13.7109375" bestFit="1" customWidth="1"/>
    <col min="816" max="816" width="14.5703125" bestFit="1" customWidth="1"/>
    <col min="817" max="817" width="16.7109375" bestFit="1" customWidth="1"/>
    <col min="818" max="818" width="17.7109375" bestFit="1" customWidth="1"/>
    <col min="819" max="819" width="16" bestFit="1" customWidth="1"/>
    <col min="820" max="820" width="13.42578125" bestFit="1" customWidth="1"/>
    <col min="821" max="821" width="10.7109375" bestFit="1" customWidth="1"/>
    <col min="822" max="822" width="15.7109375" bestFit="1" customWidth="1"/>
    <col min="823" max="823" width="15" bestFit="1" customWidth="1"/>
    <col min="824" max="824" width="14.7109375" bestFit="1" customWidth="1"/>
    <col min="825" max="825" width="14.140625" bestFit="1" customWidth="1"/>
    <col min="826" max="826" width="11.5703125" bestFit="1" customWidth="1"/>
    <col min="827" max="827" width="13.85546875" bestFit="1" customWidth="1"/>
    <col min="828" max="828" width="12.85546875" bestFit="1" customWidth="1"/>
    <col min="829" max="829" width="15.7109375" bestFit="1" customWidth="1"/>
    <col min="830" max="831" width="14.5703125" bestFit="1" customWidth="1"/>
    <col min="832" max="832" width="12.28515625" bestFit="1" customWidth="1"/>
    <col min="833" max="833" width="12.5703125" bestFit="1" customWidth="1"/>
    <col min="834" max="834" width="13.140625" bestFit="1" customWidth="1"/>
    <col min="835" max="835" width="14.85546875" bestFit="1" customWidth="1"/>
    <col min="836" max="836" width="12.140625" bestFit="1" customWidth="1"/>
    <col min="837" max="837" width="16.42578125" bestFit="1" customWidth="1"/>
    <col min="838" max="838" width="15.140625" bestFit="1" customWidth="1"/>
    <col min="839" max="839" width="10.7109375" bestFit="1" customWidth="1"/>
    <col min="840" max="840" width="12.5703125" bestFit="1" customWidth="1"/>
    <col min="841" max="841" width="18.85546875" bestFit="1" customWidth="1"/>
    <col min="842" max="842" width="13.7109375" bestFit="1" customWidth="1"/>
    <col min="843" max="843" width="14" bestFit="1" customWidth="1"/>
    <col min="844" max="844" width="15.85546875" bestFit="1" customWidth="1"/>
    <col min="845" max="845" width="15.140625" bestFit="1" customWidth="1"/>
    <col min="846" max="846" width="14.5703125" bestFit="1" customWidth="1"/>
    <col min="847" max="847" width="16.5703125" bestFit="1" customWidth="1"/>
    <col min="848" max="848" width="11" bestFit="1" customWidth="1"/>
    <col min="849" max="849" width="17.28515625" bestFit="1" customWidth="1"/>
    <col min="850" max="850" width="17.5703125" bestFit="1" customWidth="1"/>
    <col min="851" max="851" width="17.28515625" bestFit="1" customWidth="1"/>
    <col min="852" max="852" width="14.85546875" bestFit="1" customWidth="1"/>
    <col min="853" max="853" width="10.85546875" bestFit="1" customWidth="1"/>
    <col min="854" max="855" width="16.140625" bestFit="1" customWidth="1"/>
    <col min="856" max="856" width="16.5703125" bestFit="1" customWidth="1"/>
    <col min="857" max="857" width="11.85546875" bestFit="1" customWidth="1"/>
    <col min="858" max="858" width="15.5703125" bestFit="1" customWidth="1"/>
    <col min="859" max="859" width="17.28515625" bestFit="1" customWidth="1"/>
    <col min="860" max="860" width="10.28515625" bestFit="1" customWidth="1"/>
    <col min="861" max="861" width="18.140625" bestFit="1" customWidth="1"/>
    <col min="862" max="862" width="15.5703125" bestFit="1" customWidth="1"/>
    <col min="863" max="863" width="14.7109375" bestFit="1" customWidth="1"/>
    <col min="864" max="865" width="14.140625" bestFit="1" customWidth="1"/>
    <col min="866" max="866" width="13.85546875" bestFit="1" customWidth="1"/>
    <col min="867" max="867" width="16.42578125" bestFit="1" customWidth="1"/>
    <col min="868" max="868" width="16.140625" bestFit="1" customWidth="1"/>
    <col min="869" max="869" width="17.85546875" bestFit="1" customWidth="1"/>
    <col min="870" max="870" width="16.5703125" bestFit="1" customWidth="1"/>
    <col min="871" max="871" width="13.28515625" bestFit="1" customWidth="1"/>
    <col min="872" max="872" width="15.5703125" bestFit="1" customWidth="1"/>
    <col min="873" max="873" width="16.7109375" bestFit="1" customWidth="1"/>
    <col min="874" max="874" width="22.85546875" bestFit="1" customWidth="1"/>
    <col min="875" max="875" width="13.42578125" bestFit="1" customWidth="1"/>
    <col min="876" max="876" width="11.140625" bestFit="1" customWidth="1"/>
    <col min="877" max="877" width="19.140625" bestFit="1" customWidth="1"/>
    <col min="878" max="878" width="15.28515625" bestFit="1" customWidth="1"/>
    <col min="879" max="879" width="19.85546875" bestFit="1" customWidth="1"/>
    <col min="880" max="880" width="14.42578125" bestFit="1" customWidth="1"/>
    <col min="881" max="881" width="13.28515625" bestFit="1" customWidth="1"/>
    <col min="882" max="882" width="13.85546875" bestFit="1" customWidth="1"/>
    <col min="883" max="883" width="14.140625" bestFit="1" customWidth="1"/>
    <col min="884" max="884" width="17.5703125" bestFit="1" customWidth="1"/>
    <col min="885" max="885" width="12.140625" bestFit="1" customWidth="1"/>
    <col min="886" max="886" width="11.5703125" bestFit="1" customWidth="1"/>
    <col min="887" max="887" width="12.42578125" bestFit="1" customWidth="1"/>
    <col min="888" max="888" width="19" bestFit="1" customWidth="1"/>
    <col min="889" max="889" width="19.140625" bestFit="1" customWidth="1"/>
    <col min="890" max="890" width="17.7109375" bestFit="1" customWidth="1"/>
    <col min="891" max="892" width="15.7109375" bestFit="1" customWidth="1"/>
    <col min="893" max="893" width="15.42578125" bestFit="1" customWidth="1"/>
    <col min="894" max="894" width="14.85546875" bestFit="1" customWidth="1"/>
    <col min="895" max="895" width="14" bestFit="1" customWidth="1"/>
    <col min="896" max="896" width="18.85546875" bestFit="1" customWidth="1"/>
    <col min="897" max="897" width="14.140625" bestFit="1" customWidth="1"/>
    <col min="898" max="898" width="13.42578125" bestFit="1" customWidth="1"/>
    <col min="899" max="899" width="12.140625" bestFit="1" customWidth="1"/>
    <col min="900" max="900" width="13.5703125" bestFit="1" customWidth="1"/>
    <col min="901" max="901" width="16.85546875" bestFit="1" customWidth="1"/>
    <col min="902" max="902" width="10.85546875" bestFit="1" customWidth="1"/>
    <col min="903" max="903" width="17.28515625" bestFit="1" customWidth="1"/>
    <col min="904" max="904" width="12.7109375" bestFit="1" customWidth="1"/>
    <col min="905" max="905" width="11.28515625" bestFit="1" customWidth="1"/>
    <col min="906" max="906" width="9.5703125" bestFit="1" customWidth="1"/>
    <col min="907" max="907" width="12.85546875" bestFit="1" customWidth="1"/>
    <col min="908" max="908" width="13.5703125" bestFit="1" customWidth="1"/>
    <col min="909" max="909" width="11.28515625" bestFit="1" customWidth="1"/>
    <col min="910" max="910" width="14.5703125" bestFit="1" customWidth="1"/>
    <col min="911" max="911" width="19" bestFit="1" customWidth="1"/>
    <col min="912" max="912" width="12.7109375" bestFit="1" customWidth="1"/>
    <col min="913" max="913" width="12.140625" bestFit="1" customWidth="1"/>
    <col min="914" max="914" width="13.7109375" bestFit="1" customWidth="1"/>
    <col min="915" max="915" width="17" bestFit="1" customWidth="1"/>
    <col min="916" max="916" width="16.5703125" bestFit="1" customWidth="1"/>
    <col min="917" max="917" width="16.42578125" bestFit="1" customWidth="1"/>
    <col min="918" max="918" width="15.5703125" bestFit="1" customWidth="1"/>
    <col min="919" max="919" width="9.85546875" bestFit="1" customWidth="1"/>
    <col min="920" max="920" width="10.5703125" bestFit="1" customWidth="1"/>
    <col min="921" max="921" width="10.140625" bestFit="1" customWidth="1"/>
    <col min="922" max="922" width="11.5703125" bestFit="1" customWidth="1"/>
    <col min="923" max="923" width="15.28515625" bestFit="1" customWidth="1"/>
    <col min="924" max="924" width="13.7109375" bestFit="1" customWidth="1"/>
    <col min="925" max="925" width="13.5703125" bestFit="1" customWidth="1"/>
    <col min="926" max="926" width="16.85546875" bestFit="1" customWidth="1"/>
    <col min="927" max="927" width="12.7109375" bestFit="1" customWidth="1"/>
    <col min="928" max="928" width="12" bestFit="1" customWidth="1"/>
    <col min="929" max="929" width="13.7109375" bestFit="1" customWidth="1"/>
    <col min="930" max="930" width="14.42578125" bestFit="1" customWidth="1"/>
    <col min="931" max="931" width="12.7109375" bestFit="1" customWidth="1"/>
    <col min="932" max="932" width="13.28515625" bestFit="1" customWidth="1"/>
    <col min="933" max="933" width="17.28515625" bestFit="1" customWidth="1"/>
    <col min="934" max="934" width="12.140625" bestFit="1" customWidth="1"/>
    <col min="935" max="935" width="13.28515625" bestFit="1" customWidth="1"/>
    <col min="936" max="936" width="11.85546875" bestFit="1" customWidth="1"/>
    <col min="937" max="937" width="9.28515625" bestFit="1" customWidth="1"/>
    <col min="938" max="938" width="12.85546875" bestFit="1" customWidth="1"/>
    <col min="939" max="939" width="14" bestFit="1" customWidth="1"/>
    <col min="940" max="941" width="15.5703125" bestFit="1" customWidth="1"/>
    <col min="942" max="942" width="19.28515625" bestFit="1" customWidth="1"/>
    <col min="943" max="943" width="15" bestFit="1" customWidth="1"/>
    <col min="944" max="944" width="14.28515625" bestFit="1" customWidth="1"/>
    <col min="945" max="945" width="16.42578125" bestFit="1" customWidth="1"/>
    <col min="946" max="946" width="14.85546875" bestFit="1" customWidth="1"/>
    <col min="947" max="947" width="17.5703125" bestFit="1" customWidth="1"/>
    <col min="948" max="948" width="17.7109375" bestFit="1" customWidth="1"/>
    <col min="949" max="949" width="12.7109375" bestFit="1" customWidth="1"/>
    <col min="950" max="950" width="16.5703125" bestFit="1" customWidth="1"/>
    <col min="951" max="951" width="15" bestFit="1" customWidth="1"/>
    <col min="952" max="952" width="15.7109375" bestFit="1" customWidth="1"/>
    <col min="953" max="953" width="11" bestFit="1" customWidth="1"/>
    <col min="954" max="954" width="10.42578125" bestFit="1" customWidth="1"/>
    <col min="955" max="956" width="16.42578125" bestFit="1" customWidth="1"/>
    <col min="957" max="957" width="10.42578125" bestFit="1" customWidth="1"/>
    <col min="958" max="958" width="13.28515625" bestFit="1" customWidth="1"/>
    <col min="959" max="959" width="14.140625" bestFit="1" customWidth="1"/>
    <col min="960" max="960" width="14" bestFit="1" customWidth="1"/>
    <col min="961" max="961" width="18.85546875" bestFit="1" customWidth="1"/>
    <col min="962" max="962" width="18.140625" bestFit="1" customWidth="1"/>
    <col min="963" max="963" width="17.85546875" bestFit="1" customWidth="1"/>
    <col min="964" max="964" width="11" bestFit="1" customWidth="1"/>
    <col min="965" max="965" width="14.85546875" bestFit="1" customWidth="1"/>
    <col min="966" max="966" width="12" bestFit="1" customWidth="1"/>
    <col min="967" max="967" width="9.85546875" bestFit="1" customWidth="1"/>
    <col min="968" max="968" width="13.7109375" bestFit="1" customWidth="1"/>
    <col min="969" max="969" width="20.140625" bestFit="1" customWidth="1"/>
    <col min="970" max="970" width="14.28515625" bestFit="1" customWidth="1"/>
    <col min="971" max="971" width="16.28515625" bestFit="1" customWidth="1"/>
    <col min="972" max="972" width="18" bestFit="1" customWidth="1"/>
    <col min="973" max="973" width="14.140625" bestFit="1" customWidth="1"/>
    <col min="974" max="974" width="12.5703125" bestFit="1" customWidth="1"/>
    <col min="975" max="975" width="12.140625" bestFit="1" customWidth="1"/>
    <col min="976" max="976" width="12.85546875" bestFit="1" customWidth="1"/>
    <col min="977" max="977" width="12.28515625" bestFit="1" customWidth="1"/>
    <col min="978" max="978" width="16" bestFit="1" customWidth="1"/>
    <col min="979" max="979" width="17.42578125" bestFit="1" customWidth="1"/>
    <col min="980" max="980" width="14.7109375" bestFit="1" customWidth="1"/>
    <col min="981" max="981" width="15.42578125" bestFit="1" customWidth="1"/>
    <col min="982" max="982" width="16.85546875" bestFit="1" customWidth="1"/>
    <col min="983" max="983" width="15" bestFit="1" customWidth="1"/>
    <col min="984" max="984" width="15.28515625" bestFit="1" customWidth="1"/>
    <col min="985" max="985" width="14.5703125" bestFit="1" customWidth="1"/>
    <col min="986" max="986" width="17.5703125" bestFit="1" customWidth="1"/>
    <col min="987" max="987" width="12.42578125" bestFit="1" customWidth="1"/>
    <col min="988" max="988" width="15" bestFit="1" customWidth="1"/>
    <col min="989" max="990" width="19.5703125" bestFit="1" customWidth="1"/>
    <col min="991" max="991" width="14.85546875" bestFit="1" customWidth="1"/>
    <col min="992" max="992" width="13.7109375" bestFit="1" customWidth="1"/>
    <col min="993" max="993" width="13.42578125" bestFit="1" customWidth="1"/>
    <col min="994" max="994" width="14.42578125" bestFit="1" customWidth="1"/>
    <col min="995" max="995" width="16.42578125" bestFit="1" customWidth="1"/>
    <col min="996" max="996" width="16.28515625" bestFit="1" customWidth="1"/>
    <col min="997" max="997" width="15.140625" bestFit="1" customWidth="1"/>
    <col min="998" max="998" width="11.5703125" bestFit="1" customWidth="1"/>
    <col min="999" max="999" width="14.5703125" bestFit="1" customWidth="1"/>
    <col min="1000" max="1000" width="14.85546875" bestFit="1" customWidth="1"/>
    <col min="1001" max="1001" width="11" bestFit="1" customWidth="1"/>
    <col min="1002" max="1003" width="15.140625" bestFit="1" customWidth="1"/>
    <col min="1004" max="1004" width="16.42578125" bestFit="1" customWidth="1"/>
    <col min="1005" max="1005" width="16" bestFit="1" customWidth="1"/>
    <col min="1006" max="1006" width="16.7109375" bestFit="1" customWidth="1"/>
    <col min="1007" max="1007" width="14.5703125" bestFit="1" customWidth="1"/>
    <col min="1008" max="1008" width="11.7109375" bestFit="1" customWidth="1"/>
    <col min="1009" max="1009" width="11.28515625" bestFit="1" customWidth="1"/>
  </cols>
  <sheetData>
    <row r="4" spans="2:13" ht="15" customHeight="1" x14ac:dyDescent="0.25">
      <c r="H4" s="103" t="s">
        <v>22394</v>
      </c>
      <c r="I4" s="104"/>
      <c r="J4" s="104"/>
      <c r="K4" s="104"/>
      <c r="L4" s="104"/>
      <c r="M4" s="105"/>
    </row>
    <row r="5" spans="2:13" x14ac:dyDescent="0.25">
      <c r="F5" s="106"/>
      <c r="H5" s="107" t="s">
        <v>22392</v>
      </c>
      <c r="I5" s="107"/>
      <c r="J5" s="107" t="s">
        <v>22358</v>
      </c>
      <c r="K5" s="107"/>
      <c r="L5" s="12" t="s">
        <v>22386</v>
      </c>
      <c r="M5" s="12" t="s">
        <v>22318</v>
      </c>
    </row>
    <row r="6" spans="2:13" x14ac:dyDescent="0.25">
      <c r="F6" s="106"/>
      <c r="H6" s="99" t="s">
        <v>7</v>
      </c>
      <c r="I6" s="99"/>
      <c r="J6" s="99" t="str">
        <f>INDEX(Calculations!$D:$H,MATCH(_xlfn.MAXIFS(Calculations!$H:$H,Calculations!$E:$E,$H6),Calculations!$H:$H,0),1)</f>
        <v>Nathalie Bowerbank</v>
      </c>
      <c r="K6" s="99"/>
      <c r="L6" s="86">
        <f>_xlfn.MAXIFS(Calculations!$H:$H,Calculations!$E:$E,$H6)</f>
        <v>1230202</v>
      </c>
      <c r="M6" s="86">
        <f>VLOOKUP($L6,Calculations!H:I,2,FALSE)</f>
        <v>500000</v>
      </c>
    </row>
    <row r="7" spans="2:13" ht="15" customHeight="1" x14ac:dyDescent="0.25">
      <c r="B7" s="98" t="s">
        <v>22396</v>
      </c>
      <c r="C7" s="12" t="s">
        <v>22360</v>
      </c>
      <c r="D7" s="88" t="s">
        <v>7</v>
      </c>
      <c r="F7" s="106"/>
      <c r="H7" s="99" t="s">
        <v>29</v>
      </c>
      <c r="I7" s="99"/>
      <c r="J7" s="99" t="str">
        <f>INDEX(Calculations!$D:$H,MATCH(_xlfn.MAXIFS(Calculations!$H:$H,Calculations!$E:$E,$H7),Calculations!$H:$H,0),1)</f>
        <v>Darryl Worgan</v>
      </c>
      <c r="K7" s="99"/>
      <c r="L7" s="86">
        <f>_xlfn.MAXIFS(Calculations!$H:$H,Calculations!$E:$E,$H7)</f>
        <v>1369014</v>
      </c>
      <c r="M7" s="86">
        <f>VLOOKUP($L7,Calculations!H:I,2,FALSE)</f>
        <v>600000</v>
      </c>
    </row>
    <row r="8" spans="2:13" x14ac:dyDescent="0.25">
      <c r="B8" s="98"/>
      <c r="C8" s="12" t="s">
        <v>22393</v>
      </c>
      <c r="D8" s="87">
        <f>COUNTIF(Calculations!E:E,D7)</f>
        <v>310</v>
      </c>
      <c r="E8" s="2"/>
      <c r="F8" s="2"/>
      <c r="H8" s="100" t="s">
        <v>10</v>
      </c>
      <c r="I8" s="101"/>
      <c r="J8" s="99" t="str">
        <f>INDEX(Calculations!$D:$H,MATCH(_xlfn.MAXIFS(Calculations!$H:$H,Calculations!$E:$E,$H8),Calculations!$H:$H,0),1)</f>
        <v>Shaylynn Southern</v>
      </c>
      <c r="K8" s="99"/>
      <c r="L8" s="86">
        <f>_xlfn.MAXIFS(Calculations!$H:$H,Calculations!$E:$E,$H8)</f>
        <v>1280079</v>
      </c>
      <c r="M8" s="86">
        <f>VLOOKUP($L8,Calculations!H:I,2,FALSE)</f>
        <v>750000</v>
      </c>
    </row>
    <row r="10" spans="2:13" x14ac:dyDescent="0.25">
      <c r="B10" s="89"/>
      <c r="C10" s="85" t="s">
        <v>22391</v>
      </c>
      <c r="D10" s="84">
        <f>SUMIF(Calculations!E:E,Top_Performers!D7,Calculations!G:G)</f>
        <v>6061</v>
      </c>
      <c r="H10" s="102" t="s">
        <v>22388</v>
      </c>
      <c r="I10" s="102"/>
      <c r="J10" s="102"/>
      <c r="K10" s="102"/>
      <c r="L10" s="102"/>
      <c r="M10" s="102"/>
    </row>
    <row r="11" spans="2:13" x14ac:dyDescent="0.25">
      <c r="B11" s="89"/>
      <c r="C11" s="85" t="s">
        <v>22390</v>
      </c>
      <c r="D11" s="83">
        <f>SUMIF(Calculations!E:E,Top_Performers!D7,Calculations!T:T)</f>
        <v>25242290.640000004</v>
      </c>
      <c r="G11" s="25"/>
      <c r="H11" s="97" t="s">
        <v>7</v>
      </c>
      <c r="I11" s="97"/>
      <c r="J11" s="97" t="s">
        <v>29</v>
      </c>
      <c r="K11" s="97"/>
      <c r="L11" s="97" t="s">
        <v>10</v>
      </c>
      <c r="M11" s="97"/>
    </row>
    <row r="12" spans="2:13" ht="15" customHeight="1" x14ac:dyDescent="0.25">
      <c r="B12" s="89"/>
      <c r="C12" s="85" t="s">
        <v>22389</v>
      </c>
      <c r="D12" s="83">
        <f>SUMIF(Calculations!E:E,Top_Performers!D7,Calculations!H:H)</f>
        <v>210180123</v>
      </c>
      <c r="G12" s="25" t="s">
        <v>22387</v>
      </c>
      <c r="H12" s="82" t="s">
        <v>22358</v>
      </c>
      <c r="I12" s="82" t="s">
        <v>22386</v>
      </c>
      <c r="J12" s="82" t="s">
        <v>22358</v>
      </c>
      <c r="K12" s="82" t="s">
        <v>22386</v>
      </c>
      <c r="L12" s="82" t="s">
        <v>22358</v>
      </c>
      <c r="M12" s="82" t="s">
        <v>22386</v>
      </c>
    </row>
    <row r="13" spans="2:13" ht="18" customHeight="1" x14ac:dyDescent="0.3">
      <c r="B13" s="78"/>
      <c r="C13" s="78"/>
      <c r="D13" s="78"/>
      <c r="G13" s="81" t="s">
        <v>22385</v>
      </c>
      <c r="H13" s="81" t="str">
        <f>INDEX(Employees_Position!$A:$B,MATCH($I13,Employees_Position!$B:$B,0),1)</f>
        <v>Evania Grime</v>
      </c>
      <c r="I13" s="80">
        <f>LARGE(Employees_Position!$B$3:$B$1002,2)</f>
        <v>1196909</v>
      </c>
      <c r="J13" s="81" t="str">
        <f>INDEX(Employees_Position!$A:$B,MATCH($K13,Employees_Position!$C:$C,0),1)</f>
        <v>Bernardina Fisbey</v>
      </c>
      <c r="K13" s="80">
        <f>LARGE(Employees_Position!$C$3:$C$1002,2)</f>
        <v>1259829</v>
      </c>
      <c r="L13" s="81" t="str">
        <f>INDEX(Employees_Position!$A:$B,MATCH($M13,Employees_Position!$D:$D,0),1)</f>
        <v>Scot Lethem</v>
      </c>
      <c r="M13" s="80">
        <f>LARGE(Employees_Position!$D$3:$D$1002,2)</f>
        <v>1224207</v>
      </c>
    </row>
    <row r="14" spans="2:13" x14ac:dyDescent="0.25">
      <c r="G14" s="81" t="s">
        <v>22384</v>
      </c>
      <c r="H14" s="81" t="str">
        <f>INDEX(Employees_Position!$A:$B,MATCH($I14,Employees_Position!$B:$B,0),1)</f>
        <v>Mattias Cheers</v>
      </c>
      <c r="I14" s="80">
        <f>LARGE(Employees_Position!$B$3:$B$1002,3)</f>
        <v>1100641</v>
      </c>
      <c r="J14" s="81" t="str">
        <f>INDEX(Employees_Position!$A:$B,MATCH($K14,Employees_Position!$C:$C,0),1)</f>
        <v>Tab Morter</v>
      </c>
      <c r="K14" s="80">
        <f>LARGE(Employees_Position!$C$3:$C$1002,3)</f>
        <v>1214099</v>
      </c>
      <c r="L14" s="81" t="str">
        <f>INDEX(Employees_Position!$A:$B,MATCH($M14,Employees_Position!$D:$D,0),1)</f>
        <v>Sutherland Fantin</v>
      </c>
      <c r="M14" s="80">
        <f>LARGE(Employees_Position!$D$3:$D$1002,3)</f>
        <v>1194738</v>
      </c>
    </row>
    <row r="15" spans="2:13" ht="16.5" customHeight="1" x14ac:dyDescent="0.35">
      <c r="E15" s="79"/>
      <c r="F15" s="79"/>
      <c r="G15" s="81" t="s">
        <v>22383</v>
      </c>
      <c r="H15" s="81" t="str">
        <f>INDEX(Employees_Position!$A:$B,MATCH($I15,Employees_Position!$B:$B,0),1)</f>
        <v>Row Giottini</v>
      </c>
      <c r="I15" s="80">
        <f>LARGE(Employees_Position!$B$3:$B$1002,4)</f>
        <v>1064286</v>
      </c>
      <c r="J15" s="81" t="str">
        <f>INDEX(Employees_Position!$A:$B,MATCH($K15,Employees_Position!$C:$C,0),1)</f>
        <v>Caroline Glidden</v>
      </c>
      <c r="K15" s="80">
        <f>LARGE(Employees_Position!$C$3:$C$1002,4)</f>
        <v>1128878</v>
      </c>
      <c r="L15" s="81" t="str">
        <f>INDEX(Employees_Position!$A:$B,MATCH($M15,Employees_Position!$D:$D,0),1)</f>
        <v>Barnabe McCaighey</v>
      </c>
      <c r="M15" s="80">
        <f>LARGE(Employees_Position!$D$3:$D$1002,4)</f>
        <v>1172724</v>
      </c>
    </row>
    <row r="16" spans="2:13" ht="18.75" x14ac:dyDescent="0.3">
      <c r="E16" s="78"/>
      <c r="F16" s="78"/>
      <c r="G16" s="81" t="s">
        <v>22382</v>
      </c>
      <c r="H16" s="81" t="str">
        <f>INDEX(Employees_Position!$A:$B,MATCH($I16,Employees_Position!$B:$B,0),1)</f>
        <v>Kara-lynn Ingarfill</v>
      </c>
      <c r="I16" s="80">
        <f>LARGE(Employees_Position!$B$3:$B$1002,5)</f>
        <v>1056123</v>
      </c>
      <c r="J16" s="81" t="str">
        <f>INDEX(Employees_Position!$A:$B,MATCH($K16,Employees_Position!$C:$C,0),1)</f>
        <v>Colette Mangon</v>
      </c>
      <c r="K16" s="80">
        <f>LARGE(Employees_Position!$C$3:$C$1002,5)</f>
        <v>1127142</v>
      </c>
      <c r="L16" s="81" t="str">
        <f>INDEX(Employees_Position!$A:$B,MATCH($M16,Employees_Position!$D:$D,0),1)</f>
        <v>Emanuele Garfitt</v>
      </c>
      <c r="M16" s="80">
        <f>LARGE(Employees_Position!$D$3:$D$1002,5)</f>
        <v>1153023</v>
      </c>
    </row>
    <row r="17" spans="7:13" ht="18.75" x14ac:dyDescent="0.3">
      <c r="G17" s="78"/>
    </row>
    <row r="18" spans="7:13" ht="18.75" x14ac:dyDescent="0.3">
      <c r="K18" s="78"/>
      <c r="L18" s="78"/>
      <c r="M18" s="78"/>
    </row>
  </sheetData>
  <sheetProtection sheet="1" selectLockedCells="1"/>
  <mergeCells count="15">
    <mergeCell ref="H4:M4"/>
    <mergeCell ref="F5:F7"/>
    <mergeCell ref="H5:I5"/>
    <mergeCell ref="J5:K5"/>
    <mergeCell ref="H6:I6"/>
    <mergeCell ref="J6:K6"/>
    <mergeCell ref="H11:I11"/>
    <mergeCell ref="J11:K11"/>
    <mergeCell ref="L11:M11"/>
    <mergeCell ref="B7:B8"/>
    <mergeCell ref="H7:I7"/>
    <mergeCell ref="J7:K7"/>
    <mergeCell ref="H8:I8"/>
    <mergeCell ref="J8:K8"/>
    <mergeCell ref="H10:M10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47" yWindow="301" count="1">
        <x14:dataValidation type="list" allowBlank="1" showInputMessage="1" showErrorMessage="1" promptTitle="Select Executive Category" prompt="Please select from the executive categories_x000a_" xr:uid="{81877797-B683-41F6-AA40-764C6F7C7CA5}">
          <x14:formula1>
            <xm:f>benchmark_data!$A$2:$A$4</xm:f>
          </x14:formula1>
          <xm:sqref>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E47A-7C12-4636-88D7-C0987F325A17}">
  <dimension ref="B2:U14"/>
  <sheetViews>
    <sheetView showGridLines="0" workbookViewId="0">
      <selection activeCell="D2" sqref="D2"/>
    </sheetView>
  </sheetViews>
  <sheetFormatPr defaultRowHeight="15" x14ac:dyDescent="0.25"/>
  <cols>
    <col min="2" max="2" width="19.85546875" customWidth="1"/>
    <col min="3" max="3" width="23.42578125" bestFit="1" customWidth="1"/>
    <col min="4" max="4" width="21.140625" customWidth="1"/>
    <col min="5" max="5" width="17.85546875" customWidth="1"/>
  </cols>
  <sheetData>
    <row r="2" spans="2:21" ht="15" customHeight="1" x14ac:dyDescent="0.25">
      <c r="B2" s="98" t="s">
        <v>23398</v>
      </c>
      <c r="C2" s="12" t="s">
        <v>22359</v>
      </c>
      <c r="D2" s="116" t="s">
        <v>22365</v>
      </c>
    </row>
    <row r="3" spans="2:21" x14ac:dyDescent="0.25">
      <c r="B3" s="98"/>
      <c r="C3" s="12" t="s">
        <v>22360</v>
      </c>
      <c r="D3" s="12" t="str">
        <f>VLOOKUP(D2,[1]Calculations!D:E,2,FALSE)</f>
        <v>Account Executive I</v>
      </c>
    </row>
    <row r="5" spans="2:21" ht="15" customHeight="1" x14ac:dyDescent="0.25">
      <c r="B5" s="98" t="s">
        <v>23399</v>
      </c>
      <c r="C5" s="12" t="s">
        <v>22362</v>
      </c>
      <c r="D5" s="113">
        <f>VLOOKUP(D2,Calculations!D:F,3,FALSE)</f>
        <v>55438</v>
      </c>
    </row>
    <row r="6" spans="2:21" x14ac:dyDescent="0.25">
      <c r="B6" s="98"/>
      <c r="C6" s="12" t="s">
        <v>23400</v>
      </c>
      <c r="D6" s="113">
        <f>VLOOKUP(D2,Calculations!D:U,17,FALSE)</f>
        <v>100574.92</v>
      </c>
    </row>
    <row r="7" spans="2:21" x14ac:dyDescent="0.25">
      <c r="B7" s="98"/>
      <c r="C7" s="12" t="s">
        <v>22363</v>
      </c>
      <c r="D7" s="113">
        <f>VLOOKUP(D2,Calculations!D:U,18,FALSE)</f>
        <v>156012.91999999998</v>
      </c>
    </row>
    <row r="8" spans="2:21" x14ac:dyDescent="0.25">
      <c r="D8" s="92"/>
    </row>
    <row r="9" spans="2:21" x14ac:dyDescent="0.25">
      <c r="B9" s="98" t="s">
        <v>23401</v>
      </c>
      <c r="C9" s="12" t="s">
        <v>22364</v>
      </c>
      <c r="D9" s="113">
        <f>VLOOKUP(D3,benchmark_data!A1:D4,2,FALSE)</f>
        <v>50000</v>
      </c>
    </row>
    <row r="10" spans="2:21" x14ac:dyDescent="0.25">
      <c r="B10" s="98"/>
      <c r="C10" s="12" t="s">
        <v>23402</v>
      </c>
      <c r="D10" s="113">
        <f>VLOOKUP(D3,benchmark_data!A1:D4,3,FALSE)</f>
        <v>75000</v>
      </c>
    </row>
    <row r="11" spans="2:21" x14ac:dyDescent="0.25">
      <c r="B11" s="98"/>
      <c r="C11" s="12" t="s">
        <v>22322</v>
      </c>
      <c r="D11" s="113">
        <f>VLOOKUP(D3,benchmark_data!A1:D4,4,FALSE)</f>
        <v>125000</v>
      </c>
    </row>
    <row r="13" spans="2:21" ht="23.25" x14ac:dyDescent="0.35">
      <c r="B13" s="114" t="str">
        <f>D2</f>
        <v>Ave Abbatini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</row>
    <row r="14" spans="2:21" ht="18.75" x14ac:dyDescent="0.3">
      <c r="B14" s="115" t="str">
        <f>D3</f>
        <v>Account Executive I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</row>
  </sheetData>
  <sheetProtection sheet="1" objects="1" scenarios="1"/>
  <mergeCells count="5">
    <mergeCell ref="B2:B3"/>
    <mergeCell ref="B5:B7"/>
    <mergeCell ref="B9:B11"/>
    <mergeCell ref="B13:U13"/>
    <mergeCell ref="B14:U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577" yWindow="291" count="1">
        <x14:dataValidation type="list" allowBlank="1" showInputMessage="1" showErrorMessage="1" promptTitle="Please choose Employee" prompt="Choose employee to see metrics" xr:uid="{ECA6250A-47B2-41DE-8AFC-1391A8DE731D}">
          <x14:formula1>
            <xm:f>Calculations!$D2:$D1001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Q32"/>
  <sheetViews>
    <sheetView showGridLines="0" zoomScaleNormal="100" workbookViewId="0">
      <selection activeCell="B6" sqref="B6"/>
    </sheetView>
  </sheetViews>
  <sheetFormatPr defaultColWidth="8.85546875" defaultRowHeight="15" x14ac:dyDescent="0.25"/>
  <cols>
    <col min="1" max="1" width="19.42578125" style="34" bestFit="1" customWidth="1"/>
    <col min="2" max="2" width="14.28515625" style="34" bestFit="1" customWidth="1"/>
    <col min="3" max="3" width="14.42578125" style="34" bestFit="1" customWidth="1"/>
    <col min="4" max="4" width="7.28515625" style="34" bestFit="1" customWidth="1"/>
    <col min="5" max="7" width="9.28515625" style="34" bestFit="1" customWidth="1"/>
    <col min="8" max="8" width="6.42578125" style="34" bestFit="1" customWidth="1"/>
    <col min="9" max="9" width="10" style="34" bestFit="1" customWidth="1"/>
    <col min="10" max="10" width="10" style="34" customWidth="1"/>
    <col min="11" max="11" width="8.85546875" style="34"/>
    <col min="12" max="12" width="28.28515625" style="34" bestFit="1" customWidth="1"/>
    <col min="13" max="13" width="13.7109375" style="34" bestFit="1" customWidth="1"/>
    <col min="14" max="16" width="16.28515625" style="34" bestFit="1" customWidth="1"/>
    <col min="17" max="17" width="18.140625" style="34" bestFit="1" customWidth="1"/>
    <col min="18" max="18" width="12.42578125" style="34" bestFit="1" customWidth="1"/>
    <col min="19" max="16384" width="8.85546875" style="34"/>
  </cols>
  <sheetData>
    <row r="2" spans="1:17" x14ac:dyDescent="0.25">
      <c r="A2" s="32" t="s">
        <v>22348</v>
      </c>
      <c r="B2" s="26">
        <v>0.3</v>
      </c>
      <c r="K2" s="33"/>
      <c r="L2" s="33"/>
      <c r="M2" s="50">
        <v>2018</v>
      </c>
      <c r="N2" s="51" t="s">
        <v>22354</v>
      </c>
      <c r="O2" s="52" t="s">
        <v>22355</v>
      </c>
      <c r="P2" s="52" t="s">
        <v>22356</v>
      </c>
      <c r="Q2" s="52" t="s">
        <v>22357</v>
      </c>
    </row>
    <row r="3" spans="1:17" x14ac:dyDescent="0.25">
      <c r="A3" s="32" t="s">
        <v>22349</v>
      </c>
      <c r="B3" s="26">
        <v>0.05</v>
      </c>
      <c r="K3" s="33"/>
      <c r="L3" s="29" t="s">
        <v>22333</v>
      </c>
      <c r="M3" s="30">
        <f>COUNT(Calculations!A2:A1001)</f>
        <v>1000</v>
      </c>
      <c r="N3" s="31">
        <f>SUM(J12:J14)</f>
        <v>1000</v>
      </c>
      <c r="O3" s="32">
        <f>SUM(J12:J14)</f>
        <v>1000</v>
      </c>
      <c r="P3" s="32">
        <f>SUM(J6:J8)</f>
        <v>1200</v>
      </c>
      <c r="Q3" s="32">
        <f>P3</f>
        <v>1200</v>
      </c>
    </row>
    <row r="4" spans="1:17" ht="15.75" x14ac:dyDescent="0.25">
      <c r="A4" s="109" t="s">
        <v>22347</v>
      </c>
      <c r="B4" s="109"/>
      <c r="C4" s="109"/>
      <c r="D4" s="109"/>
      <c r="E4" s="109"/>
      <c r="F4" s="109"/>
      <c r="G4" s="109"/>
      <c r="H4" s="109"/>
      <c r="I4" s="109"/>
      <c r="J4" s="109"/>
      <c r="K4" s="33"/>
      <c r="L4" s="29" t="s">
        <v>22334</v>
      </c>
      <c r="M4" s="35">
        <f>SUM(Calculations!H2:H1001)</f>
        <v>699144198</v>
      </c>
      <c r="N4" s="49">
        <f>M4*(1+B2)</f>
        <v>908887457.39999998</v>
      </c>
      <c r="O4" s="48">
        <f>M4*(1+O12/M12-1)</f>
        <v>766529418.59042692</v>
      </c>
      <c r="P4" s="47">
        <f>M9*P3</f>
        <v>838973037.60000002</v>
      </c>
      <c r="Q4" s="39">
        <f>M4*(1+B2)+M9*(Q3-M3)+M4*(O12/M12)-M4</f>
        <v>1116101517.5904269</v>
      </c>
    </row>
    <row r="5" spans="1:17" x14ac:dyDescent="0.25">
      <c r="A5" s="29" t="s">
        <v>22310</v>
      </c>
      <c r="B5" s="29" t="s">
        <v>22311</v>
      </c>
      <c r="C5" s="29" t="s">
        <v>22312</v>
      </c>
      <c r="D5" s="29" t="s">
        <v>22313</v>
      </c>
      <c r="E5" s="29" t="s">
        <v>22314</v>
      </c>
      <c r="F5" s="29" t="s">
        <v>22315</v>
      </c>
      <c r="G5" s="29" t="s">
        <v>22316</v>
      </c>
      <c r="H5" s="29" t="s">
        <v>22317</v>
      </c>
      <c r="I5" s="29" t="s">
        <v>22318</v>
      </c>
      <c r="J5" s="29" t="s">
        <v>22350</v>
      </c>
      <c r="K5" s="33"/>
      <c r="L5" s="29" t="s">
        <v>22335</v>
      </c>
      <c r="M5" s="35">
        <f>SUM(Calculations!I2:I1001)</f>
        <v>621050000</v>
      </c>
      <c r="N5" s="40">
        <f>SUMPRODUCT(J12:J14,I6:I8)</f>
        <v>703700000</v>
      </c>
      <c r="O5" s="39">
        <f>M5</f>
        <v>621050000</v>
      </c>
      <c r="P5" s="37">
        <f>SUMPRODUCT(I12:I14,J6:J8)</f>
        <v>740000000</v>
      </c>
      <c r="Q5" s="37">
        <f>SUMPRODUCT(I6:I8,J6:J8)</f>
        <v>840000000</v>
      </c>
    </row>
    <row r="6" spans="1:17" x14ac:dyDescent="0.25">
      <c r="A6" s="29" t="s">
        <v>7</v>
      </c>
      <c r="B6" s="27">
        <v>30000</v>
      </c>
      <c r="C6" s="27">
        <v>65000</v>
      </c>
      <c r="D6" s="26">
        <v>0.12</v>
      </c>
      <c r="E6" s="26">
        <v>0.17</v>
      </c>
      <c r="F6" s="26">
        <v>0.2</v>
      </c>
      <c r="G6" s="26">
        <v>0.22</v>
      </c>
      <c r="H6" s="26">
        <v>0.1</v>
      </c>
      <c r="I6" s="27">
        <v>600000</v>
      </c>
      <c r="J6" s="28">
        <v>400</v>
      </c>
      <c r="K6" s="33"/>
      <c r="L6" s="29" t="s">
        <v>22336</v>
      </c>
      <c r="M6" s="41">
        <f>M4/M5</f>
        <v>1.1257454279043555</v>
      </c>
      <c r="N6" s="42">
        <f>N4/N5</f>
        <v>1.2915837109563735</v>
      </c>
      <c r="O6" s="43">
        <f>O4/O5</f>
        <v>1.234247514033374</v>
      </c>
      <c r="P6" s="43">
        <f>P4/P5</f>
        <v>1.1337473481081082</v>
      </c>
      <c r="Q6" s="43">
        <f>Q4/Q5</f>
        <v>1.3286922828457464</v>
      </c>
    </row>
    <row r="7" spans="1:17" x14ac:dyDescent="0.25">
      <c r="A7" s="29" t="s">
        <v>29</v>
      </c>
      <c r="B7" s="27">
        <v>50000</v>
      </c>
      <c r="C7" s="27">
        <v>80000</v>
      </c>
      <c r="D7" s="26">
        <v>0.15</v>
      </c>
      <c r="E7" s="26">
        <v>0.18</v>
      </c>
      <c r="F7" s="26">
        <v>0.25</v>
      </c>
      <c r="G7" s="26">
        <v>0.3</v>
      </c>
      <c r="H7" s="26">
        <v>0.13</v>
      </c>
      <c r="I7" s="27">
        <v>700000</v>
      </c>
      <c r="J7" s="28">
        <v>400</v>
      </c>
      <c r="K7" s="33"/>
      <c r="L7" s="29" t="s">
        <v>22337</v>
      </c>
      <c r="M7" s="30">
        <f>SUM(Calculations!G2:G1001)</f>
        <v>20000</v>
      </c>
      <c r="N7" s="29">
        <f>N4/M8</f>
        <v>25999.999999999996</v>
      </c>
      <c r="O7" s="44">
        <f>M7</f>
        <v>20000</v>
      </c>
      <c r="P7" s="44">
        <f>P4/M8</f>
        <v>24000</v>
      </c>
      <c r="Q7" s="44">
        <f>(N7-M7)+(P7-M7)+O7</f>
        <v>29999.999999999996</v>
      </c>
    </row>
    <row r="8" spans="1:17" x14ac:dyDescent="0.25">
      <c r="A8" s="29" t="s">
        <v>10</v>
      </c>
      <c r="B8" s="27">
        <v>75000</v>
      </c>
      <c r="C8" s="27">
        <v>125000</v>
      </c>
      <c r="D8" s="26">
        <v>0.15</v>
      </c>
      <c r="E8" s="26">
        <v>0.22</v>
      </c>
      <c r="F8" s="26">
        <v>0.25</v>
      </c>
      <c r="G8" s="26">
        <v>0.33</v>
      </c>
      <c r="H8" s="26">
        <v>0.15</v>
      </c>
      <c r="I8" s="27">
        <v>800000</v>
      </c>
      <c r="J8" s="28">
        <v>400</v>
      </c>
      <c r="K8" s="33"/>
      <c r="L8" s="29" t="s">
        <v>22338</v>
      </c>
      <c r="M8" s="35">
        <f>M4/M7</f>
        <v>34957.209900000002</v>
      </c>
      <c r="N8" s="45">
        <f>M8</f>
        <v>34957.209900000002</v>
      </c>
      <c r="O8" s="37">
        <f>O4/O7</f>
        <v>38326.470929521347</v>
      </c>
      <c r="P8" s="39">
        <f>M8</f>
        <v>34957.209900000002</v>
      </c>
      <c r="Q8" s="38">
        <f>Q4/Q7</f>
        <v>37203.383919680899</v>
      </c>
    </row>
    <row r="9" spans="1:17" x14ac:dyDescent="0.25">
      <c r="K9" s="33"/>
      <c r="L9" s="29" t="s">
        <v>22339</v>
      </c>
      <c r="M9" s="35">
        <f>M4/M3</f>
        <v>699144.19799999997</v>
      </c>
      <c r="N9" s="36">
        <f>N4/N3</f>
        <v>908887.45739999996</v>
      </c>
      <c r="O9" s="37">
        <f>O4/O3</f>
        <v>766529.41859042691</v>
      </c>
      <c r="P9" s="39">
        <f>M9</f>
        <v>699144.19799999997</v>
      </c>
      <c r="Q9" s="38">
        <f>Q4/Q3</f>
        <v>930084.59799202241</v>
      </c>
    </row>
    <row r="10" spans="1:17" ht="15.75" x14ac:dyDescent="0.25">
      <c r="A10" s="108" t="s">
        <v>22346</v>
      </c>
      <c r="B10" s="108"/>
      <c r="C10" s="108"/>
      <c r="D10" s="108"/>
      <c r="E10" s="108"/>
      <c r="F10" s="108"/>
      <c r="G10" s="108"/>
      <c r="H10" s="108"/>
      <c r="I10" s="108"/>
      <c r="J10" s="53"/>
      <c r="K10" s="33"/>
      <c r="L10" s="33"/>
      <c r="M10" s="46"/>
      <c r="N10" s="33"/>
    </row>
    <row r="11" spans="1:17" x14ac:dyDescent="0.25">
      <c r="A11" s="29" t="s">
        <v>22310</v>
      </c>
      <c r="B11" s="29" t="s">
        <v>22311</v>
      </c>
      <c r="C11" s="29" t="s">
        <v>22312</v>
      </c>
      <c r="D11" s="29" t="s">
        <v>22313</v>
      </c>
      <c r="E11" s="29" t="s">
        <v>22314</v>
      </c>
      <c r="F11" s="29" t="s">
        <v>22315</v>
      </c>
      <c r="G11" s="29" t="s">
        <v>22316</v>
      </c>
      <c r="H11" s="29" t="s">
        <v>22317</v>
      </c>
      <c r="I11" s="29" t="s">
        <v>22318</v>
      </c>
      <c r="J11" s="29" t="s">
        <v>22350</v>
      </c>
      <c r="K11" s="33"/>
      <c r="L11" s="29" t="s">
        <v>22340</v>
      </c>
      <c r="M11" s="35">
        <f>SUM(Calculations!F2:F1001)</f>
        <v>72011493</v>
      </c>
      <c r="N11" s="45">
        <f>M11</f>
        <v>72011493</v>
      </c>
      <c r="O11" s="38">
        <f>M11*(1+B3)</f>
        <v>75612067.650000006</v>
      </c>
      <c r="P11" s="39">
        <f>(M11/M3)*P3</f>
        <v>86413791.600000009</v>
      </c>
      <c r="Q11" s="38">
        <f>(M11/M3)*Q3*(1+B3)</f>
        <v>90734481.180000007</v>
      </c>
    </row>
    <row r="12" spans="1:17" x14ac:dyDescent="0.25">
      <c r="A12" s="29" t="s">
        <v>7</v>
      </c>
      <c r="B12" s="54">
        <v>30000</v>
      </c>
      <c r="C12" s="54">
        <v>65000</v>
      </c>
      <c r="D12" s="55">
        <v>0.1</v>
      </c>
      <c r="E12" s="55">
        <v>0.15</v>
      </c>
      <c r="F12" s="55">
        <v>0.18</v>
      </c>
      <c r="G12" s="55">
        <v>0.22</v>
      </c>
      <c r="H12" s="55">
        <v>0.1</v>
      </c>
      <c r="I12" s="54">
        <v>500000</v>
      </c>
      <c r="J12" s="56">
        <f>COUNTIF(Calculations!E:E,'2018_commission_structure Finis'!A12)</f>
        <v>310</v>
      </c>
      <c r="K12" s="33"/>
      <c r="L12" s="29" t="s">
        <v>22341</v>
      </c>
      <c r="M12" s="35">
        <f>SUM(Calculations!T:T)</f>
        <v>97382112.189999908</v>
      </c>
      <c r="N12" s="36">
        <f>M13*N7</f>
        <v>126596745.84699987</v>
      </c>
      <c r="O12" s="37">
        <f>SUM(Calculations!AA2:AA1001)</f>
        <v>106768037.34</v>
      </c>
      <c r="P12" s="38">
        <f>M13*P7</f>
        <v>116858534.6279999</v>
      </c>
      <c r="Q12" s="38">
        <f>Q13*Q7</f>
        <v>146073168.28499985</v>
      </c>
    </row>
    <row r="13" spans="1:17" x14ac:dyDescent="0.25">
      <c r="A13" s="29" t="s">
        <v>29</v>
      </c>
      <c r="B13" s="54">
        <v>50000</v>
      </c>
      <c r="C13" s="54">
        <v>80000</v>
      </c>
      <c r="D13" s="55">
        <v>0.13</v>
      </c>
      <c r="E13" s="55">
        <v>0.17</v>
      </c>
      <c r="F13" s="55">
        <v>0.21</v>
      </c>
      <c r="G13" s="55">
        <v>0.26</v>
      </c>
      <c r="H13" s="55">
        <v>0.13</v>
      </c>
      <c r="I13" s="54">
        <v>600000</v>
      </c>
      <c r="J13" s="56">
        <f>COUNTIF(Calculations!E:E,'2018_commission_structure Finis'!A13)</f>
        <v>343</v>
      </c>
      <c r="K13" s="33"/>
      <c r="L13" s="29" t="s">
        <v>22342</v>
      </c>
      <c r="M13" s="35">
        <f>M12/M7</f>
        <v>4869.1056094999958</v>
      </c>
      <c r="N13" s="45">
        <f>M13</f>
        <v>4869.1056094999958</v>
      </c>
      <c r="O13" s="47">
        <f>O12/O7</f>
        <v>5338.4018670000005</v>
      </c>
      <c r="P13" s="39">
        <f>M13</f>
        <v>4869.1056094999958</v>
      </c>
      <c r="Q13" s="39">
        <f>M13</f>
        <v>4869.1056094999958</v>
      </c>
    </row>
    <row r="14" spans="1:17" x14ac:dyDescent="0.25">
      <c r="A14" s="29" t="s">
        <v>10</v>
      </c>
      <c r="B14" s="54">
        <v>75000</v>
      </c>
      <c r="C14" s="54">
        <v>125000</v>
      </c>
      <c r="D14" s="55">
        <v>0.15</v>
      </c>
      <c r="E14" s="55">
        <v>0.19</v>
      </c>
      <c r="F14" s="55">
        <v>0.23</v>
      </c>
      <c r="G14" s="55">
        <v>0.3</v>
      </c>
      <c r="H14" s="55">
        <v>0.15</v>
      </c>
      <c r="I14" s="54">
        <v>750000</v>
      </c>
      <c r="J14" s="56">
        <f>COUNTIF(Calculations!E:E,'2018_commission_structure Finis'!A14)</f>
        <v>347</v>
      </c>
      <c r="K14" s="33"/>
      <c r="L14" s="29" t="s">
        <v>22343</v>
      </c>
      <c r="M14" s="35">
        <f>M11+M12</f>
        <v>169393605.18999991</v>
      </c>
      <c r="N14" s="36">
        <f>N11+N12</f>
        <v>198608238.84699988</v>
      </c>
      <c r="O14" s="38">
        <f>SUM(O11:O12)</f>
        <v>182380104.99000001</v>
      </c>
      <c r="P14" s="38">
        <f>P11+P12</f>
        <v>203272326.22799993</v>
      </c>
      <c r="Q14" s="38">
        <f>SUM(Q11:Q12)</f>
        <v>236807649.46499985</v>
      </c>
    </row>
    <row r="15" spans="1:17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46"/>
      <c r="N15" s="33"/>
    </row>
    <row r="16" spans="1:17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9" t="s">
        <v>22344</v>
      </c>
      <c r="M16" s="35">
        <f>M4-M14</f>
        <v>529750592.81000006</v>
      </c>
      <c r="N16" s="36">
        <f>N4-N14</f>
        <v>710279218.55300009</v>
      </c>
      <c r="O16" s="38">
        <f>O4-O14</f>
        <v>584149313.60042691</v>
      </c>
      <c r="P16" s="38">
        <f>P4-P14</f>
        <v>635700711.3720001</v>
      </c>
      <c r="Q16" s="38">
        <f>Q4-Q14</f>
        <v>879293868.12542701</v>
      </c>
    </row>
    <row r="17" spans="1:17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9" t="s">
        <v>22345</v>
      </c>
      <c r="M17" s="35">
        <f>M16/M3</f>
        <v>529750.59281000006</v>
      </c>
      <c r="N17" s="36">
        <f>N16/N3</f>
        <v>710279.21855300013</v>
      </c>
      <c r="O17" s="38">
        <f>O16/O3</f>
        <v>584149.31360042689</v>
      </c>
      <c r="P17" s="38">
        <f>P16/P3</f>
        <v>529750.59281000006</v>
      </c>
      <c r="Q17" s="38">
        <f>Q16/Q3</f>
        <v>732744.89010452246</v>
      </c>
    </row>
    <row r="18" spans="1:17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 t="s">
        <v>22366</v>
      </c>
      <c r="M19" s="33"/>
      <c r="N19" s="57">
        <f>N4-M4</f>
        <v>209743259.39999998</v>
      </c>
      <c r="O19" s="58">
        <f>O4-M4</f>
        <v>67385220.590426922</v>
      </c>
      <c r="P19" s="58">
        <f>P4-M4</f>
        <v>139828839.60000002</v>
      </c>
      <c r="Q19" s="58">
        <f>Q4-M4</f>
        <v>416957319.59042692</v>
      </c>
    </row>
    <row r="20" spans="1:17" x14ac:dyDescent="0.25">
      <c r="A20" s="33"/>
      <c r="B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7" x14ac:dyDescent="0.25">
      <c r="A21" s="33"/>
      <c r="B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7" x14ac:dyDescent="0.25">
      <c r="A22" s="33"/>
      <c r="B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7" x14ac:dyDescent="0.25">
      <c r="A23" s="33"/>
      <c r="B23" s="33"/>
      <c r="F23" s="33"/>
      <c r="G23" s="33"/>
      <c r="H23" s="33"/>
      <c r="I23" s="33"/>
      <c r="J23" s="33"/>
    </row>
    <row r="24" spans="1:17" x14ac:dyDescent="0.25">
      <c r="A24" s="33"/>
      <c r="B24" s="33"/>
      <c r="F24" s="33"/>
      <c r="G24" s="33"/>
      <c r="H24" s="33"/>
      <c r="I24" s="33"/>
      <c r="J24" s="33"/>
    </row>
    <row r="25" spans="1:17" x14ac:dyDescent="0.25">
      <c r="A25" s="33"/>
      <c r="B25" s="33"/>
      <c r="F25" s="33"/>
      <c r="G25" s="33"/>
      <c r="H25" s="33"/>
      <c r="I25" s="33"/>
      <c r="J25" s="33"/>
    </row>
    <row r="26" spans="1:17" x14ac:dyDescent="0.25">
      <c r="A26" s="33"/>
      <c r="B26" s="33"/>
      <c r="F26" s="33"/>
      <c r="G26" s="33"/>
      <c r="H26" s="33"/>
      <c r="I26" s="33"/>
      <c r="J26" s="33"/>
    </row>
    <row r="27" spans="1:17" x14ac:dyDescent="0.25">
      <c r="A27" s="33"/>
      <c r="B27" s="33"/>
      <c r="F27" s="33"/>
      <c r="G27" s="33"/>
      <c r="H27" s="33"/>
      <c r="I27" s="33"/>
      <c r="J27" s="33"/>
    </row>
    <row r="28" spans="1:17" x14ac:dyDescent="0.25">
      <c r="A28" s="33"/>
      <c r="B28" s="33"/>
      <c r="F28" s="33"/>
      <c r="G28" s="33"/>
      <c r="H28" s="33"/>
      <c r="I28" s="33"/>
      <c r="J28" s="33"/>
    </row>
    <row r="29" spans="1:17" x14ac:dyDescent="0.25">
      <c r="A29" s="33"/>
      <c r="B29" s="33"/>
      <c r="F29" s="33"/>
      <c r="G29" s="33"/>
      <c r="H29" s="33"/>
      <c r="I29" s="33"/>
      <c r="J29" s="33"/>
    </row>
    <row r="30" spans="1:17" x14ac:dyDescent="0.25">
      <c r="A30" s="33"/>
      <c r="B30" s="33"/>
      <c r="F30" s="33"/>
      <c r="G30" s="33"/>
      <c r="H30" s="33"/>
      <c r="I30" s="33"/>
      <c r="J30" s="33"/>
    </row>
    <row r="31" spans="1:17" x14ac:dyDescent="0.25">
      <c r="A31" s="33"/>
      <c r="B31" s="33"/>
      <c r="F31" s="33"/>
      <c r="G31" s="33"/>
      <c r="H31" s="33"/>
      <c r="I31" s="33"/>
      <c r="J31" s="33"/>
    </row>
    <row r="32" spans="1:17" x14ac:dyDescent="0.25">
      <c r="A32" s="33"/>
      <c r="B32" s="33"/>
      <c r="F32" s="33"/>
      <c r="G32" s="33"/>
      <c r="H32" s="33"/>
      <c r="I32" s="33"/>
      <c r="J32" s="33"/>
    </row>
  </sheetData>
  <sheetProtection sheet="1" selectLockedCells="1"/>
  <mergeCells count="2">
    <mergeCell ref="A10:I10"/>
    <mergeCell ref="A4:J4"/>
  </mergeCells>
  <dataValidations count="3">
    <dataValidation type="decimal" allowBlank="1" showErrorMessage="1" errorTitle="Growth Rate Assumption" error="Growth rate must be between 0 and 100 percent." promptTitle="Growth Rate Assumption" prompt="Growth rate must be between 0 and 100 percent." sqref="B2" xr:uid="{1D7765EB-F569-E741-8CCF-1C19C07070CE}">
      <formula1>0</formula1>
      <formula2>1</formula2>
    </dataValidation>
    <dataValidation type="decimal" allowBlank="1" showErrorMessage="1" errorTitle="Annual Raise" error="Annual raise must be between 0 and 20 percent." sqref="B3" xr:uid="{82C44FC9-0584-3E4B-94EC-D9D8E8ED5055}">
      <formula1>0</formula1>
      <formula2>0.2</formula2>
    </dataValidation>
    <dataValidation type="decimal" allowBlank="1" showInputMessage="1" showErrorMessage="1" errorTitle="New Assumptions" error="Values marked in percentage must be between 0 and 50 percent." sqref="D6:H8" xr:uid="{A90D08A5-24B5-FF41-AB79-ED779329817D}">
      <formula1>0</formula1>
      <formula2>0.5</formula2>
    </dataValidation>
  </dataValidations>
  <pageMargins left="0.7" right="0.7" top="0.75" bottom="0.75" header="0.3" footer="0.3"/>
  <ignoredErrors>
    <ignoredError sqref="O6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1001"/>
  <sheetViews>
    <sheetView workbookViewId="0">
      <pane ySplit="1" topLeftCell="A961" activePane="bottomLeft" state="frozen"/>
      <selection activeCell="D8" sqref="D8"/>
      <selection pane="bottomLeft" activeCell="G969" sqref="G969"/>
    </sheetView>
  </sheetViews>
  <sheetFormatPr defaultColWidth="8.85546875" defaultRowHeight="15" x14ac:dyDescent="0.25"/>
  <cols>
    <col min="1" max="1" width="12.7109375" bestFit="1" customWidth="1"/>
    <col min="2" max="2" width="13.28515625" bestFit="1" customWidth="1"/>
    <col min="3" max="3" width="14.140625" bestFit="1" customWidth="1"/>
    <col min="4" max="4" width="24" bestFit="1" customWidth="1"/>
    <col min="5" max="5" width="19.42578125" bestFit="1" customWidth="1"/>
    <col min="6" max="6" width="7" bestFit="1" customWidth="1"/>
    <col min="7" max="7" width="19.85546875" bestFit="1" customWidth="1"/>
    <col min="8" max="8" width="11.42578125" bestFit="1" customWidth="1"/>
    <col min="9" max="9" width="10" bestFit="1" customWidth="1"/>
    <col min="10" max="12" width="14.7109375" bestFit="1" customWidth="1"/>
    <col min="13" max="13" width="11.42578125" bestFit="1" customWidth="1"/>
    <col min="14" max="14" width="10.28515625" bestFit="1" customWidth="1"/>
    <col min="15" max="15" width="10" bestFit="1" customWidth="1"/>
    <col min="16" max="18" width="10.7109375" bestFit="1" customWidth="1"/>
    <col min="19" max="19" width="9" bestFit="1" customWidth="1"/>
    <col min="20" max="20" width="18.42578125" bestFit="1" customWidth="1"/>
    <col min="21" max="21" width="10.7109375" bestFit="1" customWidth="1"/>
    <col min="22" max="22" width="10" bestFit="1" customWidth="1"/>
    <col min="23" max="25" width="10.7109375" bestFit="1" customWidth="1"/>
    <col min="26" max="26" width="9" bestFit="1" customWidth="1"/>
    <col min="27" max="27" width="18.42578125" bestFit="1" customWidth="1"/>
    <col min="28" max="28" width="10.7109375" bestFit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22361</v>
      </c>
      <c r="E1" s="3" t="s">
        <v>3</v>
      </c>
      <c r="F1" s="3" t="s">
        <v>4</v>
      </c>
      <c r="G1" s="4" t="s">
        <v>22323</v>
      </c>
      <c r="H1" s="4" t="s">
        <v>22324</v>
      </c>
      <c r="I1" s="5" t="s">
        <v>22325</v>
      </c>
      <c r="J1" s="4" t="s">
        <v>22326</v>
      </c>
      <c r="K1" s="4" t="s">
        <v>22327</v>
      </c>
      <c r="L1" s="4" t="s">
        <v>22328</v>
      </c>
      <c r="M1" s="4" t="s">
        <v>22329</v>
      </c>
      <c r="N1" s="4" t="s">
        <v>22330</v>
      </c>
      <c r="O1" s="4" t="s">
        <v>22313</v>
      </c>
      <c r="P1" s="5" t="s">
        <v>22314</v>
      </c>
      <c r="Q1" s="5" t="s">
        <v>22315</v>
      </c>
      <c r="R1" s="5" t="s">
        <v>22316</v>
      </c>
      <c r="S1" s="5" t="s">
        <v>22317</v>
      </c>
      <c r="T1" s="5" t="s">
        <v>22331</v>
      </c>
      <c r="U1" s="5" t="s">
        <v>22332</v>
      </c>
      <c r="V1" s="21" t="s">
        <v>22313</v>
      </c>
      <c r="W1" s="21" t="s">
        <v>22314</v>
      </c>
      <c r="X1" s="21" t="s">
        <v>22315</v>
      </c>
      <c r="Y1" s="21" t="s">
        <v>22316</v>
      </c>
      <c r="Z1" s="21" t="s">
        <v>22317</v>
      </c>
      <c r="AA1" s="21" t="s">
        <v>22331</v>
      </c>
      <c r="AB1" s="21" t="s">
        <v>22332</v>
      </c>
    </row>
    <row r="2" spans="1:28" x14ac:dyDescent="0.25">
      <c r="A2">
        <v>8373529241</v>
      </c>
      <c r="B2" t="s">
        <v>516</v>
      </c>
      <c r="C2" t="s">
        <v>517</v>
      </c>
      <c r="D2" t="str">
        <f>B2&amp;" "&amp;C2</f>
        <v>Ave Abbatini</v>
      </c>
      <c r="E2" t="s">
        <v>7</v>
      </c>
      <c r="F2">
        <v>55438</v>
      </c>
      <c r="G2">
        <f>COUNTIF(deals_closed!D:D,Calculations!A2)</f>
        <v>24</v>
      </c>
      <c r="H2" s="2">
        <f>SUMIF(deals_closed!D:D,Calculations!A2,deals_closed!C:C)</f>
        <v>792386</v>
      </c>
      <c r="I2" s="2">
        <f>VLOOKUP(E2,'2018_commission_structure'!$A$11:$I$14,9,FALSE)</f>
        <v>500000</v>
      </c>
      <c r="J2" s="2">
        <f t="shared" ref="J2:J65" si="0">I2*1.25</f>
        <v>625000</v>
      </c>
      <c r="K2" s="2">
        <f t="shared" ref="K2:K65" si="1">I2*1.5</f>
        <v>750000</v>
      </c>
      <c r="L2" s="2">
        <f t="shared" ref="L2:L65" si="2">I2*2</f>
        <v>1000000</v>
      </c>
      <c r="M2" s="6">
        <f t="shared" ref="M2:M65" si="3">H2/I2</f>
        <v>1.5847720000000001</v>
      </c>
      <c r="N2" t="str">
        <f t="shared" ref="N2:N65" si="4">IF(M2&lt;=1, "0-100%", IF(M2&lt;=1.25, "100-125%", IF(M2&lt;=1.5, "125-150%", IF(M2&lt;=2, "150-200%", "&gt;200%"))))</f>
        <v>150-200%</v>
      </c>
      <c r="O2" s="7">
        <f>MIN(I2,H2)*INDEX('2018_commission_structure'!$A$11:$I$14,MATCH(Calculations!$E2,'2018_commission_structure'!$A$11:$A$14,0),MATCH(Calculations!O$1,'2018_commission_structure'!$A$11:$I$11,0))</f>
        <v>50000</v>
      </c>
      <c r="P2" s="7">
        <f>IF($H2&gt;I2,MIN($H2-I2,J2-I2)*INDEX('2018_commission_structure'!$A$11:$I$14,MATCH(Calculations!$E2,'2018_commission_structure'!$A$11:$A$14,0), MATCH(Calculations!P$1,'2018_commission_structure'!$A$11:$I$11,0)),0)</f>
        <v>18750</v>
      </c>
      <c r="Q2" s="7">
        <f>IF($H2&gt;J2,MIN($H2-J2,K2-J2)*INDEX('2018_commission_structure'!$A$11:$I$14,MATCH(Calculations!$E2,'2018_commission_structure'!$A$11:$A$14,0), MATCH(Calculations!Q$1,'2018_commission_structure'!$A$11:$I$11,0)),0)</f>
        <v>22500</v>
      </c>
      <c r="R2" s="7">
        <f>IF($H2&gt;K2,MIN($H2-K2,L2-K2)*INDEX('2018_commission_structure'!$A$11:$I$14,MATCH(Calculations!$E2,'2018_commission_structure'!$A$11:$A$14,0), MATCH(Calculations!R$1,'2018_commission_structure'!$A$11:$I$11,0)),0)</f>
        <v>9324.92</v>
      </c>
      <c r="S2" s="7">
        <f>IF(H2&gt;L2,(H2-L2)*INDEX('2018_commission_structure'!$A$11:$I$14,MATCH(Calculations!$E2,'2018_commission_structure'!$A$11:$A$14,0),MATCH(Calculations!S$1,'2018_commission_structure'!$A$11:$I$11,0)),0)</f>
        <v>0</v>
      </c>
      <c r="T2" s="7">
        <f t="shared" ref="T2:T65" si="5">SUM(O2:S2)</f>
        <v>100574.92</v>
      </c>
      <c r="U2" s="7">
        <f t="shared" ref="U2:U65" si="6">T2+F2</f>
        <v>156012.91999999998</v>
      </c>
      <c r="V2" s="7">
        <f>MIN(H2,I2)*INDEX('2018_commission_structure'!$A$5:$J$8,MATCH(Calculations!$E2,'2018_commission_structure'!$A$5:$A$8,0),MATCH(Calculations!V$1,'2018_commission_structure'!$A$5:$J$5,0))</f>
        <v>60000</v>
      </c>
      <c r="W2" s="2">
        <f>IF($H2&gt;I2,MIN($H2-I2,J2-I2)*INDEX('2018_commission_structure'!$A$5:$J$8,MATCH(Calculations!$E2,'2018_commission_structure'!$A$5:$A$8,0),MATCH(Calculations!W$1,'2018_commission_structure'!$A$5:$J$5,0)),0)</f>
        <v>21250</v>
      </c>
      <c r="X2" s="2">
        <f>IF($H2&gt;J2,MIN($H2-J2,K2-J2)*INDEX('2018_commission_structure'!$A$5:$J$8,MATCH(Calculations!$E2,'2018_commission_structure'!$A$5:$A$8,0),MATCH(Calculations!X$1,'2018_commission_structure'!$A$5:$J$5,0)),0)</f>
        <v>25000</v>
      </c>
      <c r="Y2" s="2">
        <f>IF($H2&gt;K2,MIN($H2-K2,L2-K2)*INDEX('2018_commission_structure'!$A$5:$J$8,MATCH(Calculations!$E2,'2018_commission_structure'!$A$5:$A$8,0),MATCH(Calculations!Y$1,'2018_commission_structure'!$A$5:$J$5,0)),0)</f>
        <v>9324.92</v>
      </c>
      <c r="Z2" s="2">
        <f xml:space="preserve"> IF(H2&gt;L2,(H2-L2)*INDEX('2018_commission_structure'!$A$11:$I$14,MATCH(Calculations!$E2,'2018_commission_structure'!$A$11:$A$14,0),MATCH(Calculations!Z$1,'2018_commission_structure'!$A$11:$I$11,0)),0)</f>
        <v>0</v>
      </c>
      <c r="AA2" s="7">
        <f>SUM(V2:Z2)</f>
        <v>115574.92</v>
      </c>
      <c r="AB2" s="7">
        <f>AA2+F2</f>
        <v>171012.91999999998</v>
      </c>
    </row>
    <row r="3" spans="1:28" x14ac:dyDescent="0.25">
      <c r="A3">
        <v>8002426673</v>
      </c>
      <c r="B3" t="s">
        <v>798</v>
      </c>
      <c r="C3" t="s">
        <v>799</v>
      </c>
      <c r="D3" t="str">
        <f>B3&amp;" "&amp;C3</f>
        <v>Alyse Abrahmer</v>
      </c>
      <c r="E3" t="s">
        <v>29</v>
      </c>
      <c r="F3">
        <v>67081</v>
      </c>
      <c r="G3">
        <f>COUNTIF(deals_closed!D:D,Calculations!A3)</f>
        <v>25</v>
      </c>
      <c r="H3" s="2">
        <f>SUMIF(deals_closed!D:D,Calculations!A3,deals_closed!C:C)</f>
        <v>891412</v>
      </c>
      <c r="I3" s="2">
        <f>VLOOKUP(E3,'2018_commission_structure'!$A$11:$I$14,9,FALSE)</f>
        <v>600000</v>
      </c>
      <c r="J3" s="2">
        <f t="shared" si="0"/>
        <v>750000</v>
      </c>
      <c r="K3" s="2">
        <f t="shared" si="1"/>
        <v>900000</v>
      </c>
      <c r="L3" s="2">
        <f t="shared" si="2"/>
        <v>1200000</v>
      </c>
      <c r="M3" s="6">
        <f t="shared" si="3"/>
        <v>1.4856866666666666</v>
      </c>
      <c r="N3" t="str">
        <f t="shared" si="4"/>
        <v>125-150%</v>
      </c>
      <c r="O3" s="7">
        <f>MIN(I3,H3)*INDEX('2018_commission_structure'!$A$11:$I$14,MATCH(Calculations!$E3,'2018_commission_structure'!$A$11:$A$14,0),MATCH(Calculations!O$1,'2018_commission_structure'!$A$11:$I$11,0))</f>
        <v>78000</v>
      </c>
      <c r="P3" s="7">
        <f>IF($H3&gt;I3,MIN($H3-I3,J3-I3)*INDEX('2018_commission_structure'!$A$11:$I$14,MATCH(Calculations!$E3,'2018_commission_structure'!$A$11:$A$14,0), MATCH(Calculations!P$1,'2018_commission_structure'!$A$11:$I$11,0)),0)</f>
        <v>25500.000000000004</v>
      </c>
      <c r="Q3" s="7">
        <f>IF($H3&gt;J3,MIN($H3-J3,K3-J3)*INDEX('2018_commission_structure'!$A$11:$I$14,MATCH(Calculations!$E3,'2018_commission_structure'!$A$11:$A$14,0), MATCH(Calculations!Q$1,'2018_commission_structure'!$A$11:$I$11,0)),0)</f>
        <v>29696.52</v>
      </c>
      <c r="R3" s="7">
        <f>IF($H3&gt;K3,MIN($H3-K3,L3-K3)*INDEX('2018_commission_structure'!$A$11:$I$14,MATCH(Calculations!$E3,'2018_commission_structure'!$A$11:$A$14,0), MATCH(Calculations!R$1,'2018_commission_structure'!$A$11:$I$11,0)),0)</f>
        <v>0</v>
      </c>
      <c r="S3" s="7">
        <f>IF(H3&gt;L3,(H3-L3)*INDEX('2018_commission_structure'!$A$11:$I$14,MATCH(Calculations!$E3,'2018_commission_structure'!$A$11:$A$14,0),MATCH(Calculations!S$1,'2018_commission_structure'!$A$11:$I$11,0)),0)</f>
        <v>0</v>
      </c>
      <c r="T3" s="7">
        <f t="shared" si="5"/>
        <v>133196.51999999999</v>
      </c>
      <c r="U3" s="7">
        <f t="shared" si="6"/>
        <v>200277.52</v>
      </c>
      <c r="V3" s="7">
        <f>MIN(H3,I3)*INDEX('2018_commission_structure'!$A$5:$J$8,MATCH(Calculations!$E3,'2018_commission_structure'!$A$5:$A$8,0),MATCH(Calculations!V$1,'2018_commission_structure'!$A$5:$J$5,0))</f>
        <v>90000</v>
      </c>
      <c r="W3" s="2">
        <f>IF($H3&gt;I3,MIN($H3-I3,J3-I3)*INDEX('2018_commission_structure'!$A$5:$J$8,MATCH(Calculations!$E3,'2018_commission_structure'!$A$5:$A$8,0),MATCH(Calculations!W$1,'2018_commission_structure'!$A$5:$J$5,0)),0)</f>
        <v>27000</v>
      </c>
      <c r="X3" s="2">
        <f>IF($H3&gt;J3,MIN($H3-J3,K3-J3)*INDEX('2018_commission_structure'!$A$5:$J$8,MATCH(Calculations!$E3,'2018_commission_structure'!$A$5:$A$8,0),MATCH(Calculations!X$1,'2018_commission_structure'!$A$5:$J$5,0)),0)</f>
        <v>35353</v>
      </c>
      <c r="Y3" s="2">
        <f>IF($H3&gt;K3,MIN($H3-K3,L3-K3)*INDEX('2018_commission_structure'!$A$5:$J$8,MATCH(Calculations!$E3,'2018_commission_structure'!$A$5:$A$8,0),MATCH(Calculations!Y$1,'2018_commission_structure'!$A$5:$J$5,0)),0)</f>
        <v>0</v>
      </c>
      <c r="Z3" s="2">
        <f xml:space="preserve"> IF(H3&gt;L3,(H3-L3)*INDEX('2018_commission_structure'!$A$11:$I$14,MATCH(Calculations!$E3,'2018_commission_structure'!$A$11:$A$14,0),MATCH(Calculations!Z$1,'2018_commission_structure'!$A$11:$I$11,0)),0)</f>
        <v>0</v>
      </c>
      <c r="AA3" s="7">
        <f t="shared" ref="AA3:AA66" si="7">SUM(V3:Z3)</f>
        <v>152353</v>
      </c>
      <c r="AB3" s="7">
        <f t="shared" ref="AB3:AB66" si="8">AA3+F3</f>
        <v>219434</v>
      </c>
    </row>
    <row r="4" spans="1:28" x14ac:dyDescent="0.25">
      <c r="A4">
        <v>209942509</v>
      </c>
      <c r="B4" t="s">
        <v>936</v>
      </c>
      <c r="C4" t="s">
        <v>937</v>
      </c>
      <c r="D4" t="str">
        <f>B4&amp;" "&amp;C4</f>
        <v>Mada Addie</v>
      </c>
      <c r="E4" t="s">
        <v>10</v>
      </c>
      <c r="F4">
        <v>89640</v>
      </c>
      <c r="G4">
        <f>COUNTIF(deals_closed!D:D,Calculations!A4)</f>
        <v>27</v>
      </c>
      <c r="H4" s="2">
        <f>SUMIF(deals_closed!D:D,Calculations!A4,deals_closed!C:C)</f>
        <v>831136</v>
      </c>
      <c r="I4" s="2">
        <f>VLOOKUP(E4,'2018_commission_structure'!$A$11:$I$14,9,FALSE)</f>
        <v>750000</v>
      </c>
      <c r="J4" s="2">
        <f t="shared" si="0"/>
        <v>937500</v>
      </c>
      <c r="K4" s="2">
        <f t="shared" si="1"/>
        <v>1125000</v>
      </c>
      <c r="L4" s="2">
        <f t="shared" si="2"/>
        <v>1500000</v>
      </c>
      <c r="M4" s="6">
        <f t="shared" si="3"/>
        <v>1.1081813333333332</v>
      </c>
      <c r="N4" t="str">
        <f t="shared" si="4"/>
        <v>100-125%</v>
      </c>
      <c r="O4" s="7">
        <f>MIN(I4,H4)*INDEX('2018_commission_structure'!$A$11:$I$14,MATCH(Calculations!$E4,'2018_commission_structure'!$A$11:$A$14,0),MATCH(Calculations!O$1,'2018_commission_structure'!$A$11:$I$11,0))</f>
        <v>112500</v>
      </c>
      <c r="P4" s="7">
        <f>IF($H4&gt;I4,MIN($H4-I4,J4-I4)*INDEX('2018_commission_structure'!$A$11:$I$14,MATCH(Calculations!$E4,'2018_commission_structure'!$A$11:$A$14,0), MATCH(Calculations!P$1,'2018_commission_structure'!$A$11:$I$11,0)),0)</f>
        <v>15415.84</v>
      </c>
      <c r="Q4" s="7">
        <f>IF($H4&gt;J4,MIN($H4-J4,K4-J4)*INDEX('2018_commission_structure'!$A$11:$I$14,MATCH(Calculations!$E4,'2018_commission_structure'!$A$11:$A$14,0), MATCH(Calculations!Q$1,'2018_commission_structure'!$A$11:$I$11,0)),0)</f>
        <v>0</v>
      </c>
      <c r="R4" s="7">
        <f>IF($H4&gt;K4,MIN($H4-K4,L4-K4)*INDEX('2018_commission_structure'!$A$11:$I$14,MATCH(Calculations!$E4,'2018_commission_structure'!$A$11:$A$14,0), MATCH(Calculations!R$1,'2018_commission_structure'!$A$11:$I$11,0)),0)</f>
        <v>0</v>
      </c>
      <c r="S4" s="7">
        <f>IF(H4&gt;L4,(H4-L4)*INDEX('2018_commission_structure'!$A$11:$I$14,MATCH(Calculations!$E4,'2018_commission_structure'!$A$11:$A$14,0),MATCH(Calculations!S$1,'2018_commission_structure'!$A$11:$I$11,0)),0)</f>
        <v>0</v>
      </c>
      <c r="T4" s="7">
        <f t="shared" si="5"/>
        <v>127915.84</v>
      </c>
      <c r="U4" s="7">
        <f t="shared" si="6"/>
        <v>217555.84</v>
      </c>
      <c r="V4" s="7">
        <f>MIN(H4,I4)*INDEX('2018_commission_structure'!$A$5:$J$8,MATCH(Calculations!$E4,'2018_commission_structure'!$A$5:$A$8,0),MATCH(Calculations!V$1,'2018_commission_structure'!$A$5:$J$5,0))</f>
        <v>112500</v>
      </c>
      <c r="W4" s="2">
        <f>IF($H4&gt;I4,MIN($H4-I4,J4-I4)*INDEX('2018_commission_structure'!$A$5:$J$8,MATCH(Calculations!$E4,'2018_commission_structure'!$A$5:$A$8,0),MATCH(Calculations!W$1,'2018_commission_structure'!$A$5:$J$5,0)),0)</f>
        <v>17849.920000000002</v>
      </c>
      <c r="X4" s="2">
        <f>IF($H4&gt;J4,MIN($H4-J4,K4-J4)*INDEX('2018_commission_structure'!$A$5:$J$8,MATCH(Calculations!$E4,'2018_commission_structure'!$A$5:$A$8,0),MATCH(Calculations!X$1,'2018_commission_structure'!$A$5:$J$5,0)),0)</f>
        <v>0</v>
      </c>
      <c r="Y4" s="2">
        <f>IF($H4&gt;K4,MIN($H4-K4,L4-K4)*INDEX('2018_commission_structure'!$A$5:$J$8,MATCH(Calculations!$E4,'2018_commission_structure'!$A$5:$A$8,0),MATCH(Calculations!Y$1,'2018_commission_structure'!$A$5:$J$5,0)),0)</f>
        <v>0</v>
      </c>
      <c r="Z4" s="2">
        <f xml:space="preserve"> IF(H4&gt;L4,(H4-L4)*INDEX('2018_commission_structure'!$A$11:$I$14,MATCH(Calculations!$E4,'2018_commission_structure'!$A$11:$A$14,0),MATCH(Calculations!Z$1,'2018_commission_structure'!$A$11:$I$11,0)),0)</f>
        <v>0</v>
      </c>
      <c r="AA4" s="7">
        <f t="shared" si="7"/>
        <v>130349.92</v>
      </c>
      <c r="AB4" s="7">
        <f t="shared" si="8"/>
        <v>219989.91999999998</v>
      </c>
    </row>
    <row r="5" spans="1:28" x14ac:dyDescent="0.25">
      <c r="A5">
        <v>5779075530</v>
      </c>
      <c r="B5" t="s">
        <v>252</v>
      </c>
      <c r="C5" t="s">
        <v>253</v>
      </c>
      <c r="D5" t="str">
        <f>B5&amp;" "&amp;C5</f>
        <v>Bobette Advani</v>
      </c>
      <c r="E5" t="s">
        <v>7</v>
      </c>
      <c r="F5">
        <v>41802</v>
      </c>
      <c r="G5">
        <f>COUNTIF(deals_closed!D:D,Calculations!A5)</f>
        <v>25</v>
      </c>
      <c r="H5" s="2">
        <f>SUMIF(deals_closed!D:D,Calculations!A5,deals_closed!C:C)</f>
        <v>919261</v>
      </c>
      <c r="I5" s="2">
        <f>VLOOKUP(E5,'2018_commission_structure'!$A$11:$I$14,9,FALSE)</f>
        <v>500000</v>
      </c>
      <c r="J5" s="2">
        <f t="shared" si="0"/>
        <v>625000</v>
      </c>
      <c r="K5" s="2">
        <f t="shared" si="1"/>
        <v>750000</v>
      </c>
      <c r="L5" s="2">
        <f t="shared" si="2"/>
        <v>1000000</v>
      </c>
      <c r="M5" s="6">
        <f t="shared" si="3"/>
        <v>1.838522</v>
      </c>
      <c r="N5" t="str">
        <f t="shared" si="4"/>
        <v>150-200%</v>
      </c>
      <c r="O5" s="7">
        <f>MIN(I5,H5)*INDEX('2018_commission_structure'!$A$11:$I$14,MATCH(Calculations!$E5,'2018_commission_structure'!$A$11:$A$14,0),MATCH(Calculations!O$1,'2018_commission_structure'!$A$11:$I$11,0))</f>
        <v>50000</v>
      </c>
      <c r="P5" s="7">
        <f>IF($H5&gt;I5,MIN($H5-I5,J5-I5)*INDEX('2018_commission_structure'!$A$11:$I$14,MATCH(Calculations!$E5,'2018_commission_structure'!$A$11:$A$14,0), MATCH(Calculations!P$1,'2018_commission_structure'!$A$11:$I$11,0)),0)</f>
        <v>18750</v>
      </c>
      <c r="Q5" s="7">
        <f>IF($H5&gt;J5,MIN($H5-J5,K5-J5)*INDEX('2018_commission_structure'!$A$11:$I$14,MATCH(Calculations!$E5,'2018_commission_structure'!$A$11:$A$14,0), MATCH(Calculations!Q$1,'2018_commission_structure'!$A$11:$I$11,0)),0)</f>
        <v>22500</v>
      </c>
      <c r="R5" s="7">
        <f>IF($H5&gt;K5,MIN($H5-K5,L5-K5)*INDEX('2018_commission_structure'!$A$11:$I$14,MATCH(Calculations!$E5,'2018_commission_structure'!$A$11:$A$14,0), MATCH(Calculations!R$1,'2018_commission_structure'!$A$11:$I$11,0)),0)</f>
        <v>37237.42</v>
      </c>
      <c r="S5" s="7">
        <f>IF(H5&gt;L5,(H5-L5)*INDEX('2018_commission_structure'!$A$11:$I$14,MATCH(Calculations!$E5,'2018_commission_structure'!$A$11:$A$14,0),MATCH(Calculations!S$1,'2018_commission_structure'!$A$11:$I$11,0)),0)</f>
        <v>0</v>
      </c>
      <c r="T5" s="7">
        <f t="shared" si="5"/>
        <v>128487.42</v>
      </c>
      <c r="U5" s="7">
        <f t="shared" si="6"/>
        <v>170289.41999999998</v>
      </c>
      <c r="V5" s="7">
        <f>MIN(H5,I5)*INDEX('2018_commission_structure'!$A$5:$J$8,MATCH(Calculations!$E5,'2018_commission_structure'!$A$5:$A$8,0),MATCH(Calculations!V$1,'2018_commission_structure'!$A$5:$J$5,0))</f>
        <v>60000</v>
      </c>
      <c r="W5" s="2">
        <f>IF($H5&gt;I5,MIN($H5-I5,J5-I5)*INDEX('2018_commission_structure'!$A$5:$J$8,MATCH(Calculations!$E5,'2018_commission_structure'!$A$5:$A$8,0),MATCH(Calculations!W$1,'2018_commission_structure'!$A$5:$J$5,0)),0)</f>
        <v>21250</v>
      </c>
      <c r="X5" s="2">
        <f>IF($H5&gt;J5,MIN($H5-J5,K5-J5)*INDEX('2018_commission_structure'!$A$5:$J$8,MATCH(Calculations!$E5,'2018_commission_structure'!$A$5:$A$8,0),MATCH(Calculations!X$1,'2018_commission_structure'!$A$5:$J$5,0)),0)</f>
        <v>25000</v>
      </c>
      <c r="Y5" s="2">
        <f>IF($H5&gt;K5,MIN($H5-K5,L5-K5)*INDEX('2018_commission_structure'!$A$5:$J$8,MATCH(Calculations!$E5,'2018_commission_structure'!$A$5:$A$8,0),MATCH(Calculations!Y$1,'2018_commission_structure'!$A$5:$J$5,0)),0)</f>
        <v>37237.42</v>
      </c>
      <c r="Z5" s="2">
        <f xml:space="preserve"> IF(H5&gt;L5,(H5-L5)*INDEX('2018_commission_structure'!$A$11:$I$14,MATCH(Calculations!$E5,'2018_commission_structure'!$A$11:$A$14,0),MATCH(Calculations!Z$1,'2018_commission_structure'!$A$11:$I$11,0)),0)</f>
        <v>0</v>
      </c>
      <c r="AA5" s="7">
        <f t="shared" si="7"/>
        <v>143487.41999999998</v>
      </c>
      <c r="AB5" s="7">
        <f t="shared" si="8"/>
        <v>185289.41999999998</v>
      </c>
    </row>
    <row r="6" spans="1:28" x14ac:dyDescent="0.25">
      <c r="A6">
        <v>4849214614</v>
      </c>
      <c r="B6" t="s">
        <v>321</v>
      </c>
      <c r="C6" t="s">
        <v>322</v>
      </c>
      <c r="D6" t="str">
        <f>B6&amp;" "&amp;C6</f>
        <v>Westley Affleck</v>
      </c>
      <c r="E6" t="s">
        <v>7</v>
      </c>
      <c r="F6">
        <v>46473</v>
      </c>
      <c r="G6">
        <f>COUNTIF(deals_closed!D:D,Calculations!A6)</f>
        <v>18</v>
      </c>
      <c r="H6" s="2">
        <f>SUMIF(deals_closed!D:D,Calculations!A6,deals_closed!C:C)</f>
        <v>714034</v>
      </c>
      <c r="I6" s="2">
        <f>VLOOKUP(E6,'2018_commission_structure'!$A$11:$I$14,9,FALSE)</f>
        <v>500000</v>
      </c>
      <c r="J6" s="2">
        <f t="shared" si="0"/>
        <v>625000</v>
      </c>
      <c r="K6" s="2">
        <f t="shared" si="1"/>
        <v>750000</v>
      </c>
      <c r="L6" s="2">
        <f t="shared" si="2"/>
        <v>1000000</v>
      </c>
      <c r="M6" s="6">
        <f t="shared" si="3"/>
        <v>1.4280679999999999</v>
      </c>
      <c r="N6" t="str">
        <f t="shared" si="4"/>
        <v>125-150%</v>
      </c>
      <c r="O6" s="7">
        <f>MIN(I6,H6)*INDEX('2018_commission_structure'!$A$11:$I$14,MATCH(Calculations!$E6,'2018_commission_structure'!$A$11:$A$14,0),MATCH(Calculations!O$1,'2018_commission_structure'!$A$11:$I$11,0))</f>
        <v>50000</v>
      </c>
      <c r="P6" s="7">
        <f>IF($H6&gt;I6,MIN($H6-I6,J6-I6)*INDEX('2018_commission_structure'!$A$11:$I$14,MATCH(Calculations!$E6,'2018_commission_structure'!$A$11:$A$14,0), MATCH(Calculations!P$1,'2018_commission_structure'!$A$11:$I$11,0)),0)</f>
        <v>18750</v>
      </c>
      <c r="Q6" s="7">
        <f>IF($H6&gt;J6,MIN($H6-J6,K6-J6)*INDEX('2018_commission_structure'!$A$11:$I$14,MATCH(Calculations!$E6,'2018_commission_structure'!$A$11:$A$14,0), MATCH(Calculations!Q$1,'2018_commission_structure'!$A$11:$I$11,0)),0)</f>
        <v>16026.119999999999</v>
      </c>
      <c r="R6" s="7">
        <f>IF($H6&gt;K6,MIN($H6-K6,L6-K6)*INDEX('2018_commission_structure'!$A$11:$I$14,MATCH(Calculations!$E6,'2018_commission_structure'!$A$11:$A$14,0), MATCH(Calculations!R$1,'2018_commission_structure'!$A$11:$I$11,0)),0)</f>
        <v>0</v>
      </c>
      <c r="S6" s="7">
        <f>IF(H6&gt;L6,(H6-L6)*INDEX('2018_commission_structure'!$A$11:$I$14,MATCH(Calculations!$E6,'2018_commission_structure'!$A$11:$A$14,0),MATCH(Calculations!S$1,'2018_commission_structure'!$A$11:$I$11,0)),0)</f>
        <v>0</v>
      </c>
      <c r="T6" s="7">
        <f t="shared" si="5"/>
        <v>84776.12</v>
      </c>
      <c r="U6" s="7">
        <f t="shared" si="6"/>
        <v>131249.12</v>
      </c>
      <c r="V6" s="7">
        <f>MIN(H6,I6)*INDEX('2018_commission_structure'!$A$5:$J$8,MATCH(Calculations!$E6,'2018_commission_structure'!$A$5:$A$8,0),MATCH(Calculations!V$1,'2018_commission_structure'!$A$5:$J$5,0))</f>
        <v>60000</v>
      </c>
      <c r="W6" s="2">
        <f>IF($H6&gt;I6,MIN($H6-I6,J6-I6)*INDEX('2018_commission_structure'!$A$5:$J$8,MATCH(Calculations!$E6,'2018_commission_structure'!$A$5:$A$8,0),MATCH(Calculations!W$1,'2018_commission_structure'!$A$5:$J$5,0)),0)</f>
        <v>21250</v>
      </c>
      <c r="X6" s="2">
        <f>IF($H6&gt;J6,MIN($H6-J6,K6-J6)*INDEX('2018_commission_structure'!$A$5:$J$8,MATCH(Calculations!$E6,'2018_commission_structure'!$A$5:$A$8,0),MATCH(Calculations!X$1,'2018_commission_structure'!$A$5:$J$5,0)),0)</f>
        <v>17806.8</v>
      </c>
      <c r="Y6" s="2">
        <f>IF($H6&gt;K6,MIN($H6-K6,L6-K6)*INDEX('2018_commission_structure'!$A$5:$J$8,MATCH(Calculations!$E6,'2018_commission_structure'!$A$5:$A$8,0),MATCH(Calculations!Y$1,'2018_commission_structure'!$A$5:$J$5,0)),0)</f>
        <v>0</v>
      </c>
      <c r="Z6" s="2">
        <f xml:space="preserve"> IF(H6&gt;L6,(H6-L6)*INDEX('2018_commission_structure'!$A$11:$I$14,MATCH(Calculations!$E6,'2018_commission_structure'!$A$11:$A$14,0),MATCH(Calculations!Z$1,'2018_commission_structure'!$A$11:$I$11,0)),0)</f>
        <v>0</v>
      </c>
      <c r="AA6" s="7">
        <f t="shared" si="7"/>
        <v>99056.8</v>
      </c>
      <c r="AB6" s="7">
        <f t="shared" si="8"/>
        <v>145529.79999999999</v>
      </c>
    </row>
    <row r="7" spans="1:28" x14ac:dyDescent="0.25">
      <c r="A7">
        <v>9800744517</v>
      </c>
      <c r="B7" t="s">
        <v>472</v>
      </c>
      <c r="C7" t="s">
        <v>473</v>
      </c>
      <c r="D7" t="str">
        <f>B7&amp;" "&amp;C7</f>
        <v>Jacklin Agiolfinger</v>
      </c>
      <c r="E7" t="s">
        <v>10</v>
      </c>
      <c r="F7">
        <v>102178</v>
      </c>
      <c r="G7">
        <f>COUNTIF(deals_closed!D:D,Calculations!A7)</f>
        <v>22</v>
      </c>
      <c r="H7" s="2">
        <f>SUMIF(deals_closed!D:D,Calculations!A7,deals_closed!C:C)</f>
        <v>751367</v>
      </c>
      <c r="I7" s="2">
        <f>VLOOKUP(E7,'2018_commission_structure'!$A$11:$I$14,9,FALSE)</f>
        <v>750000</v>
      </c>
      <c r="J7" s="2">
        <f t="shared" si="0"/>
        <v>937500</v>
      </c>
      <c r="K7" s="2">
        <f t="shared" si="1"/>
        <v>1125000</v>
      </c>
      <c r="L7" s="2">
        <f t="shared" si="2"/>
        <v>1500000</v>
      </c>
      <c r="M7" s="6">
        <f t="shared" si="3"/>
        <v>1.0018226666666668</v>
      </c>
      <c r="N7" t="str">
        <f t="shared" si="4"/>
        <v>100-125%</v>
      </c>
      <c r="O7" s="7">
        <f>MIN(I7,H7)*INDEX('2018_commission_structure'!$A$11:$I$14,MATCH(Calculations!$E7,'2018_commission_structure'!$A$11:$A$14,0),MATCH(Calculations!O$1,'2018_commission_structure'!$A$11:$I$11,0))</f>
        <v>112500</v>
      </c>
      <c r="P7" s="7">
        <f>IF($H7&gt;I7,MIN($H7-I7,J7-I7)*INDEX('2018_commission_structure'!$A$11:$I$14,MATCH(Calculations!$E7,'2018_commission_structure'!$A$11:$A$14,0), MATCH(Calculations!P$1,'2018_commission_structure'!$A$11:$I$11,0)),0)</f>
        <v>259.73</v>
      </c>
      <c r="Q7" s="7">
        <f>IF($H7&gt;J7,MIN($H7-J7,K7-J7)*INDEX('2018_commission_structure'!$A$11:$I$14,MATCH(Calculations!$E7,'2018_commission_structure'!$A$11:$A$14,0), MATCH(Calculations!Q$1,'2018_commission_structure'!$A$11:$I$11,0)),0)</f>
        <v>0</v>
      </c>
      <c r="R7" s="7">
        <f>IF($H7&gt;K7,MIN($H7-K7,L7-K7)*INDEX('2018_commission_structure'!$A$11:$I$14,MATCH(Calculations!$E7,'2018_commission_structure'!$A$11:$A$14,0), MATCH(Calculations!R$1,'2018_commission_structure'!$A$11:$I$11,0)),0)</f>
        <v>0</v>
      </c>
      <c r="S7" s="7">
        <f>IF(H7&gt;L7,(H7-L7)*INDEX('2018_commission_structure'!$A$11:$I$14,MATCH(Calculations!$E7,'2018_commission_structure'!$A$11:$A$14,0),MATCH(Calculations!S$1,'2018_commission_structure'!$A$11:$I$11,0)),0)</f>
        <v>0</v>
      </c>
      <c r="T7" s="7">
        <f t="shared" si="5"/>
        <v>112759.73</v>
      </c>
      <c r="U7" s="7">
        <f t="shared" si="6"/>
        <v>214937.72999999998</v>
      </c>
      <c r="V7" s="7">
        <f>MIN(H7,I7)*INDEX('2018_commission_structure'!$A$5:$J$8,MATCH(Calculations!$E7,'2018_commission_structure'!$A$5:$A$8,0),MATCH(Calculations!V$1,'2018_commission_structure'!$A$5:$J$5,0))</f>
        <v>112500</v>
      </c>
      <c r="W7" s="2">
        <f>IF($H7&gt;I7,MIN($H7-I7,J7-I7)*INDEX('2018_commission_structure'!$A$5:$J$8,MATCH(Calculations!$E7,'2018_commission_structure'!$A$5:$A$8,0),MATCH(Calculations!W$1,'2018_commission_structure'!$A$5:$J$5,0)),0)</f>
        <v>300.74</v>
      </c>
      <c r="X7" s="2">
        <f>IF($H7&gt;J7,MIN($H7-J7,K7-J7)*INDEX('2018_commission_structure'!$A$5:$J$8,MATCH(Calculations!$E7,'2018_commission_structure'!$A$5:$A$8,0),MATCH(Calculations!X$1,'2018_commission_structure'!$A$5:$J$5,0)),0)</f>
        <v>0</v>
      </c>
      <c r="Y7" s="2">
        <f>IF($H7&gt;K7,MIN($H7-K7,L7-K7)*INDEX('2018_commission_structure'!$A$5:$J$8,MATCH(Calculations!$E7,'2018_commission_structure'!$A$5:$A$8,0),MATCH(Calculations!Y$1,'2018_commission_structure'!$A$5:$J$5,0)),0)</f>
        <v>0</v>
      </c>
      <c r="Z7" s="2">
        <f xml:space="preserve"> IF(H7&gt;L7,(H7-L7)*INDEX('2018_commission_structure'!$A$11:$I$14,MATCH(Calculations!$E7,'2018_commission_structure'!$A$11:$A$14,0),MATCH(Calculations!Z$1,'2018_commission_structure'!$A$11:$I$11,0)),0)</f>
        <v>0</v>
      </c>
      <c r="AA7" s="7">
        <f t="shared" si="7"/>
        <v>112800.74</v>
      </c>
      <c r="AB7" s="7">
        <f t="shared" si="8"/>
        <v>214978.74</v>
      </c>
    </row>
    <row r="8" spans="1:28" x14ac:dyDescent="0.25">
      <c r="A8">
        <v>4398950745</v>
      </c>
      <c r="B8" t="s">
        <v>889</v>
      </c>
      <c r="C8" t="s">
        <v>890</v>
      </c>
      <c r="D8" t="str">
        <f>B8&amp;" "&amp;C8</f>
        <v>Brew Aguirre</v>
      </c>
      <c r="E8" t="s">
        <v>7</v>
      </c>
      <c r="F8">
        <v>56956</v>
      </c>
      <c r="G8">
        <f>COUNTIF(deals_closed!D:D,Calculations!A8)</f>
        <v>23</v>
      </c>
      <c r="H8" s="2">
        <f>SUMIF(deals_closed!D:D,Calculations!A8,deals_closed!C:C)</f>
        <v>820679</v>
      </c>
      <c r="I8" s="2">
        <f>VLOOKUP(E8,'2018_commission_structure'!$A$11:$I$14,9,FALSE)</f>
        <v>500000</v>
      </c>
      <c r="J8" s="2">
        <f t="shared" si="0"/>
        <v>625000</v>
      </c>
      <c r="K8" s="2">
        <f t="shared" si="1"/>
        <v>750000</v>
      </c>
      <c r="L8" s="2">
        <f t="shared" si="2"/>
        <v>1000000</v>
      </c>
      <c r="M8" s="6">
        <f t="shared" si="3"/>
        <v>1.6413580000000001</v>
      </c>
      <c r="N8" t="str">
        <f t="shared" si="4"/>
        <v>150-200%</v>
      </c>
      <c r="O8" s="7">
        <f>MIN(I8,H8)*INDEX('2018_commission_structure'!$A$11:$I$14,MATCH(Calculations!$E8,'2018_commission_structure'!$A$11:$A$14,0),MATCH(Calculations!O$1,'2018_commission_structure'!$A$11:$I$11,0))</f>
        <v>50000</v>
      </c>
      <c r="P8" s="7">
        <f>IF($H8&gt;I8,MIN($H8-I8,J8-I8)*INDEX('2018_commission_structure'!$A$11:$I$14,MATCH(Calculations!$E8,'2018_commission_structure'!$A$11:$A$14,0), MATCH(Calculations!P$1,'2018_commission_structure'!$A$11:$I$11,0)),0)</f>
        <v>18750</v>
      </c>
      <c r="Q8" s="7">
        <f>IF($H8&gt;J8,MIN($H8-J8,K8-J8)*INDEX('2018_commission_structure'!$A$11:$I$14,MATCH(Calculations!$E8,'2018_commission_structure'!$A$11:$A$14,0), MATCH(Calculations!Q$1,'2018_commission_structure'!$A$11:$I$11,0)),0)</f>
        <v>22500</v>
      </c>
      <c r="R8" s="7">
        <f>IF($H8&gt;K8,MIN($H8-K8,L8-K8)*INDEX('2018_commission_structure'!$A$11:$I$14,MATCH(Calculations!$E8,'2018_commission_structure'!$A$11:$A$14,0), MATCH(Calculations!R$1,'2018_commission_structure'!$A$11:$I$11,0)),0)</f>
        <v>15549.38</v>
      </c>
      <c r="S8" s="7">
        <f>IF(H8&gt;L8,(H8-L8)*INDEX('2018_commission_structure'!$A$11:$I$14,MATCH(Calculations!$E8,'2018_commission_structure'!$A$11:$A$14,0),MATCH(Calculations!S$1,'2018_commission_structure'!$A$11:$I$11,0)),0)</f>
        <v>0</v>
      </c>
      <c r="T8" s="7">
        <f t="shared" si="5"/>
        <v>106799.38</v>
      </c>
      <c r="U8" s="7">
        <f t="shared" si="6"/>
        <v>163755.38</v>
      </c>
      <c r="V8" s="7">
        <f>MIN(H8,I8)*INDEX('2018_commission_structure'!$A$5:$J$8,MATCH(Calculations!$E8,'2018_commission_structure'!$A$5:$A$8,0),MATCH(Calculations!V$1,'2018_commission_structure'!$A$5:$J$5,0))</f>
        <v>60000</v>
      </c>
      <c r="W8" s="2">
        <f>IF($H8&gt;I8,MIN($H8-I8,J8-I8)*INDEX('2018_commission_structure'!$A$5:$J$8,MATCH(Calculations!$E8,'2018_commission_structure'!$A$5:$A$8,0),MATCH(Calculations!W$1,'2018_commission_structure'!$A$5:$J$5,0)),0)</f>
        <v>21250</v>
      </c>
      <c r="X8" s="2">
        <f>IF($H8&gt;J8,MIN($H8-J8,K8-J8)*INDEX('2018_commission_structure'!$A$5:$J$8,MATCH(Calculations!$E8,'2018_commission_structure'!$A$5:$A$8,0),MATCH(Calculations!X$1,'2018_commission_structure'!$A$5:$J$5,0)),0)</f>
        <v>25000</v>
      </c>
      <c r="Y8" s="2">
        <f>IF($H8&gt;K8,MIN($H8-K8,L8-K8)*INDEX('2018_commission_structure'!$A$5:$J$8,MATCH(Calculations!$E8,'2018_commission_structure'!$A$5:$A$8,0),MATCH(Calculations!Y$1,'2018_commission_structure'!$A$5:$J$5,0)),0)</f>
        <v>15549.38</v>
      </c>
      <c r="Z8" s="2">
        <f xml:space="preserve"> IF(H8&gt;L8,(H8-L8)*INDEX('2018_commission_structure'!$A$11:$I$14,MATCH(Calculations!$E8,'2018_commission_structure'!$A$11:$A$14,0),MATCH(Calculations!Z$1,'2018_commission_structure'!$A$11:$I$11,0)),0)</f>
        <v>0</v>
      </c>
      <c r="AA8" s="7">
        <f t="shared" si="7"/>
        <v>121799.38</v>
      </c>
      <c r="AB8" s="7">
        <f t="shared" si="8"/>
        <v>178755.38</v>
      </c>
    </row>
    <row r="9" spans="1:28" x14ac:dyDescent="0.25">
      <c r="A9">
        <v>161397387</v>
      </c>
      <c r="B9" t="s">
        <v>815</v>
      </c>
      <c r="C9" t="s">
        <v>816</v>
      </c>
      <c r="D9" t="str">
        <f>B9&amp;" "&amp;C9</f>
        <v>Alfie Ainsworth</v>
      </c>
      <c r="E9" t="s">
        <v>10</v>
      </c>
      <c r="F9">
        <v>88523</v>
      </c>
      <c r="G9">
        <f>COUNTIF(deals_closed!D:D,Calculations!A9)</f>
        <v>13</v>
      </c>
      <c r="H9" s="2">
        <f>SUMIF(deals_closed!D:D,Calculations!A9,deals_closed!C:C)</f>
        <v>516813</v>
      </c>
      <c r="I9" s="2">
        <f>VLOOKUP(E9,'2018_commission_structure'!$A$11:$I$14,9,FALSE)</f>
        <v>750000</v>
      </c>
      <c r="J9" s="2">
        <f t="shared" si="0"/>
        <v>937500</v>
      </c>
      <c r="K9" s="2">
        <f t="shared" si="1"/>
        <v>1125000</v>
      </c>
      <c r="L9" s="2">
        <f t="shared" si="2"/>
        <v>1500000</v>
      </c>
      <c r="M9" s="6">
        <f t="shared" si="3"/>
        <v>0.68908400000000003</v>
      </c>
      <c r="N9" t="str">
        <f t="shared" si="4"/>
        <v>0-100%</v>
      </c>
      <c r="O9" s="7">
        <f>MIN(I9,H9)*INDEX('2018_commission_structure'!$A$11:$I$14,MATCH(Calculations!$E9,'2018_commission_structure'!$A$11:$A$14,0),MATCH(Calculations!O$1,'2018_commission_structure'!$A$11:$I$11,0))</f>
        <v>77521.95</v>
      </c>
      <c r="P9" s="7">
        <f>IF($H9&gt;I9,MIN($H9-I9,J9-I9)*INDEX('2018_commission_structure'!$A$11:$I$14,MATCH(Calculations!$E9,'2018_commission_structure'!$A$11:$A$14,0), MATCH(Calculations!P$1,'2018_commission_structure'!$A$11:$I$11,0)),0)</f>
        <v>0</v>
      </c>
      <c r="Q9" s="7">
        <f>IF($H9&gt;J9,MIN($H9-J9,K9-J9)*INDEX('2018_commission_structure'!$A$11:$I$14,MATCH(Calculations!$E9,'2018_commission_structure'!$A$11:$A$14,0), MATCH(Calculations!Q$1,'2018_commission_structure'!$A$11:$I$11,0)),0)</f>
        <v>0</v>
      </c>
      <c r="R9" s="7">
        <f>IF($H9&gt;K9,MIN($H9-K9,L9-K9)*INDEX('2018_commission_structure'!$A$11:$I$14,MATCH(Calculations!$E9,'2018_commission_structure'!$A$11:$A$14,0), MATCH(Calculations!R$1,'2018_commission_structure'!$A$11:$I$11,0)),0)</f>
        <v>0</v>
      </c>
      <c r="S9" s="7">
        <f>IF(H9&gt;L9,(H9-L9)*INDEX('2018_commission_structure'!$A$11:$I$14,MATCH(Calculations!$E9,'2018_commission_structure'!$A$11:$A$14,0),MATCH(Calculations!S$1,'2018_commission_structure'!$A$11:$I$11,0)),0)</f>
        <v>0</v>
      </c>
      <c r="T9" s="7">
        <f t="shared" si="5"/>
        <v>77521.95</v>
      </c>
      <c r="U9" s="7">
        <f t="shared" si="6"/>
        <v>166044.95000000001</v>
      </c>
      <c r="V9" s="7">
        <f>MIN(H9,I9)*INDEX('2018_commission_structure'!$A$5:$J$8,MATCH(Calculations!$E9,'2018_commission_structure'!$A$5:$A$8,0),MATCH(Calculations!V$1,'2018_commission_structure'!$A$5:$J$5,0))</f>
        <v>77521.95</v>
      </c>
      <c r="W9" s="2">
        <f>IF($H9&gt;I9,MIN($H9-I9,J9-I9)*INDEX('2018_commission_structure'!$A$5:$J$8,MATCH(Calculations!$E9,'2018_commission_structure'!$A$5:$A$8,0),MATCH(Calculations!W$1,'2018_commission_structure'!$A$5:$J$5,0)),0)</f>
        <v>0</v>
      </c>
      <c r="X9" s="2">
        <f>IF($H9&gt;J9,MIN($H9-J9,K9-J9)*INDEX('2018_commission_structure'!$A$5:$J$8,MATCH(Calculations!$E9,'2018_commission_structure'!$A$5:$A$8,0),MATCH(Calculations!X$1,'2018_commission_structure'!$A$5:$J$5,0)),0)</f>
        <v>0</v>
      </c>
      <c r="Y9" s="2">
        <f>IF($H9&gt;K9,MIN($H9-K9,L9-K9)*INDEX('2018_commission_structure'!$A$5:$J$8,MATCH(Calculations!$E9,'2018_commission_structure'!$A$5:$A$8,0),MATCH(Calculations!Y$1,'2018_commission_structure'!$A$5:$J$5,0)),0)</f>
        <v>0</v>
      </c>
      <c r="Z9" s="2">
        <f xml:space="preserve"> IF(H9&gt;L9,(H9-L9)*INDEX('2018_commission_structure'!$A$11:$I$14,MATCH(Calculations!$E9,'2018_commission_structure'!$A$11:$A$14,0),MATCH(Calculations!Z$1,'2018_commission_structure'!$A$11:$I$11,0)),0)</f>
        <v>0</v>
      </c>
      <c r="AA9" s="7">
        <f t="shared" si="7"/>
        <v>77521.95</v>
      </c>
      <c r="AB9" s="7">
        <f t="shared" si="8"/>
        <v>166044.95000000001</v>
      </c>
    </row>
    <row r="10" spans="1:28" x14ac:dyDescent="0.25">
      <c r="A10">
        <v>8361813608</v>
      </c>
      <c r="B10" t="s">
        <v>1829</v>
      </c>
      <c r="C10" t="s">
        <v>1830</v>
      </c>
      <c r="D10" t="str">
        <f>B10&amp;" "&amp;C10</f>
        <v>Meryl Aitchinson</v>
      </c>
      <c r="E10" t="s">
        <v>10</v>
      </c>
      <c r="F10">
        <v>83466</v>
      </c>
      <c r="G10">
        <f>COUNTIF(deals_closed!D:D,Calculations!A10)</f>
        <v>12</v>
      </c>
      <c r="H10" s="2">
        <f>SUMIF(deals_closed!D:D,Calculations!A10,deals_closed!C:C)</f>
        <v>471986</v>
      </c>
      <c r="I10" s="2">
        <f>VLOOKUP(E10,'2018_commission_structure'!$A$11:$I$14,9,FALSE)</f>
        <v>750000</v>
      </c>
      <c r="J10" s="2">
        <f t="shared" si="0"/>
        <v>937500</v>
      </c>
      <c r="K10" s="2">
        <f t="shared" si="1"/>
        <v>1125000</v>
      </c>
      <c r="L10" s="2">
        <f t="shared" si="2"/>
        <v>1500000</v>
      </c>
      <c r="M10" s="6">
        <f t="shared" si="3"/>
        <v>0.62931466666666669</v>
      </c>
      <c r="N10" t="str">
        <f t="shared" si="4"/>
        <v>0-100%</v>
      </c>
      <c r="O10" s="7">
        <f>MIN(I10,H10)*INDEX('2018_commission_structure'!$A$11:$I$14,MATCH(Calculations!$E10,'2018_commission_structure'!$A$11:$A$14,0),MATCH(Calculations!O$1,'2018_commission_structure'!$A$11:$I$11,0))</f>
        <v>70797.899999999994</v>
      </c>
      <c r="P10" s="7">
        <f>IF($H10&gt;I10,MIN($H10-I10,J10-I10)*INDEX('2018_commission_structure'!$A$11:$I$14,MATCH(Calculations!$E10,'2018_commission_structure'!$A$11:$A$14,0), MATCH(Calculations!P$1,'2018_commission_structure'!$A$11:$I$11,0)),0)</f>
        <v>0</v>
      </c>
      <c r="Q10" s="7">
        <f>IF($H10&gt;J10,MIN($H10-J10,K10-J10)*INDEX('2018_commission_structure'!$A$11:$I$14,MATCH(Calculations!$E10,'2018_commission_structure'!$A$11:$A$14,0), MATCH(Calculations!Q$1,'2018_commission_structure'!$A$11:$I$11,0)),0)</f>
        <v>0</v>
      </c>
      <c r="R10" s="7">
        <f>IF($H10&gt;K10,MIN($H10-K10,L10-K10)*INDEX('2018_commission_structure'!$A$11:$I$14,MATCH(Calculations!$E10,'2018_commission_structure'!$A$11:$A$14,0), MATCH(Calculations!R$1,'2018_commission_structure'!$A$11:$I$11,0)),0)</f>
        <v>0</v>
      </c>
      <c r="S10" s="7">
        <f>IF(H10&gt;L10,(H10-L10)*INDEX('2018_commission_structure'!$A$11:$I$14,MATCH(Calculations!$E10,'2018_commission_structure'!$A$11:$A$14,0),MATCH(Calculations!S$1,'2018_commission_structure'!$A$11:$I$11,0)),0)</f>
        <v>0</v>
      </c>
      <c r="T10" s="7">
        <f t="shared" si="5"/>
        <v>70797.899999999994</v>
      </c>
      <c r="U10" s="7">
        <f t="shared" si="6"/>
        <v>154263.9</v>
      </c>
      <c r="V10" s="7">
        <f>MIN(H10,I10)*INDEX('2018_commission_structure'!$A$5:$J$8,MATCH(Calculations!$E10,'2018_commission_structure'!$A$5:$A$8,0),MATCH(Calculations!V$1,'2018_commission_structure'!$A$5:$J$5,0))</f>
        <v>70797.899999999994</v>
      </c>
      <c r="W10" s="2">
        <f>IF($H10&gt;I10,MIN($H10-I10,J10-I10)*INDEX('2018_commission_structure'!$A$5:$J$8,MATCH(Calculations!$E10,'2018_commission_structure'!$A$5:$A$8,0),MATCH(Calculations!W$1,'2018_commission_structure'!$A$5:$J$5,0)),0)</f>
        <v>0</v>
      </c>
      <c r="X10" s="2">
        <f>IF($H10&gt;J10,MIN($H10-J10,K10-J10)*INDEX('2018_commission_structure'!$A$5:$J$8,MATCH(Calculations!$E10,'2018_commission_structure'!$A$5:$A$8,0),MATCH(Calculations!X$1,'2018_commission_structure'!$A$5:$J$5,0)),0)</f>
        <v>0</v>
      </c>
      <c r="Y10" s="2">
        <f>IF($H10&gt;K10,MIN($H10-K10,L10-K10)*INDEX('2018_commission_structure'!$A$5:$J$8,MATCH(Calculations!$E10,'2018_commission_structure'!$A$5:$A$8,0),MATCH(Calculations!Y$1,'2018_commission_structure'!$A$5:$J$5,0)),0)</f>
        <v>0</v>
      </c>
      <c r="Z10" s="2">
        <f xml:space="preserve"> IF(H10&gt;L10,(H10-L10)*INDEX('2018_commission_structure'!$A$11:$I$14,MATCH(Calculations!$E10,'2018_commission_structure'!$A$11:$A$14,0),MATCH(Calculations!Z$1,'2018_commission_structure'!$A$11:$I$11,0)),0)</f>
        <v>0</v>
      </c>
      <c r="AA10" s="7">
        <f t="shared" si="7"/>
        <v>70797.899999999994</v>
      </c>
      <c r="AB10" s="7">
        <f t="shared" si="8"/>
        <v>154263.9</v>
      </c>
    </row>
    <row r="11" spans="1:28" x14ac:dyDescent="0.25">
      <c r="A11">
        <v>7001733199</v>
      </c>
      <c r="B11" t="s">
        <v>1365</v>
      </c>
      <c r="C11" t="s">
        <v>1366</v>
      </c>
      <c r="D11" t="str">
        <f>B11&amp;" "&amp;C11</f>
        <v>Wash Aizlewood</v>
      </c>
      <c r="E11" t="s">
        <v>7</v>
      </c>
      <c r="F11">
        <v>41890</v>
      </c>
      <c r="G11">
        <f>COUNTIF(deals_closed!D:D,Calculations!A11)</f>
        <v>21</v>
      </c>
      <c r="H11" s="2">
        <f>SUMIF(deals_closed!D:D,Calculations!A11,deals_closed!C:C)</f>
        <v>645183</v>
      </c>
      <c r="I11" s="2">
        <f>VLOOKUP(E11,'2018_commission_structure'!$A$11:$I$14,9,FALSE)</f>
        <v>500000</v>
      </c>
      <c r="J11" s="2">
        <f t="shared" si="0"/>
        <v>625000</v>
      </c>
      <c r="K11" s="2">
        <f t="shared" si="1"/>
        <v>750000</v>
      </c>
      <c r="L11" s="2">
        <f t="shared" si="2"/>
        <v>1000000</v>
      </c>
      <c r="M11" s="6">
        <f t="shared" si="3"/>
        <v>1.2903659999999999</v>
      </c>
      <c r="N11" t="str">
        <f t="shared" si="4"/>
        <v>125-150%</v>
      </c>
      <c r="O11" s="7">
        <f>MIN(I11,H11)*INDEX('2018_commission_structure'!$A$11:$I$14,MATCH(Calculations!$E11,'2018_commission_structure'!$A$11:$A$14,0),MATCH(Calculations!O$1,'2018_commission_structure'!$A$11:$I$11,0))</f>
        <v>50000</v>
      </c>
      <c r="P11" s="7">
        <f>IF($H11&gt;I11,MIN($H11-I11,J11-I11)*INDEX('2018_commission_structure'!$A$11:$I$14,MATCH(Calculations!$E11,'2018_commission_structure'!$A$11:$A$14,0), MATCH(Calculations!P$1,'2018_commission_structure'!$A$11:$I$11,0)),0)</f>
        <v>18750</v>
      </c>
      <c r="Q11" s="7">
        <f>IF($H11&gt;J11,MIN($H11-J11,K11-J11)*INDEX('2018_commission_structure'!$A$11:$I$14,MATCH(Calculations!$E11,'2018_commission_structure'!$A$11:$A$14,0), MATCH(Calculations!Q$1,'2018_commission_structure'!$A$11:$I$11,0)),0)</f>
        <v>3632.94</v>
      </c>
      <c r="R11" s="7">
        <f>IF($H11&gt;K11,MIN($H11-K11,L11-K11)*INDEX('2018_commission_structure'!$A$11:$I$14,MATCH(Calculations!$E11,'2018_commission_structure'!$A$11:$A$14,0), MATCH(Calculations!R$1,'2018_commission_structure'!$A$11:$I$11,0)),0)</f>
        <v>0</v>
      </c>
      <c r="S11" s="7">
        <f>IF(H11&gt;L11,(H11-L11)*INDEX('2018_commission_structure'!$A$11:$I$14,MATCH(Calculations!$E11,'2018_commission_structure'!$A$11:$A$14,0),MATCH(Calculations!S$1,'2018_commission_structure'!$A$11:$I$11,0)),0)</f>
        <v>0</v>
      </c>
      <c r="T11" s="7">
        <f t="shared" si="5"/>
        <v>72382.94</v>
      </c>
      <c r="U11" s="7">
        <f t="shared" si="6"/>
        <v>114272.94</v>
      </c>
      <c r="V11" s="7">
        <f>MIN(H11,I11)*INDEX('2018_commission_structure'!$A$5:$J$8,MATCH(Calculations!$E11,'2018_commission_structure'!$A$5:$A$8,0),MATCH(Calculations!V$1,'2018_commission_structure'!$A$5:$J$5,0))</f>
        <v>60000</v>
      </c>
      <c r="W11" s="2">
        <f>IF($H11&gt;I11,MIN($H11-I11,J11-I11)*INDEX('2018_commission_structure'!$A$5:$J$8,MATCH(Calculations!$E11,'2018_commission_structure'!$A$5:$A$8,0),MATCH(Calculations!W$1,'2018_commission_structure'!$A$5:$J$5,0)),0)</f>
        <v>21250</v>
      </c>
      <c r="X11" s="2">
        <f>IF($H11&gt;J11,MIN($H11-J11,K11-J11)*INDEX('2018_commission_structure'!$A$5:$J$8,MATCH(Calculations!$E11,'2018_commission_structure'!$A$5:$A$8,0),MATCH(Calculations!X$1,'2018_commission_structure'!$A$5:$J$5,0)),0)</f>
        <v>4036.6000000000004</v>
      </c>
      <c r="Y11" s="2">
        <f>IF($H11&gt;K11,MIN($H11-K11,L11-K11)*INDEX('2018_commission_structure'!$A$5:$J$8,MATCH(Calculations!$E11,'2018_commission_structure'!$A$5:$A$8,0),MATCH(Calculations!Y$1,'2018_commission_structure'!$A$5:$J$5,0)),0)</f>
        <v>0</v>
      </c>
      <c r="Z11" s="2">
        <f xml:space="preserve"> IF(H11&gt;L11,(H11-L11)*INDEX('2018_commission_structure'!$A$11:$I$14,MATCH(Calculations!$E11,'2018_commission_structure'!$A$11:$A$14,0),MATCH(Calculations!Z$1,'2018_commission_structure'!$A$11:$I$11,0)),0)</f>
        <v>0</v>
      </c>
      <c r="AA11" s="7">
        <f t="shared" si="7"/>
        <v>85286.6</v>
      </c>
      <c r="AB11" s="7">
        <f t="shared" si="8"/>
        <v>127176.6</v>
      </c>
    </row>
    <row r="12" spans="1:28" x14ac:dyDescent="0.25">
      <c r="A12">
        <v>3554200719</v>
      </c>
      <c r="B12" t="s">
        <v>934</v>
      </c>
      <c r="C12" t="s">
        <v>935</v>
      </c>
      <c r="D12" t="str">
        <f>B12&amp;" "&amp;C12</f>
        <v>Lin Ajean</v>
      </c>
      <c r="E12" t="s">
        <v>7</v>
      </c>
      <c r="F12">
        <v>40780</v>
      </c>
      <c r="G12">
        <f>COUNTIF(deals_closed!D:D,Calculations!A12)</f>
        <v>16</v>
      </c>
      <c r="H12" s="2">
        <f>SUMIF(deals_closed!D:D,Calculations!A12,deals_closed!C:C)</f>
        <v>693280</v>
      </c>
      <c r="I12" s="2">
        <f>VLOOKUP(E12,'2018_commission_structure'!$A$11:$I$14,9,FALSE)</f>
        <v>500000</v>
      </c>
      <c r="J12" s="2">
        <f t="shared" si="0"/>
        <v>625000</v>
      </c>
      <c r="K12" s="2">
        <f t="shared" si="1"/>
        <v>750000</v>
      </c>
      <c r="L12" s="2">
        <f t="shared" si="2"/>
        <v>1000000</v>
      </c>
      <c r="M12" s="6">
        <f t="shared" si="3"/>
        <v>1.38656</v>
      </c>
      <c r="N12" t="str">
        <f t="shared" si="4"/>
        <v>125-150%</v>
      </c>
      <c r="O12" s="7">
        <f>MIN(I12,H12)*INDEX('2018_commission_structure'!$A$11:$I$14,MATCH(Calculations!$E12,'2018_commission_structure'!$A$11:$A$14,0),MATCH(Calculations!O$1,'2018_commission_structure'!$A$11:$I$11,0))</f>
        <v>50000</v>
      </c>
      <c r="P12" s="7">
        <f>IF($H12&gt;I12,MIN($H12-I12,J12-I12)*INDEX('2018_commission_structure'!$A$11:$I$14,MATCH(Calculations!$E12,'2018_commission_structure'!$A$11:$A$14,0), MATCH(Calculations!P$1,'2018_commission_structure'!$A$11:$I$11,0)),0)</f>
        <v>18750</v>
      </c>
      <c r="Q12" s="7">
        <f>IF($H12&gt;J12,MIN($H12-J12,K12-J12)*INDEX('2018_commission_structure'!$A$11:$I$14,MATCH(Calculations!$E12,'2018_commission_structure'!$A$11:$A$14,0), MATCH(Calculations!Q$1,'2018_commission_structure'!$A$11:$I$11,0)),0)</f>
        <v>12290.4</v>
      </c>
      <c r="R12" s="7">
        <f>IF($H12&gt;K12,MIN($H12-K12,L12-K12)*INDEX('2018_commission_structure'!$A$11:$I$14,MATCH(Calculations!$E12,'2018_commission_structure'!$A$11:$A$14,0), MATCH(Calculations!R$1,'2018_commission_structure'!$A$11:$I$11,0)),0)</f>
        <v>0</v>
      </c>
      <c r="S12" s="7">
        <f>IF(H12&gt;L12,(H12-L12)*INDEX('2018_commission_structure'!$A$11:$I$14,MATCH(Calculations!$E12,'2018_commission_structure'!$A$11:$A$14,0),MATCH(Calculations!S$1,'2018_commission_structure'!$A$11:$I$11,0)),0)</f>
        <v>0</v>
      </c>
      <c r="T12" s="7">
        <f t="shared" si="5"/>
        <v>81040.399999999994</v>
      </c>
      <c r="U12" s="7">
        <f t="shared" si="6"/>
        <v>121820.4</v>
      </c>
      <c r="V12" s="7">
        <f>MIN(H12,I12)*INDEX('2018_commission_structure'!$A$5:$J$8,MATCH(Calculations!$E12,'2018_commission_structure'!$A$5:$A$8,0),MATCH(Calculations!V$1,'2018_commission_structure'!$A$5:$J$5,0))</f>
        <v>60000</v>
      </c>
      <c r="W12" s="2">
        <f>IF($H12&gt;I12,MIN($H12-I12,J12-I12)*INDEX('2018_commission_structure'!$A$5:$J$8,MATCH(Calculations!$E12,'2018_commission_structure'!$A$5:$A$8,0),MATCH(Calculations!W$1,'2018_commission_structure'!$A$5:$J$5,0)),0)</f>
        <v>21250</v>
      </c>
      <c r="X12" s="2">
        <f>IF($H12&gt;J12,MIN($H12-J12,K12-J12)*INDEX('2018_commission_structure'!$A$5:$J$8,MATCH(Calculations!$E12,'2018_commission_structure'!$A$5:$A$8,0),MATCH(Calculations!X$1,'2018_commission_structure'!$A$5:$J$5,0)),0)</f>
        <v>13656</v>
      </c>
      <c r="Y12" s="2">
        <f>IF($H12&gt;K12,MIN($H12-K12,L12-K12)*INDEX('2018_commission_structure'!$A$5:$J$8,MATCH(Calculations!$E12,'2018_commission_structure'!$A$5:$A$8,0),MATCH(Calculations!Y$1,'2018_commission_structure'!$A$5:$J$5,0)),0)</f>
        <v>0</v>
      </c>
      <c r="Z12" s="2">
        <f xml:space="preserve"> IF(H12&gt;L12,(H12-L12)*INDEX('2018_commission_structure'!$A$11:$I$14,MATCH(Calculations!$E12,'2018_commission_structure'!$A$11:$A$14,0),MATCH(Calculations!Z$1,'2018_commission_structure'!$A$11:$I$11,0)),0)</f>
        <v>0</v>
      </c>
      <c r="AA12" s="7">
        <f t="shared" si="7"/>
        <v>94906</v>
      </c>
      <c r="AB12" s="7">
        <f t="shared" si="8"/>
        <v>135686</v>
      </c>
    </row>
    <row r="13" spans="1:28" x14ac:dyDescent="0.25">
      <c r="A13">
        <v>8911781207</v>
      </c>
      <c r="B13" t="s">
        <v>1199</v>
      </c>
      <c r="C13" t="s">
        <v>1200</v>
      </c>
      <c r="D13" t="str">
        <f>B13&amp;" "&amp;C13</f>
        <v>Webster Akerman</v>
      </c>
      <c r="E13" t="s">
        <v>29</v>
      </c>
      <c r="F13">
        <v>54392</v>
      </c>
      <c r="G13">
        <f>COUNTIF(deals_closed!D:D,Calculations!A13)</f>
        <v>20</v>
      </c>
      <c r="H13" s="2">
        <f>SUMIF(deals_closed!D:D,Calculations!A13,deals_closed!C:C)</f>
        <v>601807</v>
      </c>
      <c r="I13" s="2">
        <f>VLOOKUP(E13,'2018_commission_structure'!$A$11:$I$14,9,FALSE)</f>
        <v>600000</v>
      </c>
      <c r="J13" s="2">
        <f t="shared" si="0"/>
        <v>750000</v>
      </c>
      <c r="K13" s="2">
        <f t="shared" si="1"/>
        <v>900000</v>
      </c>
      <c r="L13" s="2">
        <f t="shared" si="2"/>
        <v>1200000</v>
      </c>
      <c r="M13" s="6">
        <f t="shared" si="3"/>
        <v>1.0030116666666666</v>
      </c>
      <c r="N13" t="str">
        <f t="shared" si="4"/>
        <v>100-125%</v>
      </c>
      <c r="O13" s="7">
        <f>MIN(I13,H13)*INDEX('2018_commission_structure'!$A$11:$I$14,MATCH(Calculations!$E13,'2018_commission_structure'!$A$11:$A$14,0),MATCH(Calculations!O$1,'2018_commission_structure'!$A$11:$I$11,0))</f>
        <v>78000</v>
      </c>
      <c r="P13" s="7">
        <f>IF($H13&gt;I13,MIN($H13-I13,J13-I13)*INDEX('2018_commission_structure'!$A$11:$I$14,MATCH(Calculations!$E13,'2018_commission_structure'!$A$11:$A$14,0), MATCH(Calculations!P$1,'2018_commission_structure'!$A$11:$I$11,0)),0)</f>
        <v>307.19</v>
      </c>
      <c r="Q13" s="7">
        <f>IF($H13&gt;J13,MIN($H13-J13,K13-J13)*INDEX('2018_commission_structure'!$A$11:$I$14,MATCH(Calculations!$E13,'2018_commission_structure'!$A$11:$A$14,0), MATCH(Calculations!Q$1,'2018_commission_structure'!$A$11:$I$11,0)),0)</f>
        <v>0</v>
      </c>
      <c r="R13" s="7">
        <f>IF($H13&gt;K13,MIN($H13-K13,L13-K13)*INDEX('2018_commission_structure'!$A$11:$I$14,MATCH(Calculations!$E13,'2018_commission_structure'!$A$11:$A$14,0), MATCH(Calculations!R$1,'2018_commission_structure'!$A$11:$I$11,0)),0)</f>
        <v>0</v>
      </c>
      <c r="S13" s="7">
        <f>IF(H13&gt;L13,(H13-L13)*INDEX('2018_commission_structure'!$A$11:$I$14,MATCH(Calculations!$E13,'2018_commission_structure'!$A$11:$A$14,0),MATCH(Calculations!S$1,'2018_commission_structure'!$A$11:$I$11,0)),0)</f>
        <v>0</v>
      </c>
      <c r="T13" s="7">
        <f t="shared" si="5"/>
        <v>78307.19</v>
      </c>
      <c r="U13" s="7">
        <f t="shared" si="6"/>
        <v>132699.19</v>
      </c>
      <c r="V13" s="7">
        <f>MIN(H13,I13)*INDEX('2018_commission_structure'!$A$5:$J$8,MATCH(Calculations!$E13,'2018_commission_structure'!$A$5:$A$8,0),MATCH(Calculations!V$1,'2018_commission_structure'!$A$5:$J$5,0))</f>
        <v>90000</v>
      </c>
      <c r="W13" s="2">
        <f>IF($H13&gt;I13,MIN($H13-I13,J13-I13)*INDEX('2018_commission_structure'!$A$5:$J$8,MATCH(Calculations!$E13,'2018_commission_structure'!$A$5:$A$8,0),MATCH(Calculations!W$1,'2018_commission_structure'!$A$5:$J$5,0)),0)</f>
        <v>325.26</v>
      </c>
      <c r="X13" s="2">
        <f>IF($H13&gt;J13,MIN($H13-J13,K13-J13)*INDEX('2018_commission_structure'!$A$5:$J$8,MATCH(Calculations!$E13,'2018_commission_structure'!$A$5:$A$8,0),MATCH(Calculations!X$1,'2018_commission_structure'!$A$5:$J$5,0)),0)</f>
        <v>0</v>
      </c>
      <c r="Y13" s="2">
        <f>IF($H13&gt;K13,MIN($H13-K13,L13-K13)*INDEX('2018_commission_structure'!$A$5:$J$8,MATCH(Calculations!$E13,'2018_commission_structure'!$A$5:$A$8,0),MATCH(Calculations!Y$1,'2018_commission_structure'!$A$5:$J$5,0)),0)</f>
        <v>0</v>
      </c>
      <c r="Z13" s="2">
        <f xml:space="preserve"> IF(H13&gt;L13,(H13-L13)*INDEX('2018_commission_structure'!$A$11:$I$14,MATCH(Calculations!$E13,'2018_commission_structure'!$A$11:$A$14,0),MATCH(Calculations!Z$1,'2018_commission_structure'!$A$11:$I$11,0)),0)</f>
        <v>0</v>
      </c>
      <c r="AA13" s="7">
        <f t="shared" si="7"/>
        <v>90325.26</v>
      </c>
      <c r="AB13" s="7">
        <f t="shared" si="8"/>
        <v>144717.26</v>
      </c>
    </row>
    <row r="14" spans="1:28" x14ac:dyDescent="0.25">
      <c r="A14">
        <v>813371287</v>
      </c>
      <c r="B14" t="s">
        <v>438</v>
      </c>
      <c r="C14" t="s">
        <v>439</v>
      </c>
      <c r="D14" t="str">
        <f>B14&amp;" "&amp;C14</f>
        <v>Damon Albisser</v>
      </c>
      <c r="E14" t="s">
        <v>7</v>
      </c>
      <c r="F14">
        <v>55320</v>
      </c>
      <c r="G14">
        <f>COUNTIF(deals_closed!D:D,Calculations!A14)</f>
        <v>19</v>
      </c>
      <c r="H14" s="2">
        <f>SUMIF(deals_closed!D:D,Calculations!A14,deals_closed!C:C)</f>
        <v>563960</v>
      </c>
      <c r="I14" s="2">
        <f>VLOOKUP(E14,'2018_commission_structure'!$A$11:$I$14,9,FALSE)</f>
        <v>500000</v>
      </c>
      <c r="J14" s="2">
        <f t="shared" si="0"/>
        <v>625000</v>
      </c>
      <c r="K14" s="2">
        <f t="shared" si="1"/>
        <v>750000</v>
      </c>
      <c r="L14" s="2">
        <f t="shared" si="2"/>
        <v>1000000</v>
      </c>
      <c r="M14" s="6">
        <f t="shared" si="3"/>
        <v>1.12792</v>
      </c>
      <c r="N14" t="str">
        <f t="shared" si="4"/>
        <v>100-125%</v>
      </c>
      <c r="O14" s="7">
        <f>MIN(I14,H14)*INDEX('2018_commission_structure'!$A$11:$I$14,MATCH(Calculations!$E14,'2018_commission_structure'!$A$11:$A$14,0),MATCH(Calculations!O$1,'2018_commission_structure'!$A$11:$I$11,0))</f>
        <v>50000</v>
      </c>
      <c r="P14" s="7">
        <f>IF($H14&gt;I14,MIN($H14-I14,J14-I14)*INDEX('2018_commission_structure'!$A$11:$I$14,MATCH(Calculations!$E14,'2018_commission_structure'!$A$11:$A$14,0), MATCH(Calculations!P$1,'2018_commission_structure'!$A$11:$I$11,0)),0)</f>
        <v>9594</v>
      </c>
      <c r="Q14" s="7">
        <f>IF($H14&gt;J14,MIN($H14-J14,K14-J14)*INDEX('2018_commission_structure'!$A$11:$I$14,MATCH(Calculations!$E14,'2018_commission_structure'!$A$11:$A$14,0), MATCH(Calculations!Q$1,'2018_commission_structure'!$A$11:$I$11,0)),0)</f>
        <v>0</v>
      </c>
      <c r="R14" s="7">
        <f>IF($H14&gt;K14,MIN($H14-K14,L14-K14)*INDEX('2018_commission_structure'!$A$11:$I$14,MATCH(Calculations!$E14,'2018_commission_structure'!$A$11:$A$14,0), MATCH(Calculations!R$1,'2018_commission_structure'!$A$11:$I$11,0)),0)</f>
        <v>0</v>
      </c>
      <c r="S14" s="7">
        <f>IF(H14&gt;L14,(H14-L14)*INDEX('2018_commission_structure'!$A$11:$I$14,MATCH(Calculations!$E14,'2018_commission_structure'!$A$11:$A$14,0),MATCH(Calculations!S$1,'2018_commission_structure'!$A$11:$I$11,0)),0)</f>
        <v>0</v>
      </c>
      <c r="T14" s="7">
        <f t="shared" si="5"/>
        <v>59594</v>
      </c>
      <c r="U14" s="7">
        <f t="shared" si="6"/>
        <v>114914</v>
      </c>
      <c r="V14" s="7">
        <f>MIN(H14,I14)*INDEX('2018_commission_structure'!$A$5:$J$8,MATCH(Calculations!$E14,'2018_commission_structure'!$A$5:$A$8,0),MATCH(Calculations!V$1,'2018_commission_structure'!$A$5:$J$5,0))</f>
        <v>60000</v>
      </c>
      <c r="W14" s="2">
        <f>IF($H14&gt;I14,MIN($H14-I14,J14-I14)*INDEX('2018_commission_structure'!$A$5:$J$8,MATCH(Calculations!$E14,'2018_commission_structure'!$A$5:$A$8,0),MATCH(Calculations!W$1,'2018_commission_structure'!$A$5:$J$5,0)),0)</f>
        <v>10873.2</v>
      </c>
      <c r="X14" s="2">
        <f>IF($H14&gt;J14,MIN($H14-J14,K14-J14)*INDEX('2018_commission_structure'!$A$5:$J$8,MATCH(Calculations!$E14,'2018_commission_structure'!$A$5:$A$8,0),MATCH(Calculations!X$1,'2018_commission_structure'!$A$5:$J$5,0)),0)</f>
        <v>0</v>
      </c>
      <c r="Y14" s="2">
        <f>IF($H14&gt;K14,MIN($H14-K14,L14-K14)*INDEX('2018_commission_structure'!$A$5:$J$8,MATCH(Calculations!$E14,'2018_commission_structure'!$A$5:$A$8,0),MATCH(Calculations!Y$1,'2018_commission_structure'!$A$5:$J$5,0)),0)</f>
        <v>0</v>
      </c>
      <c r="Z14" s="2">
        <f xml:space="preserve"> IF(H14&gt;L14,(H14-L14)*INDEX('2018_commission_structure'!$A$11:$I$14,MATCH(Calculations!$E14,'2018_commission_structure'!$A$11:$A$14,0),MATCH(Calculations!Z$1,'2018_commission_structure'!$A$11:$I$11,0)),0)</f>
        <v>0</v>
      </c>
      <c r="AA14" s="7">
        <f t="shared" si="7"/>
        <v>70873.2</v>
      </c>
      <c r="AB14" s="7">
        <f t="shared" si="8"/>
        <v>126193.2</v>
      </c>
    </row>
    <row r="15" spans="1:28" x14ac:dyDescent="0.25">
      <c r="A15">
        <v>4862005330</v>
      </c>
      <c r="B15" t="s">
        <v>1306</v>
      </c>
      <c r="C15" t="s">
        <v>1307</v>
      </c>
      <c r="D15" t="str">
        <f>B15&amp;" "&amp;C15</f>
        <v>Fulvia Aldie</v>
      </c>
      <c r="E15" t="s">
        <v>10</v>
      </c>
      <c r="F15">
        <v>85270</v>
      </c>
      <c r="G15">
        <f>COUNTIF(deals_closed!D:D,Calculations!A15)</f>
        <v>27</v>
      </c>
      <c r="H15" s="2">
        <f>SUMIF(deals_closed!D:D,Calculations!A15,deals_closed!C:C)</f>
        <v>909707</v>
      </c>
      <c r="I15" s="2">
        <f>VLOOKUP(E15,'2018_commission_structure'!$A$11:$I$14,9,FALSE)</f>
        <v>750000</v>
      </c>
      <c r="J15" s="2">
        <f t="shared" si="0"/>
        <v>937500</v>
      </c>
      <c r="K15" s="2">
        <f t="shared" si="1"/>
        <v>1125000</v>
      </c>
      <c r="L15" s="2">
        <f t="shared" si="2"/>
        <v>1500000</v>
      </c>
      <c r="M15" s="6">
        <f t="shared" si="3"/>
        <v>1.2129426666666667</v>
      </c>
      <c r="N15" t="str">
        <f t="shared" si="4"/>
        <v>100-125%</v>
      </c>
      <c r="O15" s="7">
        <f>MIN(I15,H15)*INDEX('2018_commission_structure'!$A$11:$I$14,MATCH(Calculations!$E15,'2018_commission_structure'!$A$11:$A$14,0),MATCH(Calculations!O$1,'2018_commission_structure'!$A$11:$I$11,0))</f>
        <v>112500</v>
      </c>
      <c r="P15" s="7">
        <f>IF($H15&gt;I15,MIN($H15-I15,J15-I15)*INDEX('2018_commission_structure'!$A$11:$I$14,MATCH(Calculations!$E15,'2018_commission_structure'!$A$11:$A$14,0), MATCH(Calculations!P$1,'2018_commission_structure'!$A$11:$I$11,0)),0)</f>
        <v>30344.33</v>
      </c>
      <c r="Q15" s="7">
        <f>IF($H15&gt;J15,MIN($H15-J15,K15-J15)*INDEX('2018_commission_structure'!$A$11:$I$14,MATCH(Calculations!$E15,'2018_commission_structure'!$A$11:$A$14,0), MATCH(Calculations!Q$1,'2018_commission_structure'!$A$11:$I$11,0)),0)</f>
        <v>0</v>
      </c>
      <c r="R15" s="7">
        <f>IF($H15&gt;K15,MIN($H15-K15,L15-K15)*INDEX('2018_commission_structure'!$A$11:$I$14,MATCH(Calculations!$E15,'2018_commission_structure'!$A$11:$A$14,0), MATCH(Calculations!R$1,'2018_commission_structure'!$A$11:$I$11,0)),0)</f>
        <v>0</v>
      </c>
      <c r="S15" s="7">
        <f>IF(H15&gt;L15,(H15-L15)*INDEX('2018_commission_structure'!$A$11:$I$14,MATCH(Calculations!$E15,'2018_commission_structure'!$A$11:$A$14,0),MATCH(Calculations!S$1,'2018_commission_structure'!$A$11:$I$11,0)),0)</f>
        <v>0</v>
      </c>
      <c r="T15" s="7">
        <f t="shared" si="5"/>
        <v>142844.33000000002</v>
      </c>
      <c r="U15" s="7">
        <f t="shared" si="6"/>
        <v>228114.33000000002</v>
      </c>
      <c r="V15" s="7">
        <f>MIN(H15,I15)*INDEX('2018_commission_structure'!$A$5:$J$8,MATCH(Calculations!$E15,'2018_commission_structure'!$A$5:$A$8,0),MATCH(Calculations!V$1,'2018_commission_structure'!$A$5:$J$5,0))</f>
        <v>112500</v>
      </c>
      <c r="W15" s="2">
        <f>IF($H15&gt;I15,MIN($H15-I15,J15-I15)*INDEX('2018_commission_structure'!$A$5:$J$8,MATCH(Calculations!$E15,'2018_commission_structure'!$A$5:$A$8,0),MATCH(Calculations!W$1,'2018_commission_structure'!$A$5:$J$5,0)),0)</f>
        <v>35135.54</v>
      </c>
      <c r="X15" s="2">
        <f>IF($H15&gt;J15,MIN($H15-J15,K15-J15)*INDEX('2018_commission_structure'!$A$5:$J$8,MATCH(Calculations!$E15,'2018_commission_structure'!$A$5:$A$8,0),MATCH(Calculations!X$1,'2018_commission_structure'!$A$5:$J$5,0)),0)</f>
        <v>0</v>
      </c>
      <c r="Y15" s="2">
        <f>IF($H15&gt;K15,MIN($H15-K15,L15-K15)*INDEX('2018_commission_structure'!$A$5:$J$8,MATCH(Calculations!$E15,'2018_commission_structure'!$A$5:$A$8,0),MATCH(Calculations!Y$1,'2018_commission_structure'!$A$5:$J$5,0)),0)</f>
        <v>0</v>
      </c>
      <c r="Z15" s="2">
        <f xml:space="preserve"> IF(H15&gt;L15,(H15-L15)*INDEX('2018_commission_structure'!$A$11:$I$14,MATCH(Calculations!$E15,'2018_commission_structure'!$A$11:$A$14,0),MATCH(Calculations!Z$1,'2018_commission_structure'!$A$11:$I$11,0)),0)</f>
        <v>0</v>
      </c>
      <c r="AA15" s="7">
        <f t="shared" si="7"/>
        <v>147635.54</v>
      </c>
      <c r="AB15" s="7">
        <f t="shared" si="8"/>
        <v>232905.54</v>
      </c>
    </row>
    <row r="16" spans="1:28" x14ac:dyDescent="0.25">
      <c r="A16">
        <v>4548725172</v>
      </c>
      <c r="B16" t="s">
        <v>743</v>
      </c>
      <c r="C16" t="s">
        <v>823</v>
      </c>
      <c r="D16" t="str">
        <f>B16&amp;" "&amp;C16</f>
        <v>Nikolaus Aldwich</v>
      </c>
      <c r="E16" t="s">
        <v>10</v>
      </c>
      <c r="F16">
        <v>97537</v>
      </c>
      <c r="G16">
        <f>COUNTIF(deals_closed!D:D,Calculations!A16)</f>
        <v>20</v>
      </c>
      <c r="H16" s="2">
        <f>SUMIF(deals_closed!D:D,Calculations!A16,deals_closed!C:C)</f>
        <v>710072</v>
      </c>
      <c r="I16" s="2">
        <f>VLOOKUP(E16,'2018_commission_structure'!$A$11:$I$14,9,FALSE)</f>
        <v>750000</v>
      </c>
      <c r="J16" s="2">
        <f t="shared" si="0"/>
        <v>937500</v>
      </c>
      <c r="K16" s="2">
        <f t="shared" si="1"/>
        <v>1125000</v>
      </c>
      <c r="L16" s="2">
        <f t="shared" si="2"/>
        <v>1500000</v>
      </c>
      <c r="M16" s="6">
        <f t="shared" si="3"/>
        <v>0.94676266666666664</v>
      </c>
      <c r="N16" t="str">
        <f t="shared" si="4"/>
        <v>0-100%</v>
      </c>
      <c r="O16" s="7">
        <f>MIN(I16,H16)*INDEX('2018_commission_structure'!$A$11:$I$14,MATCH(Calculations!$E16,'2018_commission_structure'!$A$11:$A$14,0),MATCH(Calculations!O$1,'2018_commission_structure'!$A$11:$I$11,0))</f>
        <v>106510.8</v>
      </c>
      <c r="P16" s="7">
        <f>IF($H16&gt;I16,MIN($H16-I16,J16-I16)*INDEX('2018_commission_structure'!$A$11:$I$14,MATCH(Calculations!$E16,'2018_commission_structure'!$A$11:$A$14,0), MATCH(Calculations!P$1,'2018_commission_structure'!$A$11:$I$11,0)),0)</f>
        <v>0</v>
      </c>
      <c r="Q16" s="7">
        <f>IF($H16&gt;J16,MIN($H16-J16,K16-J16)*INDEX('2018_commission_structure'!$A$11:$I$14,MATCH(Calculations!$E16,'2018_commission_structure'!$A$11:$A$14,0), MATCH(Calculations!Q$1,'2018_commission_structure'!$A$11:$I$11,0)),0)</f>
        <v>0</v>
      </c>
      <c r="R16" s="7">
        <f>IF($H16&gt;K16,MIN($H16-K16,L16-K16)*INDEX('2018_commission_structure'!$A$11:$I$14,MATCH(Calculations!$E16,'2018_commission_structure'!$A$11:$A$14,0), MATCH(Calculations!R$1,'2018_commission_structure'!$A$11:$I$11,0)),0)</f>
        <v>0</v>
      </c>
      <c r="S16" s="7">
        <f>IF(H16&gt;L16,(H16-L16)*INDEX('2018_commission_structure'!$A$11:$I$14,MATCH(Calculations!$E16,'2018_commission_structure'!$A$11:$A$14,0),MATCH(Calculations!S$1,'2018_commission_structure'!$A$11:$I$11,0)),0)</f>
        <v>0</v>
      </c>
      <c r="T16" s="7">
        <f t="shared" si="5"/>
        <v>106510.8</v>
      </c>
      <c r="U16" s="7">
        <f t="shared" si="6"/>
        <v>204047.8</v>
      </c>
      <c r="V16" s="7">
        <f>MIN(H16,I16)*INDEX('2018_commission_structure'!$A$5:$J$8,MATCH(Calculations!$E16,'2018_commission_structure'!$A$5:$A$8,0),MATCH(Calculations!V$1,'2018_commission_structure'!$A$5:$J$5,0))</f>
        <v>106510.8</v>
      </c>
      <c r="W16" s="2">
        <f>IF($H16&gt;I16,MIN($H16-I16,J16-I16)*INDEX('2018_commission_structure'!$A$5:$J$8,MATCH(Calculations!$E16,'2018_commission_structure'!$A$5:$A$8,0),MATCH(Calculations!W$1,'2018_commission_structure'!$A$5:$J$5,0)),0)</f>
        <v>0</v>
      </c>
      <c r="X16" s="2">
        <f>IF($H16&gt;J16,MIN($H16-J16,K16-J16)*INDEX('2018_commission_structure'!$A$5:$J$8,MATCH(Calculations!$E16,'2018_commission_structure'!$A$5:$A$8,0),MATCH(Calculations!X$1,'2018_commission_structure'!$A$5:$J$5,0)),0)</f>
        <v>0</v>
      </c>
      <c r="Y16" s="2">
        <f>IF($H16&gt;K16,MIN($H16-K16,L16-K16)*INDEX('2018_commission_structure'!$A$5:$J$8,MATCH(Calculations!$E16,'2018_commission_structure'!$A$5:$A$8,0),MATCH(Calculations!Y$1,'2018_commission_structure'!$A$5:$J$5,0)),0)</f>
        <v>0</v>
      </c>
      <c r="Z16" s="2">
        <f xml:space="preserve"> IF(H16&gt;L16,(H16-L16)*INDEX('2018_commission_structure'!$A$11:$I$14,MATCH(Calculations!$E16,'2018_commission_structure'!$A$11:$A$14,0),MATCH(Calculations!Z$1,'2018_commission_structure'!$A$11:$I$11,0)),0)</f>
        <v>0</v>
      </c>
      <c r="AA16" s="7">
        <f t="shared" si="7"/>
        <v>106510.8</v>
      </c>
      <c r="AB16" s="7">
        <f t="shared" si="8"/>
        <v>204047.8</v>
      </c>
    </row>
    <row r="17" spans="1:28" x14ac:dyDescent="0.25">
      <c r="A17">
        <v>5117202538</v>
      </c>
      <c r="B17" t="s">
        <v>1647</v>
      </c>
      <c r="C17" t="s">
        <v>1648</v>
      </c>
      <c r="D17" t="str">
        <f>B17&amp;" "&amp;C17</f>
        <v>Wini Allenson</v>
      </c>
      <c r="E17" t="s">
        <v>7</v>
      </c>
      <c r="F17">
        <v>35279</v>
      </c>
      <c r="G17">
        <f>COUNTIF(deals_closed!D:D,Calculations!A17)</f>
        <v>21</v>
      </c>
      <c r="H17" s="2">
        <f>SUMIF(deals_closed!D:D,Calculations!A17,deals_closed!C:C)</f>
        <v>639491</v>
      </c>
      <c r="I17" s="2">
        <f>VLOOKUP(E17,'2018_commission_structure'!$A$11:$I$14,9,FALSE)</f>
        <v>500000</v>
      </c>
      <c r="J17" s="2">
        <f t="shared" si="0"/>
        <v>625000</v>
      </c>
      <c r="K17" s="2">
        <f t="shared" si="1"/>
        <v>750000</v>
      </c>
      <c r="L17" s="2">
        <f t="shared" si="2"/>
        <v>1000000</v>
      </c>
      <c r="M17" s="6">
        <f t="shared" si="3"/>
        <v>1.2789820000000001</v>
      </c>
      <c r="N17" t="str">
        <f t="shared" si="4"/>
        <v>125-150%</v>
      </c>
      <c r="O17" s="7">
        <f>MIN(I17,H17)*INDEX('2018_commission_structure'!$A$11:$I$14,MATCH(Calculations!$E17,'2018_commission_structure'!$A$11:$A$14,0),MATCH(Calculations!O$1,'2018_commission_structure'!$A$11:$I$11,0))</f>
        <v>50000</v>
      </c>
      <c r="P17" s="7">
        <f>IF($H17&gt;I17,MIN($H17-I17,J17-I17)*INDEX('2018_commission_structure'!$A$11:$I$14,MATCH(Calculations!$E17,'2018_commission_structure'!$A$11:$A$14,0), MATCH(Calculations!P$1,'2018_commission_structure'!$A$11:$I$11,0)),0)</f>
        <v>18750</v>
      </c>
      <c r="Q17" s="7">
        <f>IF($H17&gt;J17,MIN($H17-J17,K17-J17)*INDEX('2018_commission_structure'!$A$11:$I$14,MATCH(Calculations!$E17,'2018_commission_structure'!$A$11:$A$14,0), MATCH(Calculations!Q$1,'2018_commission_structure'!$A$11:$I$11,0)),0)</f>
        <v>2608.38</v>
      </c>
      <c r="R17" s="7">
        <f>IF($H17&gt;K17,MIN($H17-K17,L17-K17)*INDEX('2018_commission_structure'!$A$11:$I$14,MATCH(Calculations!$E17,'2018_commission_structure'!$A$11:$A$14,0), MATCH(Calculations!R$1,'2018_commission_structure'!$A$11:$I$11,0)),0)</f>
        <v>0</v>
      </c>
      <c r="S17" s="7">
        <f>IF(H17&gt;L17,(H17-L17)*INDEX('2018_commission_structure'!$A$11:$I$14,MATCH(Calculations!$E17,'2018_commission_structure'!$A$11:$A$14,0),MATCH(Calculations!S$1,'2018_commission_structure'!$A$11:$I$11,0)),0)</f>
        <v>0</v>
      </c>
      <c r="T17" s="7">
        <f t="shared" si="5"/>
        <v>71358.38</v>
      </c>
      <c r="U17" s="7">
        <f t="shared" si="6"/>
        <v>106637.38</v>
      </c>
      <c r="V17" s="7">
        <f>MIN(H17,I17)*INDEX('2018_commission_structure'!$A$5:$J$8,MATCH(Calculations!$E17,'2018_commission_structure'!$A$5:$A$8,0),MATCH(Calculations!V$1,'2018_commission_structure'!$A$5:$J$5,0))</f>
        <v>60000</v>
      </c>
      <c r="W17" s="2">
        <f>IF($H17&gt;I17,MIN($H17-I17,J17-I17)*INDEX('2018_commission_structure'!$A$5:$J$8,MATCH(Calculations!$E17,'2018_commission_structure'!$A$5:$A$8,0),MATCH(Calculations!W$1,'2018_commission_structure'!$A$5:$J$5,0)),0)</f>
        <v>21250</v>
      </c>
      <c r="X17" s="2">
        <f>IF($H17&gt;J17,MIN($H17-J17,K17-J17)*INDEX('2018_commission_structure'!$A$5:$J$8,MATCH(Calculations!$E17,'2018_commission_structure'!$A$5:$A$8,0),MATCH(Calculations!X$1,'2018_commission_structure'!$A$5:$J$5,0)),0)</f>
        <v>2898.2000000000003</v>
      </c>
      <c r="Y17" s="2">
        <f>IF($H17&gt;K17,MIN($H17-K17,L17-K17)*INDEX('2018_commission_structure'!$A$5:$J$8,MATCH(Calculations!$E17,'2018_commission_structure'!$A$5:$A$8,0),MATCH(Calculations!Y$1,'2018_commission_structure'!$A$5:$J$5,0)),0)</f>
        <v>0</v>
      </c>
      <c r="Z17" s="2">
        <f xml:space="preserve"> IF(H17&gt;L17,(H17-L17)*INDEX('2018_commission_structure'!$A$11:$I$14,MATCH(Calculations!$E17,'2018_commission_structure'!$A$11:$A$14,0),MATCH(Calculations!Z$1,'2018_commission_structure'!$A$11:$I$11,0)),0)</f>
        <v>0</v>
      </c>
      <c r="AA17" s="7">
        <f t="shared" si="7"/>
        <v>84148.2</v>
      </c>
      <c r="AB17" s="7">
        <f t="shared" si="8"/>
        <v>119427.2</v>
      </c>
    </row>
    <row r="18" spans="1:28" x14ac:dyDescent="0.25">
      <c r="A18">
        <v>4256220232</v>
      </c>
      <c r="B18" t="s">
        <v>1233</v>
      </c>
      <c r="C18" t="s">
        <v>1234</v>
      </c>
      <c r="D18" t="str">
        <f>B18&amp;" "&amp;C18</f>
        <v>Ollie Allsupp</v>
      </c>
      <c r="E18" t="s">
        <v>29</v>
      </c>
      <c r="F18">
        <v>63611</v>
      </c>
      <c r="G18">
        <f>COUNTIF(deals_closed!D:D,Calculations!A18)</f>
        <v>22</v>
      </c>
      <c r="H18" s="2">
        <f>SUMIF(deals_closed!D:D,Calculations!A18,deals_closed!C:C)</f>
        <v>780733</v>
      </c>
      <c r="I18" s="2">
        <f>VLOOKUP(E18,'2018_commission_structure'!$A$11:$I$14,9,FALSE)</f>
        <v>600000</v>
      </c>
      <c r="J18" s="2">
        <f t="shared" si="0"/>
        <v>750000</v>
      </c>
      <c r="K18" s="2">
        <f t="shared" si="1"/>
        <v>900000</v>
      </c>
      <c r="L18" s="2">
        <f t="shared" si="2"/>
        <v>1200000</v>
      </c>
      <c r="M18" s="6">
        <f t="shared" si="3"/>
        <v>1.3012216666666667</v>
      </c>
      <c r="N18" t="str">
        <f t="shared" si="4"/>
        <v>125-150%</v>
      </c>
      <c r="O18" s="7">
        <f>MIN(I18,H18)*INDEX('2018_commission_structure'!$A$11:$I$14,MATCH(Calculations!$E18,'2018_commission_structure'!$A$11:$A$14,0),MATCH(Calculations!O$1,'2018_commission_structure'!$A$11:$I$11,0))</f>
        <v>78000</v>
      </c>
      <c r="P18" s="7">
        <f>IF($H18&gt;I18,MIN($H18-I18,J18-I18)*INDEX('2018_commission_structure'!$A$11:$I$14,MATCH(Calculations!$E18,'2018_commission_structure'!$A$11:$A$14,0), MATCH(Calculations!P$1,'2018_commission_structure'!$A$11:$I$11,0)),0)</f>
        <v>25500.000000000004</v>
      </c>
      <c r="Q18" s="7">
        <f>IF($H18&gt;J18,MIN($H18-J18,K18-J18)*INDEX('2018_commission_structure'!$A$11:$I$14,MATCH(Calculations!$E18,'2018_commission_structure'!$A$11:$A$14,0), MATCH(Calculations!Q$1,'2018_commission_structure'!$A$11:$I$11,0)),0)</f>
        <v>6453.9299999999994</v>
      </c>
      <c r="R18" s="7">
        <f>IF($H18&gt;K18,MIN($H18-K18,L18-K18)*INDEX('2018_commission_structure'!$A$11:$I$14,MATCH(Calculations!$E18,'2018_commission_structure'!$A$11:$A$14,0), MATCH(Calculations!R$1,'2018_commission_structure'!$A$11:$I$11,0)),0)</f>
        <v>0</v>
      </c>
      <c r="S18" s="7">
        <f>IF(H18&gt;L18,(H18-L18)*INDEX('2018_commission_structure'!$A$11:$I$14,MATCH(Calculations!$E18,'2018_commission_structure'!$A$11:$A$14,0),MATCH(Calculations!S$1,'2018_commission_structure'!$A$11:$I$11,0)),0)</f>
        <v>0</v>
      </c>
      <c r="T18" s="7">
        <f t="shared" si="5"/>
        <v>109953.93</v>
      </c>
      <c r="U18" s="7">
        <f t="shared" si="6"/>
        <v>173564.93</v>
      </c>
      <c r="V18" s="7">
        <f>MIN(H18,I18)*INDEX('2018_commission_structure'!$A$5:$J$8,MATCH(Calculations!$E18,'2018_commission_structure'!$A$5:$A$8,0),MATCH(Calculations!V$1,'2018_commission_structure'!$A$5:$J$5,0))</f>
        <v>90000</v>
      </c>
      <c r="W18" s="2">
        <f>IF($H18&gt;I18,MIN($H18-I18,J18-I18)*INDEX('2018_commission_structure'!$A$5:$J$8,MATCH(Calculations!$E18,'2018_commission_structure'!$A$5:$A$8,0),MATCH(Calculations!W$1,'2018_commission_structure'!$A$5:$J$5,0)),0)</f>
        <v>27000</v>
      </c>
      <c r="X18" s="2">
        <f>IF($H18&gt;J18,MIN($H18-J18,K18-J18)*INDEX('2018_commission_structure'!$A$5:$J$8,MATCH(Calculations!$E18,'2018_commission_structure'!$A$5:$A$8,0),MATCH(Calculations!X$1,'2018_commission_structure'!$A$5:$J$5,0)),0)</f>
        <v>7683.25</v>
      </c>
      <c r="Y18" s="2">
        <f>IF($H18&gt;K18,MIN($H18-K18,L18-K18)*INDEX('2018_commission_structure'!$A$5:$J$8,MATCH(Calculations!$E18,'2018_commission_structure'!$A$5:$A$8,0),MATCH(Calculations!Y$1,'2018_commission_structure'!$A$5:$J$5,0)),0)</f>
        <v>0</v>
      </c>
      <c r="Z18" s="2">
        <f xml:space="preserve"> IF(H18&gt;L18,(H18-L18)*INDEX('2018_commission_structure'!$A$11:$I$14,MATCH(Calculations!$E18,'2018_commission_structure'!$A$11:$A$14,0),MATCH(Calculations!Z$1,'2018_commission_structure'!$A$11:$I$11,0)),0)</f>
        <v>0</v>
      </c>
      <c r="AA18" s="7">
        <f t="shared" si="7"/>
        <v>124683.25</v>
      </c>
      <c r="AB18" s="7">
        <f t="shared" si="8"/>
        <v>188294.25</v>
      </c>
    </row>
    <row r="19" spans="1:28" x14ac:dyDescent="0.25">
      <c r="A19">
        <v>5460394635</v>
      </c>
      <c r="B19" t="s">
        <v>1772</v>
      </c>
      <c r="C19" t="s">
        <v>1773</v>
      </c>
      <c r="D19" t="str">
        <f>B19&amp;" "&amp;C19</f>
        <v>Edith Altree</v>
      </c>
      <c r="E19" t="s">
        <v>10</v>
      </c>
      <c r="F19">
        <v>82153</v>
      </c>
      <c r="G19">
        <f>COUNTIF(deals_closed!D:D,Calculations!A19)</f>
        <v>17</v>
      </c>
      <c r="H19" s="2">
        <f>SUMIF(deals_closed!D:D,Calculations!A19,deals_closed!C:C)</f>
        <v>662428</v>
      </c>
      <c r="I19" s="2">
        <f>VLOOKUP(E19,'2018_commission_structure'!$A$11:$I$14,9,FALSE)</f>
        <v>750000</v>
      </c>
      <c r="J19" s="2">
        <f t="shared" si="0"/>
        <v>937500</v>
      </c>
      <c r="K19" s="2">
        <f t="shared" si="1"/>
        <v>1125000</v>
      </c>
      <c r="L19" s="2">
        <f t="shared" si="2"/>
        <v>1500000</v>
      </c>
      <c r="M19" s="6">
        <f t="shared" si="3"/>
        <v>0.88323733333333332</v>
      </c>
      <c r="N19" t="str">
        <f t="shared" si="4"/>
        <v>0-100%</v>
      </c>
      <c r="O19" s="7">
        <f>MIN(I19,H19)*INDEX('2018_commission_structure'!$A$11:$I$14,MATCH(Calculations!$E19,'2018_commission_structure'!$A$11:$A$14,0),MATCH(Calculations!O$1,'2018_commission_structure'!$A$11:$I$11,0))</f>
        <v>99364.2</v>
      </c>
      <c r="P19" s="7">
        <f>IF($H19&gt;I19,MIN($H19-I19,J19-I19)*INDEX('2018_commission_structure'!$A$11:$I$14,MATCH(Calculations!$E19,'2018_commission_structure'!$A$11:$A$14,0), MATCH(Calculations!P$1,'2018_commission_structure'!$A$11:$I$11,0)),0)</f>
        <v>0</v>
      </c>
      <c r="Q19" s="7">
        <f>IF($H19&gt;J19,MIN($H19-J19,K19-J19)*INDEX('2018_commission_structure'!$A$11:$I$14,MATCH(Calculations!$E19,'2018_commission_structure'!$A$11:$A$14,0), MATCH(Calculations!Q$1,'2018_commission_structure'!$A$11:$I$11,0)),0)</f>
        <v>0</v>
      </c>
      <c r="R19" s="7">
        <f>IF($H19&gt;K19,MIN($H19-K19,L19-K19)*INDEX('2018_commission_structure'!$A$11:$I$14,MATCH(Calculations!$E19,'2018_commission_structure'!$A$11:$A$14,0), MATCH(Calculations!R$1,'2018_commission_structure'!$A$11:$I$11,0)),0)</f>
        <v>0</v>
      </c>
      <c r="S19" s="7">
        <f>IF(H19&gt;L19,(H19-L19)*INDEX('2018_commission_structure'!$A$11:$I$14,MATCH(Calculations!$E19,'2018_commission_structure'!$A$11:$A$14,0),MATCH(Calculations!S$1,'2018_commission_structure'!$A$11:$I$11,0)),0)</f>
        <v>0</v>
      </c>
      <c r="T19" s="7">
        <f t="shared" si="5"/>
        <v>99364.2</v>
      </c>
      <c r="U19" s="7">
        <f t="shared" si="6"/>
        <v>181517.2</v>
      </c>
      <c r="V19" s="7">
        <f>MIN(H19,I19)*INDEX('2018_commission_structure'!$A$5:$J$8,MATCH(Calculations!$E19,'2018_commission_structure'!$A$5:$A$8,0),MATCH(Calculations!V$1,'2018_commission_structure'!$A$5:$J$5,0))</f>
        <v>99364.2</v>
      </c>
      <c r="W19" s="2">
        <f>IF($H19&gt;I19,MIN($H19-I19,J19-I19)*INDEX('2018_commission_structure'!$A$5:$J$8,MATCH(Calculations!$E19,'2018_commission_structure'!$A$5:$A$8,0),MATCH(Calculations!W$1,'2018_commission_structure'!$A$5:$J$5,0)),0)</f>
        <v>0</v>
      </c>
      <c r="X19" s="2">
        <f>IF($H19&gt;J19,MIN($H19-J19,K19-J19)*INDEX('2018_commission_structure'!$A$5:$J$8,MATCH(Calculations!$E19,'2018_commission_structure'!$A$5:$A$8,0),MATCH(Calculations!X$1,'2018_commission_structure'!$A$5:$J$5,0)),0)</f>
        <v>0</v>
      </c>
      <c r="Y19" s="2">
        <f>IF($H19&gt;K19,MIN($H19-K19,L19-K19)*INDEX('2018_commission_structure'!$A$5:$J$8,MATCH(Calculations!$E19,'2018_commission_structure'!$A$5:$A$8,0),MATCH(Calculations!Y$1,'2018_commission_structure'!$A$5:$J$5,0)),0)</f>
        <v>0</v>
      </c>
      <c r="Z19" s="2">
        <f xml:space="preserve"> IF(H19&gt;L19,(H19-L19)*INDEX('2018_commission_structure'!$A$11:$I$14,MATCH(Calculations!$E19,'2018_commission_structure'!$A$11:$A$14,0),MATCH(Calculations!Z$1,'2018_commission_structure'!$A$11:$I$11,0)),0)</f>
        <v>0</v>
      </c>
      <c r="AA19" s="7">
        <f t="shared" si="7"/>
        <v>99364.2</v>
      </c>
      <c r="AB19" s="7">
        <f t="shared" si="8"/>
        <v>181517.2</v>
      </c>
    </row>
    <row r="20" spans="1:28" x14ac:dyDescent="0.25">
      <c r="A20">
        <v>5153694038</v>
      </c>
      <c r="B20" t="s">
        <v>13</v>
      </c>
      <c r="C20" t="s">
        <v>14</v>
      </c>
      <c r="D20" t="str">
        <f>B20&amp;" "&amp;C20</f>
        <v>Gothart Alven</v>
      </c>
      <c r="E20" t="s">
        <v>10</v>
      </c>
      <c r="F20">
        <v>105621</v>
      </c>
      <c r="G20">
        <f>COUNTIF(deals_closed!D:D,Calculations!A20)</f>
        <v>20</v>
      </c>
      <c r="H20" s="2">
        <f>SUMIF(deals_closed!D:D,Calculations!A20,deals_closed!C:C)</f>
        <v>757866</v>
      </c>
      <c r="I20" s="2">
        <f>VLOOKUP(E20,'2018_commission_structure'!$A$11:$I$14,9,FALSE)</f>
        <v>750000</v>
      </c>
      <c r="J20" s="2">
        <f t="shared" si="0"/>
        <v>937500</v>
      </c>
      <c r="K20" s="2">
        <f t="shared" si="1"/>
        <v>1125000</v>
      </c>
      <c r="L20" s="2">
        <f t="shared" si="2"/>
        <v>1500000</v>
      </c>
      <c r="M20" s="6">
        <f t="shared" si="3"/>
        <v>1.0104880000000001</v>
      </c>
      <c r="N20" t="str">
        <f t="shared" si="4"/>
        <v>100-125%</v>
      </c>
      <c r="O20" s="7">
        <f>MIN(I20,H20)*INDEX('2018_commission_structure'!$A$11:$I$14,MATCH(Calculations!$E20,'2018_commission_structure'!$A$11:$A$14,0),MATCH(Calculations!O$1,'2018_commission_structure'!$A$11:$I$11,0))</f>
        <v>112500</v>
      </c>
      <c r="P20" s="7">
        <f>IF($H20&gt;I20,MIN($H20-I20,J20-I20)*INDEX('2018_commission_structure'!$A$11:$I$14,MATCH(Calculations!$E20,'2018_commission_structure'!$A$11:$A$14,0), MATCH(Calculations!P$1,'2018_commission_structure'!$A$11:$I$11,0)),0)</f>
        <v>1494.54</v>
      </c>
      <c r="Q20" s="7">
        <f>IF($H20&gt;J20,MIN($H20-J20,K20-J20)*INDEX('2018_commission_structure'!$A$11:$I$14,MATCH(Calculations!$E20,'2018_commission_structure'!$A$11:$A$14,0), MATCH(Calculations!Q$1,'2018_commission_structure'!$A$11:$I$11,0)),0)</f>
        <v>0</v>
      </c>
      <c r="R20" s="7">
        <f>IF($H20&gt;K20,MIN($H20-K20,L20-K20)*INDEX('2018_commission_structure'!$A$11:$I$14,MATCH(Calculations!$E20,'2018_commission_structure'!$A$11:$A$14,0), MATCH(Calculations!R$1,'2018_commission_structure'!$A$11:$I$11,0)),0)</f>
        <v>0</v>
      </c>
      <c r="S20" s="7">
        <f>IF(H20&gt;L20,(H20-L20)*INDEX('2018_commission_structure'!$A$11:$I$14,MATCH(Calculations!$E20,'2018_commission_structure'!$A$11:$A$14,0),MATCH(Calculations!S$1,'2018_commission_structure'!$A$11:$I$11,0)),0)</f>
        <v>0</v>
      </c>
      <c r="T20" s="7">
        <f t="shared" si="5"/>
        <v>113994.54</v>
      </c>
      <c r="U20" s="7">
        <f t="shared" si="6"/>
        <v>219615.53999999998</v>
      </c>
      <c r="V20" s="7">
        <f>MIN(H20,I20)*INDEX('2018_commission_structure'!$A$5:$J$8,MATCH(Calculations!$E20,'2018_commission_structure'!$A$5:$A$8,0),MATCH(Calculations!V$1,'2018_commission_structure'!$A$5:$J$5,0))</f>
        <v>112500</v>
      </c>
      <c r="W20" s="2">
        <f>IF($H20&gt;I20,MIN($H20-I20,J20-I20)*INDEX('2018_commission_structure'!$A$5:$J$8,MATCH(Calculations!$E20,'2018_commission_structure'!$A$5:$A$8,0),MATCH(Calculations!W$1,'2018_commission_structure'!$A$5:$J$5,0)),0)</f>
        <v>1730.52</v>
      </c>
      <c r="X20" s="2">
        <f>IF($H20&gt;J20,MIN($H20-J20,K20-J20)*INDEX('2018_commission_structure'!$A$5:$J$8,MATCH(Calculations!$E20,'2018_commission_structure'!$A$5:$A$8,0),MATCH(Calculations!X$1,'2018_commission_structure'!$A$5:$J$5,0)),0)</f>
        <v>0</v>
      </c>
      <c r="Y20" s="2">
        <f>IF($H20&gt;K20,MIN($H20-K20,L20-K20)*INDEX('2018_commission_structure'!$A$5:$J$8,MATCH(Calculations!$E20,'2018_commission_structure'!$A$5:$A$8,0),MATCH(Calculations!Y$1,'2018_commission_structure'!$A$5:$J$5,0)),0)</f>
        <v>0</v>
      </c>
      <c r="Z20" s="2">
        <f xml:space="preserve"> IF(H20&gt;L20,(H20-L20)*INDEX('2018_commission_structure'!$A$11:$I$14,MATCH(Calculations!$E20,'2018_commission_structure'!$A$11:$A$14,0),MATCH(Calculations!Z$1,'2018_commission_structure'!$A$11:$I$11,0)),0)</f>
        <v>0</v>
      </c>
      <c r="AA20" s="7">
        <f t="shared" si="7"/>
        <v>114230.52</v>
      </c>
      <c r="AB20" s="7">
        <f t="shared" si="8"/>
        <v>219851.52000000002</v>
      </c>
    </row>
    <row r="21" spans="1:28" x14ac:dyDescent="0.25">
      <c r="A21">
        <v>17898579</v>
      </c>
      <c r="B21" t="s">
        <v>1672</v>
      </c>
      <c r="C21" t="s">
        <v>1673</v>
      </c>
      <c r="D21" t="str">
        <f>B21&amp;" "&amp;C21</f>
        <v>Marieann Andren</v>
      </c>
      <c r="E21" t="s">
        <v>10</v>
      </c>
      <c r="F21">
        <v>104902</v>
      </c>
      <c r="G21">
        <f>COUNTIF(deals_closed!D:D,Calculations!A21)</f>
        <v>18</v>
      </c>
      <c r="H21" s="2">
        <f>SUMIF(deals_closed!D:D,Calculations!A21,deals_closed!C:C)</f>
        <v>688820</v>
      </c>
      <c r="I21" s="2">
        <f>VLOOKUP(E21,'2018_commission_structure'!$A$11:$I$14,9,FALSE)</f>
        <v>750000</v>
      </c>
      <c r="J21" s="2">
        <f t="shared" si="0"/>
        <v>937500</v>
      </c>
      <c r="K21" s="2">
        <f t="shared" si="1"/>
        <v>1125000</v>
      </c>
      <c r="L21" s="2">
        <f t="shared" si="2"/>
        <v>1500000</v>
      </c>
      <c r="M21" s="6">
        <f t="shared" si="3"/>
        <v>0.91842666666666661</v>
      </c>
      <c r="N21" t="str">
        <f t="shared" si="4"/>
        <v>0-100%</v>
      </c>
      <c r="O21" s="7">
        <f>MIN(I21,H21)*INDEX('2018_commission_structure'!$A$11:$I$14,MATCH(Calculations!$E21,'2018_commission_structure'!$A$11:$A$14,0),MATCH(Calculations!O$1,'2018_commission_structure'!$A$11:$I$11,0))</f>
        <v>103323</v>
      </c>
      <c r="P21" s="7">
        <f>IF($H21&gt;I21,MIN($H21-I21,J21-I21)*INDEX('2018_commission_structure'!$A$11:$I$14,MATCH(Calculations!$E21,'2018_commission_structure'!$A$11:$A$14,0), MATCH(Calculations!P$1,'2018_commission_structure'!$A$11:$I$11,0)),0)</f>
        <v>0</v>
      </c>
      <c r="Q21" s="7">
        <f>IF($H21&gt;J21,MIN($H21-J21,K21-J21)*INDEX('2018_commission_structure'!$A$11:$I$14,MATCH(Calculations!$E21,'2018_commission_structure'!$A$11:$A$14,0), MATCH(Calculations!Q$1,'2018_commission_structure'!$A$11:$I$11,0)),0)</f>
        <v>0</v>
      </c>
      <c r="R21" s="7">
        <f>IF($H21&gt;K21,MIN($H21-K21,L21-K21)*INDEX('2018_commission_structure'!$A$11:$I$14,MATCH(Calculations!$E21,'2018_commission_structure'!$A$11:$A$14,0), MATCH(Calculations!R$1,'2018_commission_structure'!$A$11:$I$11,0)),0)</f>
        <v>0</v>
      </c>
      <c r="S21" s="7">
        <f>IF(H21&gt;L21,(H21-L21)*INDEX('2018_commission_structure'!$A$11:$I$14,MATCH(Calculations!$E21,'2018_commission_structure'!$A$11:$A$14,0),MATCH(Calculations!S$1,'2018_commission_structure'!$A$11:$I$11,0)),0)</f>
        <v>0</v>
      </c>
      <c r="T21" s="7">
        <f t="shared" si="5"/>
        <v>103323</v>
      </c>
      <c r="U21" s="7">
        <f t="shared" si="6"/>
        <v>208225</v>
      </c>
      <c r="V21" s="7">
        <f>MIN(H21,I21)*INDEX('2018_commission_structure'!$A$5:$J$8,MATCH(Calculations!$E21,'2018_commission_structure'!$A$5:$A$8,0),MATCH(Calculations!V$1,'2018_commission_structure'!$A$5:$J$5,0))</f>
        <v>103323</v>
      </c>
      <c r="W21" s="2">
        <f>IF($H21&gt;I21,MIN($H21-I21,J21-I21)*INDEX('2018_commission_structure'!$A$5:$J$8,MATCH(Calculations!$E21,'2018_commission_structure'!$A$5:$A$8,0),MATCH(Calculations!W$1,'2018_commission_structure'!$A$5:$J$5,0)),0)</f>
        <v>0</v>
      </c>
      <c r="X21" s="2">
        <f>IF($H21&gt;J21,MIN($H21-J21,K21-J21)*INDEX('2018_commission_structure'!$A$5:$J$8,MATCH(Calculations!$E21,'2018_commission_structure'!$A$5:$A$8,0),MATCH(Calculations!X$1,'2018_commission_structure'!$A$5:$J$5,0)),0)</f>
        <v>0</v>
      </c>
      <c r="Y21" s="2">
        <f>IF($H21&gt;K21,MIN($H21-K21,L21-K21)*INDEX('2018_commission_structure'!$A$5:$J$8,MATCH(Calculations!$E21,'2018_commission_structure'!$A$5:$A$8,0),MATCH(Calculations!Y$1,'2018_commission_structure'!$A$5:$J$5,0)),0)</f>
        <v>0</v>
      </c>
      <c r="Z21" s="2">
        <f xml:space="preserve"> IF(H21&gt;L21,(H21-L21)*INDEX('2018_commission_structure'!$A$11:$I$14,MATCH(Calculations!$E21,'2018_commission_structure'!$A$11:$A$14,0),MATCH(Calculations!Z$1,'2018_commission_structure'!$A$11:$I$11,0)),0)</f>
        <v>0</v>
      </c>
      <c r="AA21" s="7">
        <f t="shared" si="7"/>
        <v>103323</v>
      </c>
      <c r="AB21" s="7">
        <f t="shared" si="8"/>
        <v>208225</v>
      </c>
    </row>
    <row r="22" spans="1:28" x14ac:dyDescent="0.25">
      <c r="A22">
        <v>9529277938</v>
      </c>
      <c r="B22" t="s">
        <v>960</v>
      </c>
      <c r="C22" t="s">
        <v>961</v>
      </c>
      <c r="D22" t="str">
        <f>B22&amp;" "&amp;C22</f>
        <v>Javier Andriolli</v>
      </c>
      <c r="E22" t="s">
        <v>10</v>
      </c>
      <c r="F22">
        <v>110731</v>
      </c>
      <c r="G22">
        <f>COUNTIF(deals_closed!D:D,Calculations!A22)</f>
        <v>23</v>
      </c>
      <c r="H22" s="2">
        <f>SUMIF(deals_closed!D:D,Calculations!A22,deals_closed!C:C)</f>
        <v>633741</v>
      </c>
      <c r="I22" s="2">
        <f>VLOOKUP(E22,'2018_commission_structure'!$A$11:$I$14,9,FALSE)</f>
        <v>750000</v>
      </c>
      <c r="J22" s="2">
        <f t="shared" si="0"/>
        <v>937500</v>
      </c>
      <c r="K22" s="2">
        <f t="shared" si="1"/>
        <v>1125000</v>
      </c>
      <c r="L22" s="2">
        <f t="shared" si="2"/>
        <v>1500000</v>
      </c>
      <c r="M22" s="6">
        <f t="shared" si="3"/>
        <v>0.84498799999999996</v>
      </c>
      <c r="N22" t="str">
        <f t="shared" si="4"/>
        <v>0-100%</v>
      </c>
      <c r="O22" s="7">
        <f>MIN(I22,H22)*INDEX('2018_commission_structure'!$A$11:$I$14,MATCH(Calculations!$E22,'2018_commission_structure'!$A$11:$A$14,0),MATCH(Calculations!O$1,'2018_commission_structure'!$A$11:$I$11,0))</f>
        <v>95061.15</v>
      </c>
      <c r="P22" s="7">
        <f>IF($H22&gt;I22,MIN($H22-I22,J22-I22)*INDEX('2018_commission_structure'!$A$11:$I$14,MATCH(Calculations!$E22,'2018_commission_structure'!$A$11:$A$14,0), MATCH(Calculations!P$1,'2018_commission_structure'!$A$11:$I$11,0)),0)</f>
        <v>0</v>
      </c>
      <c r="Q22" s="7">
        <f>IF($H22&gt;J22,MIN($H22-J22,K22-J22)*INDEX('2018_commission_structure'!$A$11:$I$14,MATCH(Calculations!$E22,'2018_commission_structure'!$A$11:$A$14,0), MATCH(Calculations!Q$1,'2018_commission_structure'!$A$11:$I$11,0)),0)</f>
        <v>0</v>
      </c>
      <c r="R22" s="7">
        <f>IF($H22&gt;K22,MIN($H22-K22,L22-K22)*INDEX('2018_commission_structure'!$A$11:$I$14,MATCH(Calculations!$E22,'2018_commission_structure'!$A$11:$A$14,0), MATCH(Calculations!R$1,'2018_commission_structure'!$A$11:$I$11,0)),0)</f>
        <v>0</v>
      </c>
      <c r="S22" s="7">
        <f>IF(H22&gt;L22,(H22-L22)*INDEX('2018_commission_structure'!$A$11:$I$14,MATCH(Calculations!$E22,'2018_commission_structure'!$A$11:$A$14,0),MATCH(Calculations!S$1,'2018_commission_structure'!$A$11:$I$11,0)),0)</f>
        <v>0</v>
      </c>
      <c r="T22" s="7">
        <f t="shared" si="5"/>
        <v>95061.15</v>
      </c>
      <c r="U22" s="7">
        <f t="shared" si="6"/>
        <v>205792.15</v>
      </c>
      <c r="V22" s="7">
        <f>MIN(H22,I22)*INDEX('2018_commission_structure'!$A$5:$J$8,MATCH(Calculations!$E22,'2018_commission_structure'!$A$5:$A$8,0),MATCH(Calculations!V$1,'2018_commission_structure'!$A$5:$J$5,0))</f>
        <v>95061.15</v>
      </c>
      <c r="W22" s="2">
        <f>IF($H22&gt;I22,MIN($H22-I22,J22-I22)*INDEX('2018_commission_structure'!$A$5:$J$8,MATCH(Calculations!$E22,'2018_commission_structure'!$A$5:$A$8,0),MATCH(Calculations!W$1,'2018_commission_structure'!$A$5:$J$5,0)),0)</f>
        <v>0</v>
      </c>
      <c r="X22" s="2">
        <f>IF($H22&gt;J22,MIN($H22-J22,K22-J22)*INDEX('2018_commission_structure'!$A$5:$J$8,MATCH(Calculations!$E22,'2018_commission_structure'!$A$5:$A$8,0),MATCH(Calculations!X$1,'2018_commission_structure'!$A$5:$J$5,0)),0)</f>
        <v>0</v>
      </c>
      <c r="Y22" s="2">
        <f>IF($H22&gt;K22,MIN($H22-K22,L22-K22)*INDEX('2018_commission_structure'!$A$5:$J$8,MATCH(Calculations!$E22,'2018_commission_structure'!$A$5:$A$8,0),MATCH(Calculations!Y$1,'2018_commission_structure'!$A$5:$J$5,0)),0)</f>
        <v>0</v>
      </c>
      <c r="Z22" s="2">
        <f xml:space="preserve"> IF(H22&gt;L22,(H22-L22)*INDEX('2018_commission_structure'!$A$11:$I$14,MATCH(Calculations!$E22,'2018_commission_structure'!$A$11:$A$14,0),MATCH(Calculations!Z$1,'2018_commission_structure'!$A$11:$I$11,0)),0)</f>
        <v>0</v>
      </c>
      <c r="AA22" s="7">
        <f t="shared" si="7"/>
        <v>95061.15</v>
      </c>
      <c r="AB22" s="7">
        <f t="shared" si="8"/>
        <v>205792.15</v>
      </c>
    </row>
    <row r="23" spans="1:28" x14ac:dyDescent="0.25">
      <c r="A23">
        <v>8387947148</v>
      </c>
      <c r="B23" t="s">
        <v>858</v>
      </c>
      <c r="C23" t="s">
        <v>859</v>
      </c>
      <c r="D23" t="str">
        <f>B23&amp;" "&amp;C23</f>
        <v>Ayn Angless</v>
      </c>
      <c r="E23" t="s">
        <v>10</v>
      </c>
      <c r="F23">
        <v>122479</v>
      </c>
      <c r="G23">
        <f>COUNTIF(deals_closed!D:D,Calculations!A23)</f>
        <v>15</v>
      </c>
      <c r="H23" s="2">
        <f>SUMIF(deals_closed!D:D,Calculations!A23,deals_closed!C:C)</f>
        <v>520983</v>
      </c>
      <c r="I23" s="2">
        <f>VLOOKUP(E23,'2018_commission_structure'!$A$11:$I$14,9,FALSE)</f>
        <v>750000</v>
      </c>
      <c r="J23" s="2">
        <f t="shared" si="0"/>
        <v>937500</v>
      </c>
      <c r="K23" s="2">
        <f t="shared" si="1"/>
        <v>1125000</v>
      </c>
      <c r="L23" s="2">
        <f t="shared" si="2"/>
        <v>1500000</v>
      </c>
      <c r="M23" s="6">
        <f t="shared" si="3"/>
        <v>0.69464400000000004</v>
      </c>
      <c r="N23" t="str">
        <f t="shared" si="4"/>
        <v>0-100%</v>
      </c>
      <c r="O23" s="7">
        <f>MIN(I23,H23)*INDEX('2018_commission_structure'!$A$11:$I$14,MATCH(Calculations!$E23,'2018_commission_structure'!$A$11:$A$14,0),MATCH(Calculations!O$1,'2018_commission_structure'!$A$11:$I$11,0))</f>
        <v>78147.45</v>
      </c>
      <c r="P23" s="7">
        <f>IF($H23&gt;I23,MIN($H23-I23,J23-I23)*INDEX('2018_commission_structure'!$A$11:$I$14,MATCH(Calculations!$E23,'2018_commission_structure'!$A$11:$A$14,0), MATCH(Calculations!P$1,'2018_commission_structure'!$A$11:$I$11,0)),0)</f>
        <v>0</v>
      </c>
      <c r="Q23" s="7">
        <f>IF($H23&gt;J23,MIN($H23-J23,K23-J23)*INDEX('2018_commission_structure'!$A$11:$I$14,MATCH(Calculations!$E23,'2018_commission_structure'!$A$11:$A$14,0), MATCH(Calculations!Q$1,'2018_commission_structure'!$A$11:$I$11,0)),0)</f>
        <v>0</v>
      </c>
      <c r="R23" s="7">
        <f>IF($H23&gt;K23,MIN($H23-K23,L23-K23)*INDEX('2018_commission_structure'!$A$11:$I$14,MATCH(Calculations!$E23,'2018_commission_structure'!$A$11:$A$14,0), MATCH(Calculations!R$1,'2018_commission_structure'!$A$11:$I$11,0)),0)</f>
        <v>0</v>
      </c>
      <c r="S23" s="7">
        <f>IF(H23&gt;L23,(H23-L23)*INDEX('2018_commission_structure'!$A$11:$I$14,MATCH(Calculations!$E23,'2018_commission_structure'!$A$11:$A$14,0),MATCH(Calculations!S$1,'2018_commission_structure'!$A$11:$I$11,0)),0)</f>
        <v>0</v>
      </c>
      <c r="T23" s="7">
        <f t="shared" si="5"/>
        <v>78147.45</v>
      </c>
      <c r="U23" s="7">
        <f t="shared" si="6"/>
        <v>200626.45</v>
      </c>
      <c r="V23" s="7">
        <f>MIN(H23,I23)*INDEX('2018_commission_structure'!$A$5:$J$8,MATCH(Calculations!$E23,'2018_commission_structure'!$A$5:$A$8,0),MATCH(Calculations!V$1,'2018_commission_structure'!$A$5:$J$5,0))</f>
        <v>78147.45</v>
      </c>
      <c r="W23" s="2">
        <f>IF($H23&gt;I23,MIN($H23-I23,J23-I23)*INDEX('2018_commission_structure'!$A$5:$J$8,MATCH(Calculations!$E23,'2018_commission_structure'!$A$5:$A$8,0),MATCH(Calculations!W$1,'2018_commission_structure'!$A$5:$J$5,0)),0)</f>
        <v>0</v>
      </c>
      <c r="X23" s="2">
        <f>IF($H23&gt;J23,MIN($H23-J23,K23-J23)*INDEX('2018_commission_structure'!$A$5:$J$8,MATCH(Calculations!$E23,'2018_commission_structure'!$A$5:$A$8,0),MATCH(Calculations!X$1,'2018_commission_structure'!$A$5:$J$5,0)),0)</f>
        <v>0</v>
      </c>
      <c r="Y23" s="2">
        <f>IF($H23&gt;K23,MIN($H23-K23,L23-K23)*INDEX('2018_commission_structure'!$A$5:$J$8,MATCH(Calculations!$E23,'2018_commission_structure'!$A$5:$A$8,0),MATCH(Calculations!Y$1,'2018_commission_structure'!$A$5:$J$5,0)),0)</f>
        <v>0</v>
      </c>
      <c r="Z23" s="2">
        <f xml:space="preserve"> IF(H23&gt;L23,(H23-L23)*INDEX('2018_commission_structure'!$A$11:$I$14,MATCH(Calculations!$E23,'2018_commission_structure'!$A$11:$A$14,0),MATCH(Calculations!Z$1,'2018_commission_structure'!$A$11:$I$11,0)),0)</f>
        <v>0</v>
      </c>
      <c r="AA23" s="7">
        <f t="shared" si="7"/>
        <v>78147.45</v>
      </c>
      <c r="AB23" s="7">
        <f t="shared" si="8"/>
        <v>200626.45</v>
      </c>
    </row>
    <row r="24" spans="1:28" x14ac:dyDescent="0.25">
      <c r="A24">
        <v>5191866150</v>
      </c>
      <c r="B24" t="s">
        <v>1060</v>
      </c>
      <c r="C24" t="s">
        <v>1061</v>
      </c>
      <c r="D24" t="str">
        <f>B24&amp;" "&amp;C24</f>
        <v>Luisa Antic</v>
      </c>
      <c r="E24" t="s">
        <v>10</v>
      </c>
      <c r="F24">
        <v>112098</v>
      </c>
      <c r="G24">
        <f>COUNTIF(deals_closed!D:D,Calculations!A24)</f>
        <v>15</v>
      </c>
      <c r="H24" s="2">
        <f>SUMIF(deals_closed!D:D,Calculations!A24,deals_closed!C:C)</f>
        <v>430513</v>
      </c>
      <c r="I24" s="2">
        <f>VLOOKUP(E24,'2018_commission_structure'!$A$11:$I$14,9,FALSE)</f>
        <v>750000</v>
      </c>
      <c r="J24" s="2">
        <f t="shared" si="0"/>
        <v>937500</v>
      </c>
      <c r="K24" s="2">
        <f t="shared" si="1"/>
        <v>1125000</v>
      </c>
      <c r="L24" s="2">
        <f t="shared" si="2"/>
        <v>1500000</v>
      </c>
      <c r="M24" s="6">
        <f t="shared" si="3"/>
        <v>0.57401733333333338</v>
      </c>
      <c r="N24" t="str">
        <f t="shared" si="4"/>
        <v>0-100%</v>
      </c>
      <c r="O24" s="7">
        <f>MIN(I24,H24)*INDEX('2018_commission_structure'!$A$11:$I$14,MATCH(Calculations!$E24,'2018_commission_structure'!$A$11:$A$14,0),MATCH(Calculations!O$1,'2018_commission_structure'!$A$11:$I$11,0))</f>
        <v>64576.95</v>
      </c>
      <c r="P24" s="7">
        <f>IF($H24&gt;I24,MIN($H24-I24,J24-I24)*INDEX('2018_commission_structure'!$A$11:$I$14,MATCH(Calculations!$E24,'2018_commission_structure'!$A$11:$A$14,0), MATCH(Calculations!P$1,'2018_commission_structure'!$A$11:$I$11,0)),0)</f>
        <v>0</v>
      </c>
      <c r="Q24" s="7">
        <f>IF($H24&gt;J24,MIN($H24-J24,K24-J24)*INDEX('2018_commission_structure'!$A$11:$I$14,MATCH(Calculations!$E24,'2018_commission_structure'!$A$11:$A$14,0), MATCH(Calculations!Q$1,'2018_commission_structure'!$A$11:$I$11,0)),0)</f>
        <v>0</v>
      </c>
      <c r="R24" s="7">
        <f>IF($H24&gt;K24,MIN($H24-K24,L24-K24)*INDEX('2018_commission_structure'!$A$11:$I$14,MATCH(Calculations!$E24,'2018_commission_structure'!$A$11:$A$14,0), MATCH(Calculations!R$1,'2018_commission_structure'!$A$11:$I$11,0)),0)</f>
        <v>0</v>
      </c>
      <c r="S24" s="7">
        <f>IF(H24&gt;L24,(H24-L24)*INDEX('2018_commission_structure'!$A$11:$I$14,MATCH(Calculations!$E24,'2018_commission_structure'!$A$11:$A$14,0),MATCH(Calculations!S$1,'2018_commission_structure'!$A$11:$I$11,0)),0)</f>
        <v>0</v>
      </c>
      <c r="T24" s="7">
        <f t="shared" si="5"/>
        <v>64576.95</v>
      </c>
      <c r="U24" s="7">
        <f t="shared" si="6"/>
        <v>176674.95</v>
      </c>
      <c r="V24" s="7">
        <f>MIN(H24,I24)*INDEX('2018_commission_structure'!$A$5:$J$8,MATCH(Calculations!$E24,'2018_commission_structure'!$A$5:$A$8,0),MATCH(Calculations!V$1,'2018_commission_structure'!$A$5:$J$5,0))</f>
        <v>64576.95</v>
      </c>
      <c r="W24" s="2">
        <f>IF($H24&gt;I24,MIN($H24-I24,J24-I24)*INDEX('2018_commission_structure'!$A$5:$J$8,MATCH(Calculations!$E24,'2018_commission_structure'!$A$5:$A$8,0),MATCH(Calculations!W$1,'2018_commission_structure'!$A$5:$J$5,0)),0)</f>
        <v>0</v>
      </c>
      <c r="X24" s="2">
        <f>IF($H24&gt;J24,MIN($H24-J24,K24-J24)*INDEX('2018_commission_structure'!$A$5:$J$8,MATCH(Calculations!$E24,'2018_commission_structure'!$A$5:$A$8,0),MATCH(Calculations!X$1,'2018_commission_structure'!$A$5:$J$5,0)),0)</f>
        <v>0</v>
      </c>
      <c r="Y24" s="2">
        <f>IF($H24&gt;K24,MIN($H24-K24,L24-K24)*INDEX('2018_commission_structure'!$A$5:$J$8,MATCH(Calculations!$E24,'2018_commission_structure'!$A$5:$A$8,0),MATCH(Calculations!Y$1,'2018_commission_structure'!$A$5:$J$5,0)),0)</f>
        <v>0</v>
      </c>
      <c r="Z24" s="2">
        <f xml:space="preserve"> IF(H24&gt;L24,(H24-L24)*INDEX('2018_commission_structure'!$A$11:$I$14,MATCH(Calculations!$E24,'2018_commission_structure'!$A$11:$A$14,0),MATCH(Calculations!Z$1,'2018_commission_structure'!$A$11:$I$11,0)),0)</f>
        <v>0</v>
      </c>
      <c r="AA24" s="7">
        <f t="shared" si="7"/>
        <v>64576.95</v>
      </c>
      <c r="AB24" s="7">
        <f t="shared" si="8"/>
        <v>176674.95</v>
      </c>
    </row>
    <row r="25" spans="1:28" x14ac:dyDescent="0.25">
      <c r="A25">
        <v>4009257075</v>
      </c>
      <c r="B25" t="s">
        <v>303</v>
      </c>
      <c r="C25" t="s">
        <v>304</v>
      </c>
      <c r="D25" t="str">
        <f>B25&amp;" "&amp;C25</f>
        <v>Nial Antonazzi</v>
      </c>
      <c r="E25" t="s">
        <v>10</v>
      </c>
      <c r="F25">
        <v>114572</v>
      </c>
      <c r="G25">
        <f>COUNTIF(deals_closed!D:D,Calculations!A25)</f>
        <v>25</v>
      </c>
      <c r="H25" s="2">
        <f>SUMIF(deals_closed!D:D,Calculations!A25,deals_closed!C:C)</f>
        <v>921122</v>
      </c>
      <c r="I25" s="2">
        <f>VLOOKUP(E25,'2018_commission_structure'!$A$11:$I$14,9,FALSE)</f>
        <v>750000</v>
      </c>
      <c r="J25" s="2">
        <f t="shared" si="0"/>
        <v>937500</v>
      </c>
      <c r="K25" s="2">
        <f t="shared" si="1"/>
        <v>1125000</v>
      </c>
      <c r="L25" s="2">
        <f t="shared" si="2"/>
        <v>1500000</v>
      </c>
      <c r="M25" s="6">
        <f t="shared" si="3"/>
        <v>1.2281626666666667</v>
      </c>
      <c r="N25" t="str">
        <f t="shared" si="4"/>
        <v>100-125%</v>
      </c>
      <c r="O25" s="7">
        <f>MIN(I25,H25)*INDEX('2018_commission_structure'!$A$11:$I$14,MATCH(Calculations!$E25,'2018_commission_structure'!$A$11:$A$14,0),MATCH(Calculations!O$1,'2018_commission_structure'!$A$11:$I$11,0))</f>
        <v>112500</v>
      </c>
      <c r="P25" s="7">
        <f>IF($H25&gt;I25,MIN($H25-I25,J25-I25)*INDEX('2018_commission_structure'!$A$11:$I$14,MATCH(Calculations!$E25,'2018_commission_structure'!$A$11:$A$14,0), MATCH(Calculations!P$1,'2018_commission_structure'!$A$11:$I$11,0)),0)</f>
        <v>32513.18</v>
      </c>
      <c r="Q25" s="7">
        <f>IF($H25&gt;J25,MIN($H25-J25,K25-J25)*INDEX('2018_commission_structure'!$A$11:$I$14,MATCH(Calculations!$E25,'2018_commission_structure'!$A$11:$A$14,0), MATCH(Calculations!Q$1,'2018_commission_structure'!$A$11:$I$11,0)),0)</f>
        <v>0</v>
      </c>
      <c r="R25" s="7">
        <f>IF($H25&gt;K25,MIN($H25-K25,L25-K25)*INDEX('2018_commission_structure'!$A$11:$I$14,MATCH(Calculations!$E25,'2018_commission_structure'!$A$11:$A$14,0), MATCH(Calculations!R$1,'2018_commission_structure'!$A$11:$I$11,0)),0)</f>
        <v>0</v>
      </c>
      <c r="S25" s="7">
        <f>IF(H25&gt;L25,(H25-L25)*INDEX('2018_commission_structure'!$A$11:$I$14,MATCH(Calculations!$E25,'2018_commission_structure'!$A$11:$A$14,0),MATCH(Calculations!S$1,'2018_commission_structure'!$A$11:$I$11,0)),0)</f>
        <v>0</v>
      </c>
      <c r="T25" s="7">
        <f t="shared" si="5"/>
        <v>145013.18</v>
      </c>
      <c r="U25" s="7">
        <f t="shared" si="6"/>
        <v>259585.18</v>
      </c>
      <c r="V25" s="7">
        <f>MIN(H25,I25)*INDEX('2018_commission_structure'!$A$5:$J$8,MATCH(Calculations!$E25,'2018_commission_structure'!$A$5:$A$8,0),MATCH(Calculations!V$1,'2018_commission_structure'!$A$5:$J$5,0))</f>
        <v>112500</v>
      </c>
      <c r="W25" s="2">
        <f>IF($H25&gt;I25,MIN($H25-I25,J25-I25)*INDEX('2018_commission_structure'!$A$5:$J$8,MATCH(Calculations!$E25,'2018_commission_structure'!$A$5:$A$8,0),MATCH(Calculations!W$1,'2018_commission_structure'!$A$5:$J$5,0)),0)</f>
        <v>37646.840000000004</v>
      </c>
      <c r="X25" s="2">
        <f>IF($H25&gt;J25,MIN($H25-J25,K25-J25)*INDEX('2018_commission_structure'!$A$5:$J$8,MATCH(Calculations!$E25,'2018_commission_structure'!$A$5:$A$8,0),MATCH(Calculations!X$1,'2018_commission_structure'!$A$5:$J$5,0)),0)</f>
        <v>0</v>
      </c>
      <c r="Y25" s="2">
        <f>IF($H25&gt;K25,MIN($H25-K25,L25-K25)*INDEX('2018_commission_structure'!$A$5:$J$8,MATCH(Calculations!$E25,'2018_commission_structure'!$A$5:$A$8,0),MATCH(Calculations!Y$1,'2018_commission_structure'!$A$5:$J$5,0)),0)</f>
        <v>0</v>
      </c>
      <c r="Z25" s="2">
        <f xml:space="preserve"> IF(H25&gt;L25,(H25-L25)*INDEX('2018_commission_structure'!$A$11:$I$14,MATCH(Calculations!$E25,'2018_commission_structure'!$A$11:$A$14,0),MATCH(Calculations!Z$1,'2018_commission_structure'!$A$11:$I$11,0)),0)</f>
        <v>0</v>
      </c>
      <c r="AA25" s="7">
        <f t="shared" si="7"/>
        <v>150146.84</v>
      </c>
      <c r="AB25" s="7">
        <f t="shared" si="8"/>
        <v>264718.83999999997</v>
      </c>
    </row>
    <row r="26" spans="1:28" x14ac:dyDescent="0.25">
      <c r="A26">
        <v>502909099</v>
      </c>
      <c r="B26" t="s">
        <v>1259</v>
      </c>
      <c r="C26" t="s">
        <v>1260</v>
      </c>
      <c r="D26" t="str">
        <f>B26&amp;" "&amp;C26</f>
        <v>Mildred Antonio</v>
      </c>
      <c r="E26" t="s">
        <v>7</v>
      </c>
      <c r="F26">
        <v>43527</v>
      </c>
      <c r="G26">
        <f>COUNTIF(deals_closed!D:D,Calculations!A26)</f>
        <v>18</v>
      </c>
      <c r="H26" s="2">
        <f>SUMIF(deals_closed!D:D,Calculations!A26,deals_closed!C:C)</f>
        <v>635587</v>
      </c>
      <c r="I26" s="2">
        <f>VLOOKUP(E26,'2018_commission_structure'!$A$11:$I$14,9,FALSE)</f>
        <v>500000</v>
      </c>
      <c r="J26" s="2">
        <f t="shared" si="0"/>
        <v>625000</v>
      </c>
      <c r="K26" s="2">
        <f t="shared" si="1"/>
        <v>750000</v>
      </c>
      <c r="L26" s="2">
        <f t="shared" si="2"/>
        <v>1000000</v>
      </c>
      <c r="M26" s="6">
        <f t="shared" si="3"/>
        <v>1.271174</v>
      </c>
      <c r="N26" t="str">
        <f t="shared" si="4"/>
        <v>125-150%</v>
      </c>
      <c r="O26" s="7">
        <f>MIN(I26,H26)*INDEX('2018_commission_structure'!$A$11:$I$14,MATCH(Calculations!$E26,'2018_commission_structure'!$A$11:$A$14,0),MATCH(Calculations!O$1,'2018_commission_structure'!$A$11:$I$11,0))</f>
        <v>50000</v>
      </c>
      <c r="P26" s="7">
        <f>IF($H26&gt;I26,MIN($H26-I26,J26-I26)*INDEX('2018_commission_structure'!$A$11:$I$14,MATCH(Calculations!$E26,'2018_commission_structure'!$A$11:$A$14,0), MATCH(Calculations!P$1,'2018_commission_structure'!$A$11:$I$11,0)),0)</f>
        <v>18750</v>
      </c>
      <c r="Q26" s="7">
        <f>IF($H26&gt;J26,MIN($H26-J26,K26-J26)*INDEX('2018_commission_structure'!$A$11:$I$14,MATCH(Calculations!$E26,'2018_commission_structure'!$A$11:$A$14,0), MATCH(Calculations!Q$1,'2018_commission_structure'!$A$11:$I$11,0)),0)</f>
        <v>1905.6599999999999</v>
      </c>
      <c r="R26" s="7">
        <f>IF($H26&gt;K26,MIN($H26-K26,L26-K26)*INDEX('2018_commission_structure'!$A$11:$I$14,MATCH(Calculations!$E26,'2018_commission_structure'!$A$11:$A$14,0), MATCH(Calculations!R$1,'2018_commission_structure'!$A$11:$I$11,0)),0)</f>
        <v>0</v>
      </c>
      <c r="S26" s="7">
        <f>IF(H26&gt;L26,(H26-L26)*INDEX('2018_commission_structure'!$A$11:$I$14,MATCH(Calculations!$E26,'2018_commission_structure'!$A$11:$A$14,0),MATCH(Calculations!S$1,'2018_commission_structure'!$A$11:$I$11,0)),0)</f>
        <v>0</v>
      </c>
      <c r="T26" s="7">
        <f t="shared" si="5"/>
        <v>70655.66</v>
      </c>
      <c r="U26" s="7">
        <f t="shared" si="6"/>
        <v>114182.66</v>
      </c>
      <c r="V26" s="7">
        <f>MIN(H26,I26)*INDEX('2018_commission_structure'!$A$5:$J$8,MATCH(Calculations!$E26,'2018_commission_structure'!$A$5:$A$8,0),MATCH(Calculations!V$1,'2018_commission_structure'!$A$5:$J$5,0))</f>
        <v>60000</v>
      </c>
      <c r="W26" s="2">
        <f>IF($H26&gt;I26,MIN($H26-I26,J26-I26)*INDEX('2018_commission_structure'!$A$5:$J$8,MATCH(Calculations!$E26,'2018_commission_structure'!$A$5:$A$8,0),MATCH(Calculations!W$1,'2018_commission_structure'!$A$5:$J$5,0)),0)</f>
        <v>21250</v>
      </c>
      <c r="X26" s="2">
        <f>IF($H26&gt;J26,MIN($H26-J26,K26-J26)*INDEX('2018_commission_structure'!$A$5:$J$8,MATCH(Calculations!$E26,'2018_commission_structure'!$A$5:$A$8,0),MATCH(Calculations!X$1,'2018_commission_structure'!$A$5:$J$5,0)),0)</f>
        <v>2117.4</v>
      </c>
      <c r="Y26" s="2">
        <f>IF($H26&gt;K26,MIN($H26-K26,L26-K26)*INDEX('2018_commission_structure'!$A$5:$J$8,MATCH(Calculations!$E26,'2018_commission_structure'!$A$5:$A$8,0),MATCH(Calculations!Y$1,'2018_commission_structure'!$A$5:$J$5,0)),0)</f>
        <v>0</v>
      </c>
      <c r="Z26" s="2">
        <f xml:space="preserve"> IF(H26&gt;L26,(H26-L26)*INDEX('2018_commission_structure'!$A$11:$I$14,MATCH(Calculations!$E26,'2018_commission_structure'!$A$11:$A$14,0),MATCH(Calculations!Z$1,'2018_commission_structure'!$A$11:$I$11,0)),0)</f>
        <v>0</v>
      </c>
      <c r="AA26" s="7">
        <f t="shared" si="7"/>
        <v>83367.399999999994</v>
      </c>
      <c r="AB26" s="7">
        <f t="shared" si="8"/>
        <v>126894.39999999999</v>
      </c>
    </row>
    <row r="27" spans="1:28" x14ac:dyDescent="0.25">
      <c r="A27">
        <v>7621218967</v>
      </c>
      <c r="B27" t="s">
        <v>1025</v>
      </c>
      <c r="C27" t="s">
        <v>1026</v>
      </c>
      <c r="D27" t="str">
        <f>B27&amp;" "&amp;C27</f>
        <v>Peter Aps</v>
      </c>
      <c r="E27" t="s">
        <v>7</v>
      </c>
      <c r="F27">
        <v>49456</v>
      </c>
      <c r="G27">
        <f>COUNTIF(deals_closed!D:D,Calculations!A27)</f>
        <v>20</v>
      </c>
      <c r="H27" s="2">
        <f>SUMIF(deals_closed!D:D,Calculations!A27,deals_closed!C:C)</f>
        <v>711184</v>
      </c>
      <c r="I27" s="2">
        <f>VLOOKUP(E27,'2018_commission_structure'!$A$11:$I$14,9,FALSE)</f>
        <v>500000</v>
      </c>
      <c r="J27" s="2">
        <f t="shared" si="0"/>
        <v>625000</v>
      </c>
      <c r="K27" s="2">
        <f t="shared" si="1"/>
        <v>750000</v>
      </c>
      <c r="L27" s="2">
        <f t="shared" si="2"/>
        <v>1000000</v>
      </c>
      <c r="M27" s="6">
        <f t="shared" si="3"/>
        <v>1.4223680000000001</v>
      </c>
      <c r="N27" t="str">
        <f t="shared" si="4"/>
        <v>125-150%</v>
      </c>
      <c r="O27" s="7">
        <f>MIN(I27,H27)*INDEX('2018_commission_structure'!$A$11:$I$14,MATCH(Calculations!$E27,'2018_commission_structure'!$A$11:$A$14,0),MATCH(Calculations!O$1,'2018_commission_structure'!$A$11:$I$11,0))</f>
        <v>50000</v>
      </c>
      <c r="P27" s="7">
        <f>IF($H27&gt;I27,MIN($H27-I27,J27-I27)*INDEX('2018_commission_structure'!$A$11:$I$14,MATCH(Calculations!$E27,'2018_commission_structure'!$A$11:$A$14,0), MATCH(Calculations!P$1,'2018_commission_structure'!$A$11:$I$11,0)),0)</f>
        <v>18750</v>
      </c>
      <c r="Q27" s="7">
        <f>IF($H27&gt;J27,MIN($H27-J27,K27-J27)*INDEX('2018_commission_structure'!$A$11:$I$14,MATCH(Calculations!$E27,'2018_commission_structure'!$A$11:$A$14,0), MATCH(Calculations!Q$1,'2018_commission_structure'!$A$11:$I$11,0)),0)</f>
        <v>15513.119999999999</v>
      </c>
      <c r="R27" s="7">
        <f>IF($H27&gt;K27,MIN($H27-K27,L27-K27)*INDEX('2018_commission_structure'!$A$11:$I$14,MATCH(Calculations!$E27,'2018_commission_structure'!$A$11:$A$14,0), MATCH(Calculations!R$1,'2018_commission_structure'!$A$11:$I$11,0)),0)</f>
        <v>0</v>
      </c>
      <c r="S27" s="7">
        <f>IF(H27&gt;L27,(H27-L27)*INDEX('2018_commission_structure'!$A$11:$I$14,MATCH(Calculations!$E27,'2018_commission_structure'!$A$11:$A$14,0),MATCH(Calculations!S$1,'2018_commission_structure'!$A$11:$I$11,0)),0)</f>
        <v>0</v>
      </c>
      <c r="T27" s="7">
        <f t="shared" si="5"/>
        <v>84263.12</v>
      </c>
      <c r="U27" s="7">
        <f t="shared" si="6"/>
        <v>133719.12</v>
      </c>
      <c r="V27" s="7">
        <f>MIN(H27,I27)*INDEX('2018_commission_structure'!$A$5:$J$8,MATCH(Calculations!$E27,'2018_commission_structure'!$A$5:$A$8,0),MATCH(Calculations!V$1,'2018_commission_structure'!$A$5:$J$5,0))</f>
        <v>60000</v>
      </c>
      <c r="W27" s="2">
        <f>IF($H27&gt;I27,MIN($H27-I27,J27-I27)*INDEX('2018_commission_structure'!$A$5:$J$8,MATCH(Calculations!$E27,'2018_commission_structure'!$A$5:$A$8,0),MATCH(Calculations!W$1,'2018_commission_structure'!$A$5:$J$5,0)),0)</f>
        <v>21250</v>
      </c>
      <c r="X27" s="2">
        <f>IF($H27&gt;J27,MIN($H27-J27,K27-J27)*INDEX('2018_commission_structure'!$A$5:$J$8,MATCH(Calculations!$E27,'2018_commission_structure'!$A$5:$A$8,0),MATCH(Calculations!X$1,'2018_commission_structure'!$A$5:$J$5,0)),0)</f>
        <v>17236.8</v>
      </c>
      <c r="Y27" s="2">
        <f>IF($H27&gt;K27,MIN($H27-K27,L27-K27)*INDEX('2018_commission_structure'!$A$5:$J$8,MATCH(Calculations!$E27,'2018_commission_structure'!$A$5:$A$8,0),MATCH(Calculations!Y$1,'2018_commission_structure'!$A$5:$J$5,0)),0)</f>
        <v>0</v>
      </c>
      <c r="Z27" s="2">
        <f xml:space="preserve"> IF(H27&gt;L27,(H27-L27)*INDEX('2018_commission_structure'!$A$11:$I$14,MATCH(Calculations!$E27,'2018_commission_structure'!$A$11:$A$14,0),MATCH(Calculations!Z$1,'2018_commission_structure'!$A$11:$I$11,0)),0)</f>
        <v>0</v>
      </c>
      <c r="AA27" s="7">
        <f t="shared" si="7"/>
        <v>98486.8</v>
      </c>
      <c r="AB27" s="7">
        <f t="shared" si="8"/>
        <v>147942.79999999999</v>
      </c>
    </row>
    <row r="28" spans="1:28" x14ac:dyDescent="0.25">
      <c r="A28">
        <v>6836716731</v>
      </c>
      <c r="B28" t="s">
        <v>751</v>
      </c>
      <c r="C28" t="s">
        <v>752</v>
      </c>
      <c r="D28" t="str">
        <f>B28&amp;" "&amp;C28</f>
        <v>Codie Ardy</v>
      </c>
      <c r="E28" t="s">
        <v>10</v>
      </c>
      <c r="F28">
        <v>91423</v>
      </c>
      <c r="G28">
        <f>COUNTIF(deals_closed!D:D,Calculations!A28)</f>
        <v>17</v>
      </c>
      <c r="H28" s="2">
        <f>SUMIF(deals_closed!D:D,Calculations!A28,deals_closed!C:C)</f>
        <v>546387</v>
      </c>
      <c r="I28" s="2">
        <f>VLOOKUP(E28,'2018_commission_structure'!$A$11:$I$14,9,FALSE)</f>
        <v>750000</v>
      </c>
      <c r="J28" s="2">
        <f t="shared" si="0"/>
        <v>937500</v>
      </c>
      <c r="K28" s="2">
        <f t="shared" si="1"/>
        <v>1125000</v>
      </c>
      <c r="L28" s="2">
        <f t="shared" si="2"/>
        <v>1500000</v>
      </c>
      <c r="M28" s="6">
        <f t="shared" si="3"/>
        <v>0.72851600000000005</v>
      </c>
      <c r="N28" t="str">
        <f t="shared" si="4"/>
        <v>0-100%</v>
      </c>
      <c r="O28" s="7">
        <f>MIN(I28,H28)*INDEX('2018_commission_structure'!$A$11:$I$14,MATCH(Calculations!$E28,'2018_commission_structure'!$A$11:$A$14,0),MATCH(Calculations!O$1,'2018_commission_structure'!$A$11:$I$11,0))</f>
        <v>81958.05</v>
      </c>
      <c r="P28" s="7">
        <f>IF($H28&gt;I28,MIN($H28-I28,J28-I28)*INDEX('2018_commission_structure'!$A$11:$I$14,MATCH(Calculations!$E28,'2018_commission_structure'!$A$11:$A$14,0), MATCH(Calculations!P$1,'2018_commission_structure'!$A$11:$I$11,0)),0)</f>
        <v>0</v>
      </c>
      <c r="Q28" s="7">
        <f>IF($H28&gt;J28,MIN($H28-J28,K28-J28)*INDEX('2018_commission_structure'!$A$11:$I$14,MATCH(Calculations!$E28,'2018_commission_structure'!$A$11:$A$14,0), MATCH(Calculations!Q$1,'2018_commission_structure'!$A$11:$I$11,0)),0)</f>
        <v>0</v>
      </c>
      <c r="R28" s="7">
        <f>IF($H28&gt;K28,MIN($H28-K28,L28-K28)*INDEX('2018_commission_structure'!$A$11:$I$14,MATCH(Calculations!$E28,'2018_commission_structure'!$A$11:$A$14,0), MATCH(Calculations!R$1,'2018_commission_structure'!$A$11:$I$11,0)),0)</f>
        <v>0</v>
      </c>
      <c r="S28" s="7">
        <f>IF(H28&gt;L28,(H28-L28)*INDEX('2018_commission_structure'!$A$11:$I$14,MATCH(Calculations!$E28,'2018_commission_structure'!$A$11:$A$14,0),MATCH(Calculations!S$1,'2018_commission_structure'!$A$11:$I$11,0)),0)</f>
        <v>0</v>
      </c>
      <c r="T28" s="7">
        <f t="shared" si="5"/>
        <v>81958.05</v>
      </c>
      <c r="U28" s="7">
        <f t="shared" si="6"/>
        <v>173381.05</v>
      </c>
      <c r="V28" s="7">
        <f>MIN(H28,I28)*INDEX('2018_commission_structure'!$A$5:$J$8,MATCH(Calculations!$E28,'2018_commission_structure'!$A$5:$A$8,0),MATCH(Calculations!V$1,'2018_commission_structure'!$A$5:$J$5,0))</f>
        <v>81958.05</v>
      </c>
      <c r="W28" s="2">
        <f>IF($H28&gt;I28,MIN($H28-I28,J28-I28)*INDEX('2018_commission_structure'!$A$5:$J$8,MATCH(Calculations!$E28,'2018_commission_structure'!$A$5:$A$8,0),MATCH(Calculations!W$1,'2018_commission_structure'!$A$5:$J$5,0)),0)</f>
        <v>0</v>
      </c>
      <c r="X28" s="2">
        <f>IF($H28&gt;J28,MIN($H28-J28,K28-J28)*INDEX('2018_commission_structure'!$A$5:$J$8,MATCH(Calculations!$E28,'2018_commission_structure'!$A$5:$A$8,0),MATCH(Calculations!X$1,'2018_commission_structure'!$A$5:$J$5,0)),0)</f>
        <v>0</v>
      </c>
      <c r="Y28" s="2">
        <f>IF($H28&gt;K28,MIN($H28-K28,L28-K28)*INDEX('2018_commission_structure'!$A$5:$J$8,MATCH(Calculations!$E28,'2018_commission_structure'!$A$5:$A$8,0),MATCH(Calculations!Y$1,'2018_commission_structure'!$A$5:$J$5,0)),0)</f>
        <v>0</v>
      </c>
      <c r="Z28" s="2">
        <f xml:space="preserve"> IF(H28&gt;L28,(H28-L28)*INDEX('2018_commission_structure'!$A$11:$I$14,MATCH(Calculations!$E28,'2018_commission_structure'!$A$11:$A$14,0),MATCH(Calculations!Z$1,'2018_commission_structure'!$A$11:$I$11,0)),0)</f>
        <v>0</v>
      </c>
      <c r="AA28" s="7">
        <f t="shared" si="7"/>
        <v>81958.05</v>
      </c>
      <c r="AB28" s="7">
        <f t="shared" si="8"/>
        <v>173381.05</v>
      </c>
    </row>
    <row r="29" spans="1:28" x14ac:dyDescent="0.25">
      <c r="A29">
        <v>2280674246</v>
      </c>
      <c r="B29" t="s">
        <v>1178</v>
      </c>
      <c r="C29" t="s">
        <v>1179</v>
      </c>
      <c r="D29" t="str">
        <f>B29&amp;" "&amp;C29</f>
        <v>Claudie Armin</v>
      </c>
      <c r="E29" t="s">
        <v>7</v>
      </c>
      <c r="F29">
        <v>62574</v>
      </c>
      <c r="G29">
        <f>COUNTIF(deals_closed!D:D,Calculations!A29)</f>
        <v>13</v>
      </c>
      <c r="H29" s="2">
        <f>SUMIF(deals_closed!D:D,Calculations!A29,deals_closed!C:C)</f>
        <v>416927</v>
      </c>
      <c r="I29" s="2">
        <f>VLOOKUP(E29,'2018_commission_structure'!$A$11:$I$14,9,FALSE)</f>
        <v>500000</v>
      </c>
      <c r="J29" s="2">
        <f t="shared" si="0"/>
        <v>625000</v>
      </c>
      <c r="K29" s="2">
        <f t="shared" si="1"/>
        <v>750000</v>
      </c>
      <c r="L29" s="2">
        <f t="shared" si="2"/>
        <v>1000000</v>
      </c>
      <c r="M29" s="6">
        <f t="shared" si="3"/>
        <v>0.83385399999999998</v>
      </c>
      <c r="N29" t="str">
        <f t="shared" si="4"/>
        <v>0-100%</v>
      </c>
      <c r="O29" s="7">
        <f>MIN(I29,H29)*INDEX('2018_commission_structure'!$A$11:$I$14,MATCH(Calculations!$E29,'2018_commission_structure'!$A$11:$A$14,0),MATCH(Calculations!O$1,'2018_commission_structure'!$A$11:$I$11,0))</f>
        <v>41692.700000000004</v>
      </c>
      <c r="P29" s="7">
        <f>IF($H29&gt;I29,MIN($H29-I29,J29-I29)*INDEX('2018_commission_structure'!$A$11:$I$14,MATCH(Calculations!$E29,'2018_commission_structure'!$A$11:$A$14,0), MATCH(Calculations!P$1,'2018_commission_structure'!$A$11:$I$11,0)),0)</f>
        <v>0</v>
      </c>
      <c r="Q29" s="7">
        <f>IF($H29&gt;J29,MIN($H29-J29,K29-J29)*INDEX('2018_commission_structure'!$A$11:$I$14,MATCH(Calculations!$E29,'2018_commission_structure'!$A$11:$A$14,0), MATCH(Calculations!Q$1,'2018_commission_structure'!$A$11:$I$11,0)),0)</f>
        <v>0</v>
      </c>
      <c r="R29" s="7">
        <f>IF($H29&gt;K29,MIN($H29-K29,L29-K29)*INDEX('2018_commission_structure'!$A$11:$I$14,MATCH(Calculations!$E29,'2018_commission_structure'!$A$11:$A$14,0), MATCH(Calculations!R$1,'2018_commission_structure'!$A$11:$I$11,0)),0)</f>
        <v>0</v>
      </c>
      <c r="S29" s="7">
        <f>IF(H29&gt;L29,(H29-L29)*INDEX('2018_commission_structure'!$A$11:$I$14,MATCH(Calculations!$E29,'2018_commission_structure'!$A$11:$A$14,0),MATCH(Calculations!S$1,'2018_commission_structure'!$A$11:$I$11,0)),0)</f>
        <v>0</v>
      </c>
      <c r="T29" s="7">
        <f t="shared" si="5"/>
        <v>41692.700000000004</v>
      </c>
      <c r="U29" s="7">
        <f t="shared" si="6"/>
        <v>104266.70000000001</v>
      </c>
      <c r="V29" s="7">
        <f>MIN(H29,I29)*INDEX('2018_commission_structure'!$A$5:$J$8,MATCH(Calculations!$E29,'2018_commission_structure'!$A$5:$A$8,0),MATCH(Calculations!V$1,'2018_commission_structure'!$A$5:$J$5,0))</f>
        <v>50031.24</v>
      </c>
      <c r="W29" s="2">
        <f>IF($H29&gt;I29,MIN($H29-I29,J29-I29)*INDEX('2018_commission_structure'!$A$5:$J$8,MATCH(Calculations!$E29,'2018_commission_structure'!$A$5:$A$8,0),MATCH(Calculations!W$1,'2018_commission_structure'!$A$5:$J$5,0)),0)</f>
        <v>0</v>
      </c>
      <c r="X29" s="2">
        <f>IF($H29&gt;J29,MIN($H29-J29,K29-J29)*INDEX('2018_commission_structure'!$A$5:$J$8,MATCH(Calculations!$E29,'2018_commission_structure'!$A$5:$A$8,0),MATCH(Calculations!X$1,'2018_commission_structure'!$A$5:$J$5,0)),0)</f>
        <v>0</v>
      </c>
      <c r="Y29" s="2">
        <f>IF($H29&gt;K29,MIN($H29-K29,L29-K29)*INDEX('2018_commission_structure'!$A$5:$J$8,MATCH(Calculations!$E29,'2018_commission_structure'!$A$5:$A$8,0),MATCH(Calculations!Y$1,'2018_commission_structure'!$A$5:$J$5,0)),0)</f>
        <v>0</v>
      </c>
      <c r="Z29" s="2">
        <f xml:space="preserve"> IF(H29&gt;L29,(H29-L29)*INDEX('2018_commission_structure'!$A$11:$I$14,MATCH(Calculations!$E29,'2018_commission_structure'!$A$11:$A$14,0),MATCH(Calculations!Z$1,'2018_commission_structure'!$A$11:$I$11,0)),0)</f>
        <v>0</v>
      </c>
      <c r="AA29" s="7">
        <f t="shared" si="7"/>
        <v>50031.24</v>
      </c>
      <c r="AB29" s="7">
        <f t="shared" si="8"/>
        <v>112605.23999999999</v>
      </c>
    </row>
    <row r="30" spans="1:28" x14ac:dyDescent="0.25">
      <c r="A30">
        <v>9023313240</v>
      </c>
      <c r="B30" t="s">
        <v>25</v>
      </c>
      <c r="C30" t="s">
        <v>26</v>
      </c>
      <c r="D30" t="str">
        <f>B30&amp;" "&amp;C30</f>
        <v>Caddric Armytage</v>
      </c>
      <c r="E30" t="s">
        <v>10</v>
      </c>
      <c r="F30">
        <v>119728</v>
      </c>
      <c r="G30">
        <f>COUNTIF(deals_closed!D:D,Calculations!A30)</f>
        <v>17</v>
      </c>
      <c r="H30" s="2">
        <f>SUMIF(deals_closed!D:D,Calculations!A30,deals_closed!C:C)</f>
        <v>714914</v>
      </c>
      <c r="I30" s="2">
        <f>VLOOKUP(E30,'2018_commission_structure'!$A$11:$I$14,9,FALSE)</f>
        <v>750000</v>
      </c>
      <c r="J30" s="2">
        <f t="shared" si="0"/>
        <v>937500</v>
      </c>
      <c r="K30" s="2">
        <f t="shared" si="1"/>
        <v>1125000</v>
      </c>
      <c r="L30" s="2">
        <f t="shared" si="2"/>
        <v>1500000</v>
      </c>
      <c r="M30" s="6">
        <f t="shared" si="3"/>
        <v>0.95321866666666666</v>
      </c>
      <c r="N30" t="str">
        <f t="shared" si="4"/>
        <v>0-100%</v>
      </c>
      <c r="O30" s="7">
        <f>MIN(I30,H30)*INDEX('2018_commission_structure'!$A$11:$I$14,MATCH(Calculations!$E30,'2018_commission_structure'!$A$11:$A$14,0),MATCH(Calculations!O$1,'2018_commission_structure'!$A$11:$I$11,0))</f>
        <v>107237.09999999999</v>
      </c>
      <c r="P30" s="7">
        <f>IF($H30&gt;I30,MIN($H30-I30,J30-I30)*INDEX('2018_commission_structure'!$A$11:$I$14,MATCH(Calculations!$E30,'2018_commission_structure'!$A$11:$A$14,0), MATCH(Calculations!P$1,'2018_commission_structure'!$A$11:$I$11,0)),0)</f>
        <v>0</v>
      </c>
      <c r="Q30" s="7">
        <f>IF($H30&gt;J30,MIN($H30-J30,K30-J30)*INDEX('2018_commission_structure'!$A$11:$I$14,MATCH(Calculations!$E30,'2018_commission_structure'!$A$11:$A$14,0), MATCH(Calculations!Q$1,'2018_commission_structure'!$A$11:$I$11,0)),0)</f>
        <v>0</v>
      </c>
      <c r="R30" s="7">
        <f>IF($H30&gt;K30,MIN($H30-K30,L30-K30)*INDEX('2018_commission_structure'!$A$11:$I$14,MATCH(Calculations!$E30,'2018_commission_structure'!$A$11:$A$14,0), MATCH(Calculations!R$1,'2018_commission_structure'!$A$11:$I$11,0)),0)</f>
        <v>0</v>
      </c>
      <c r="S30" s="7">
        <f>IF(H30&gt;L30,(H30-L30)*INDEX('2018_commission_structure'!$A$11:$I$14,MATCH(Calculations!$E30,'2018_commission_structure'!$A$11:$A$14,0),MATCH(Calculations!S$1,'2018_commission_structure'!$A$11:$I$11,0)),0)</f>
        <v>0</v>
      </c>
      <c r="T30" s="7">
        <f t="shared" si="5"/>
        <v>107237.09999999999</v>
      </c>
      <c r="U30" s="7">
        <f t="shared" si="6"/>
        <v>226965.09999999998</v>
      </c>
      <c r="V30" s="7">
        <f>MIN(H30,I30)*INDEX('2018_commission_structure'!$A$5:$J$8,MATCH(Calculations!$E30,'2018_commission_structure'!$A$5:$A$8,0),MATCH(Calculations!V$1,'2018_commission_structure'!$A$5:$J$5,0))</f>
        <v>107237.09999999999</v>
      </c>
      <c r="W30" s="2">
        <f>IF($H30&gt;I30,MIN($H30-I30,J30-I30)*INDEX('2018_commission_structure'!$A$5:$J$8,MATCH(Calculations!$E30,'2018_commission_structure'!$A$5:$A$8,0),MATCH(Calculations!W$1,'2018_commission_structure'!$A$5:$J$5,0)),0)</f>
        <v>0</v>
      </c>
      <c r="X30" s="2">
        <f>IF($H30&gt;J30,MIN($H30-J30,K30-J30)*INDEX('2018_commission_structure'!$A$5:$J$8,MATCH(Calculations!$E30,'2018_commission_structure'!$A$5:$A$8,0),MATCH(Calculations!X$1,'2018_commission_structure'!$A$5:$J$5,0)),0)</f>
        <v>0</v>
      </c>
      <c r="Y30" s="2">
        <f>IF($H30&gt;K30,MIN($H30-K30,L30-K30)*INDEX('2018_commission_structure'!$A$5:$J$8,MATCH(Calculations!$E30,'2018_commission_structure'!$A$5:$A$8,0),MATCH(Calculations!Y$1,'2018_commission_structure'!$A$5:$J$5,0)),0)</f>
        <v>0</v>
      </c>
      <c r="Z30" s="2">
        <f xml:space="preserve"> IF(H30&gt;L30,(H30-L30)*INDEX('2018_commission_structure'!$A$11:$I$14,MATCH(Calculations!$E30,'2018_commission_structure'!$A$11:$A$14,0),MATCH(Calculations!Z$1,'2018_commission_structure'!$A$11:$I$11,0)),0)</f>
        <v>0</v>
      </c>
      <c r="AA30" s="7">
        <f t="shared" si="7"/>
        <v>107237.09999999999</v>
      </c>
      <c r="AB30" s="7">
        <f t="shared" si="8"/>
        <v>226965.09999999998</v>
      </c>
    </row>
    <row r="31" spans="1:28" x14ac:dyDescent="0.25">
      <c r="A31">
        <v>4236713853</v>
      </c>
      <c r="B31" t="s">
        <v>463</v>
      </c>
      <c r="C31" t="s">
        <v>464</v>
      </c>
      <c r="D31" t="str">
        <f>B31&amp;" "&amp;C31</f>
        <v>Steward Arnke</v>
      </c>
      <c r="E31" t="s">
        <v>10</v>
      </c>
      <c r="F31">
        <v>114723</v>
      </c>
      <c r="G31">
        <f>COUNTIF(deals_closed!D:D,Calculations!A31)</f>
        <v>15</v>
      </c>
      <c r="H31" s="2">
        <f>SUMIF(deals_closed!D:D,Calculations!A31,deals_closed!C:C)</f>
        <v>637396</v>
      </c>
      <c r="I31" s="2">
        <f>VLOOKUP(E31,'2018_commission_structure'!$A$11:$I$14,9,FALSE)</f>
        <v>750000</v>
      </c>
      <c r="J31" s="2">
        <f t="shared" si="0"/>
        <v>937500</v>
      </c>
      <c r="K31" s="2">
        <f t="shared" si="1"/>
        <v>1125000</v>
      </c>
      <c r="L31" s="2">
        <f t="shared" si="2"/>
        <v>1500000</v>
      </c>
      <c r="M31" s="6">
        <f t="shared" si="3"/>
        <v>0.84986133333333336</v>
      </c>
      <c r="N31" t="str">
        <f t="shared" si="4"/>
        <v>0-100%</v>
      </c>
      <c r="O31" s="7">
        <f>MIN(I31,H31)*INDEX('2018_commission_structure'!$A$11:$I$14,MATCH(Calculations!$E31,'2018_commission_structure'!$A$11:$A$14,0),MATCH(Calculations!O$1,'2018_commission_structure'!$A$11:$I$11,0))</f>
        <v>95609.4</v>
      </c>
      <c r="P31" s="7">
        <f>IF($H31&gt;I31,MIN($H31-I31,J31-I31)*INDEX('2018_commission_structure'!$A$11:$I$14,MATCH(Calculations!$E31,'2018_commission_structure'!$A$11:$A$14,0), MATCH(Calculations!P$1,'2018_commission_structure'!$A$11:$I$11,0)),0)</f>
        <v>0</v>
      </c>
      <c r="Q31" s="7">
        <f>IF($H31&gt;J31,MIN($H31-J31,K31-J31)*INDEX('2018_commission_structure'!$A$11:$I$14,MATCH(Calculations!$E31,'2018_commission_structure'!$A$11:$A$14,0), MATCH(Calculations!Q$1,'2018_commission_structure'!$A$11:$I$11,0)),0)</f>
        <v>0</v>
      </c>
      <c r="R31" s="7">
        <f>IF($H31&gt;K31,MIN($H31-K31,L31-K31)*INDEX('2018_commission_structure'!$A$11:$I$14,MATCH(Calculations!$E31,'2018_commission_structure'!$A$11:$A$14,0), MATCH(Calculations!R$1,'2018_commission_structure'!$A$11:$I$11,0)),0)</f>
        <v>0</v>
      </c>
      <c r="S31" s="7">
        <f>IF(H31&gt;L31,(H31-L31)*INDEX('2018_commission_structure'!$A$11:$I$14,MATCH(Calculations!$E31,'2018_commission_structure'!$A$11:$A$14,0),MATCH(Calculations!S$1,'2018_commission_structure'!$A$11:$I$11,0)),0)</f>
        <v>0</v>
      </c>
      <c r="T31" s="7">
        <f t="shared" si="5"/>
        <v>95609.4</v>
      </c>
      <c r="U31" s="7">
        <f t="shared" si="6"/>
        <v>210332.4</v>
      </c>
      <c r="V31" s="7">
        <f>MIN(H31,I31)*INDEX('2018_commission_structure'!$A$5:$J$8,MATCH(Calculations!$E31,'2018_commission_structure'!$A$5:$A$8,0),MATCH(Calculations!V$1,'2018_commission_structure'!$A$5:$J$5,0))</f>
        <v>95609.4</v>
      </c>
      <c r="W31" s="2">
        <f>IF($H31&gt;I31,MIN($H31-I31,J31-I31)*INDEX('2018_commission_structure'!$A$5:$J$8,MATCH(Calculations!$E31,'2018_commission_structure'!$A$5:$A$8,0),MATCH(Calculations!W$1,'2018_commission_structure'!$A$5:$J$5,0)),0)</f>
        <v>0</v>
      </c>
      <c r="X31" s="2">
        <f>IF($H31&gt;J31,MIN($H31-J31,K31-J31)*INDEX('2018_commission_structure'!$A$5:$J$8,MATCH(Calculations!$E31,'2018_commission_structure'!$A$5:$A$8,0),MATCH(Calculations!X$1,'2018_commission_structure'!$A$5:$J$5,0)),0)</f>
        <v>0</v>
      </c>
      <c r="Y31" s="2">
        <f>IF($H31&gt;K31,MIN($H31-K31,L31-K31)*INDEX('2018_commission_structure'!$A$5:$J$8,MATCH(Calculations!$E31,'2018_commission_structure'!$A$5:$A$8,0),MATCH(Calculations!Y$1,'2018_commission_structure'!$A$5:$J$5,0)),0)</f>
        <v>0</v>
      </c>
      <c r="Z31" s="2">
        <f xml:space="preserve"> IF(H31&gt;L31,(H31-L31)*INDEX('2018_commission_structure'!$A$11:$I$14,MATCH(Calculations!$E31,'2018_commission_structure'!$A$11:$A$14,0),MATCH(Calculations!Z$1,'2018_commission_structure'!$A$11:$I$11,0)),0)</f>
        <v>0</v>
      </c>
      <c r="AA31" s="7">
        <f t="shared" si="7"/>
        <v>95609.4</v>
      </c>
      <c r="AB31" s="7">
        <f t="shared" si="8"/>
        <v>210332.4</v>
      </c>
    </row>
    <row r="32" spans="1:28" x14ac:dyDescent="0.25">
      <c r="A32">
        <v>710473923</v>
      </c>
      <c r="B32" t="s">
        <v>832</v>
      </c>
      <c r="C32" t="s">
        <v>833</v>
      </c>
      <c r="D32" t="str">
        <f>B32&amp;" "&amp;C32</f>
        <v>Ellwood Aronoff</v>
      </c>
      <c r="E32" t="s">
        <v>7</v>
      </c>
      <c r="F32">
        <v>64402</v>
      </c>
      <c r="G32">
        <f>COUNTIF(deals_closed!D:D,Calculations!A32)</f>
        <v>18</v>
      </c>
      <c r="H32" s="2">
        <f>SUMIF(deals_closed!D:D,Calculations!A32,deals_closed!C:C)</f>
        <v>624821</v>
      </c>
      <c r="I32" s="2">
        <f>VLOOKUP(E32,'2018_commission_structure'!$A$11:$I$14,9,FALSE)</f>
        <v>500000</v>
      </c>
      <c r="J32" s="2">
        <f t="shared" si="0"/>
        <v>625000</v>
      </c>
      <c r="K32" s="2">
        <f t="shared" si="1"/>
        <v>750000</v>
      </c>
      <c r="L32" s="2">
        <f t="shared" si="2"/>
        <v>1000000</v>
      </c>
      <c r="M32" s="6">
        <f t="shared" si="3"/>
        <v>1.2496419999999999</v>
      </c>
      <c r="N32" t="str">
        <f t="shared" si="4"/>
        <v>100-125%</v>
      </c>
      <c r="O32" s="7">
        <f>MIN(I32,H32)*INDEX('2018_commission_structure'!$A$11:$I$14,MATCH(Calculations!$E32,'2018_commission_structure'!$A$11:$A$14,0),MATCH(Calculations!O$1,'2018_commission_structure'!$A$11:$I$11,0))</f>
        <v>50000</v>
      </c>
      <c r="P32" s="7">
        <f>IF($H32&gt;I32,MIN($H32-I32,J32-I32)*INDEX('2018_commission_structure'!$A$11:$I$14,MATCH(Calculations!$E32,'2018_commission_structure'!$A$11:$A$14,0), MATCH(Calculations!P$1,'2018_commission_structure'!$A$11:$I$11,0)),0)</f>
        <v>18723.149999999998</v>
      </c>
      <c r="Q32" s="7">
        <f>IF($H32&gt;J32,MIN($H32-J32,K32-J32)*INDEX('2018_commission_structure'!$A$11:$I$14,MATCH(Calculations!$E32,'2018_commission_structure'!$A$11:$A$14,0), MATCH(Calculations!Q$1,'2018_commission_structure'!$A$11:$I$11,0)),0)</f>
        <v>0</v>
      </c>
      <c r="R32" s="7">
        <f>IF($H32&gt;K32,MIN($H32-K32,L32-K32)*INDEX('2018_commission_structure'!$A$11:$I$14,MATCH(Calculations!$E32,'2018_commission_structure'!$A$11:$A$14,0), MATCH(Calculations!R$1,'2018_commission_structure'!$A$11:$I$11,0)),0)</f>
        <v>0</v>
      </c>
      <c r="S32" s="7">
        <f>IF(H32&gt;L32,(H32-L32)*INDEX('2018_commission_structure'!$A$11:$I$14,MATCH(Calculations!$E32,'2018_commission_structure'!$A$11:$A$14,0),MATCH(Calculations!S$1,'2018_commission_structure'!$A$11:$I$11,0)),0)</f>
        <v>0</v>
      </c>
      <c r="T32" s="7">
        <f t="shared" si="5"/>
        <v>68723.149999999994</v>
      </c>
      <c r="U32" s="7">
        <f t="shared" si="6"/>
        <v>133125.15</v>
      </c>
      <c r="V32" s="7">
        <f>MIN(H32,I32)*INDEX('2018_commission_structure'!$A$5:$J$8,MATCH(Calculations!$E32,'2018_commission_structure'!$A$5:$A$8,0),MATCH(Calculations!V$1,'2018_commission_structure'!$A$5:$J$5,0))</f>
        <v>60000</v>
      </c>
      <c r="W32" s="2">
        <f>IF($H32&gt;I32,MIN($H32-I32,J32-I32)*INDEX('2018_commission_structure'!$A$5:$J$8,MATCH(Calculations!$E32,'2018_commission_structure'!$A$5:$A$8,0),MATCH(Calculations!W$1,'2018_commission_structure'!$A$5:$J$5,0)),0)</f>
        <v>21219.57</v>
      </c>
      <c r="X32" s="2">
        <f>IF($H32&gt;J32,MIN($H32-J32,K32-J32)*INDEX('2018_commission_structure'!$A$5:$J$8,MATCH(Calculations!$E32,'2018_commission_structure'!$A$5:$A$8,0),MATCH(Calculations!X$1,'2018_commission_structure'!$A$5:$J$5,0)),0)</f>
        <v>0</v>
      </c>
      <c r="Y32" s="2">
        <f>IF($H32&gt;K32,MIN($H32-K32,L32-K32)*INDEX('2018_commission_structure'!$A$5:$J$8,MATCH(Calculations!$E32,'2018_commission_structure'!$A$5:$A$8,0),MATCH(Calculations!Y$1,'2018_commission_structure'!$A$5:$J$5,0)),0)</f>
        <v>0</v>
      </c>
      <c r="Z32" s="2">
        <f xml:space="preserve"> IF(H32&gt;L32,(H32-L32)*INDEX('2018_commission_structure'!$A$11:$I$14,MATCH(Calculations!$E32,'2018_commission_structure'!$A$11:$A$14,0),MATCH(Calculations!Z$1,'2018_commission_structure'!$A$11:$I$11,0)),0)</f>
        <v>0</v>
      </c>
      <c r="AA32" s="7">
        <f t="shared" si="7"/>
        <v>81219.570000000007</v>
      </c>
      <c r="AB32" s="7">
        <f t="shared" si="8"/>
        <v>145621.57</v>
      </c>
    </row>
    <row r="33" spans="1:28" x14ac:dyDescent="0.25">
      <c r="A33">
        <v>6313424239</v>
      </c>
      <c r="B33" t="s">
        <v>1759</v>
      </c>
      <c r="C33" t="s">
        <v>1760</v>
      </c>
      <c r="D33" t="str">
        <f>B33&amp;" "&amp;C33</f>
        <v>Rubina Arp</v>
      </c>
      <c r="E33" t="s">
        <v>29</v>
      </c>
      <c r="F33">
        <v>55136</v>
      </c>
      <c r="G33">
        <f>COUNTIF(deals_closed!D:D,Calculations!A33)</f>
        <v>23</v>
      </c>
      <c r="H33" s="2">
        <f>SUMIF(deals_closed!D:D,Calculations!A33,deals_closed!C:C)</f>
        <v>771161</v>
      </c>
      <c r="I33" s="2">
        <f>VLOOKUP(E33,'2018_commission_structure'!$A$11:$I$14,9,FALSE)</f>
        <v>600000</v>
      </c>
      <c r="J33" s="2">
        <f t="shared" si="0"/>
        <v>750000</v>
      </c>
      <c r="K33" s="2">
        <f t="shared" si="1"/>
        <v>900000</v>
      </c>
      <c r="L33" s="2">
        <f t="shared" si="2"/>
        <v>1200000</v>
      </c>
      <c r="M33" s="6">
        <f t="shared" si="3"/>
        <v>1.2852683333333332</v>
      </c>
      <c r="N33" t="str">
        <f t="shared" si="4"/>
        <v>125-150%</v>
      </c>
      <c r="O33" s="7">
        <f>MIN(I33,H33)*INDEX('2018_commission_structure'!$A$11:$I$14,MATCH(Calculations!$E33,'2018_commission_structure'!$A$11:$A$14,0),MATCH(Calculations!O$1,'2018_commission_structure'!$A$11:$I$11,0))</f>
        <v>78000</v>
      </c>
      <c r="P33" s="7">
        <f>IF($H33&gt;I33,MIN($H33-I33,J33-I33)*INDEX('2018_commission_structure'!$A$11:$I$14,MATCH(Calculations!$E33,'2018_commission_structure'!$A$11:$A$14,0), MATCH(Calculations!P$1,'2018_commission_structure'!$A$11:$I$11,0)),0)</f>
        <v>25500.000000000004</v>
      </c>
      <c r="Q33" s="7">
        <f>IF($H33&gt;J33,MIN($H33-J33,K33-J33)*INDEX('2018_commission_structure'!$A$11:$I$14,MATCH(Calculations!$E33,'2018_commission_structure'!$A$11:$A$14,0), MATCH(Calculations!Q$1,'2018_commission_structure'!$A$11:$I$11,0)),0)</f>
        <v>4443.8099999999995</v>
      </c>
      <c r="R33" s="7">
        <f>IF($H33&gt;K33,MIN($H33-K33,L33-K33)*INDEX('2018_commission_structure'!$A$11:$I$14,MATCH(Calculations!$E33,'2018_commission_structure'!$A$11:$A$14,0), MATCH(Calculations!R$1,'2018_commission_structure'!$A$11:$I$11,0)),0)</f>
        <v>0</v>
      </c>
      <c r="S33" s="7">
        <f>IF(H33&gt;L33,(H33-L33)*INDEX('2018_commission_structure'!$A$11:$I$14,MATCH(Calculations!$E33,'2018_commission_structure'!$A$11:$A$14,0),MATCH(Calculations!S$1,'2018_commission_structure'!$A$11:$I$11,0)),0)</f>
        <v>0</v>
      </c>
      <c r="T33" s="7">
        <f t="shared" si="5"/>
        <v>107943.81</v>
      </c>
      <c r="U33" s="7">
        <f t="shared" si="6"/>
        <v>163079.81</v>
      </c>
      <c r="V33" s="7">
        <f>MIN(H33,I33)*INDEX('2018_commission_structure'!$A$5:$J$8,MATCH(Calculations!$E33,'2018_commission_structure'!$A$5:$A$8,0),MATCH(Calculations!V$1,'2018_commission_structure'!$A$5:$J$5,0))</f>
        <v>90000</v>
      </c>
      <c r="W33" s="2">
        <f>IF($H33&gt;I33,MIN($H33-I33,J33-I33)*INDEX('2018_commission_structure'!$A$5:$J$8,MATCH(Calculations!$E33,'2018_commission_structure'!$A$5:$A$8,0),MATCH(Calculations!W$1,'2018_commission_structure'!$A$5:$J$5,0)),0)</f>
        <v>27000</v>
      </c>
      <c r="X33" s="2">
        <f>IF($H33&gt;J33,MIN($H33-J33,K33-J33)*INDEX('2018_commission_structure'!$A$5:$J$8,MATCH(Calculations!$E33,'2018_commission_structure'!$A$5:$A$8,0),MATCH(Calculations!X$1,'2018_commission_structure'!$A$5:$J$5,0)),0)</f>
        <v>5290.25</v>
      </c>
      <c r="Y33" s="2">
        <f>IF($H33&gt;K33,MIN($H33-K33,L33-K33)*INDEX('2018_commission_structure'!$A$5:$J$8,MATCH(Calculations!$E33,'2018_commission_structure'!$A$5:$A$8,0),MATCH(Calculations!Y$1,'2018_commission_structure'!$A$5:$J$5,0)),0)</f>
        <v>0</v>
      </c>
      <c r="Z33" s="2">
        <f xml:space="preserve"> IF(H33&gt;L33,(H33-L33)*INDEX('2018_commission_structure'!$A$11:$I$14,MATCH(Calculations!$E33,'2018_commission_structure'!$A$11:$A$14,0),MATCH(Calculations!Z$1,'2018_commission_structure'!$A$11:$I$11,0)),0)</f>
        <v>0</v>
      </c>
      <c r="AA33" s="7">
        <f t="shared" si="7"/>
        <v>122290.25</v>
      </c>
      <c r="AB33" s="7">
        <f t="shared" si="8"/>
        <v>177426.25</v>
      </c>
    </row>
    <row r="34" spans="1:28" x14ac:dyDescent="0.25">
      <c r="A34">
        <v>7304628987</v>
      </c>
      <c r="B34" t="s">
        <v>1387</v>
      </c>
      <c r="C34" t="s">
        <v>1388</v>
      </c>
      <c r="D34" t="str">
        <f>B34&amp;" "&amp;C34</f>
        <v>Mariquilla Arsmith</v>
      </c>
      <c r="E34" t="s">
        <v>10</v>
      </c>
      <c r="F34">
        <v>98920</v>
      </c>
      <c r="G34">
        <f>COUNTIF(deals_closed!D:D,Calculations!A34)</f>
        <v>28</v>
      </c>
      <c r="H34" s="2">
        <f>SUMIF(deals_closed!D:D,Calculations!A34,deals_closed!C:C)</f>
        <v>1078035</v>
      </c>
      <c r="I34" s="2">
        <f>VLOOKUP(E34,'2018_commission_structure'!$A$11:$I$14,9,FALSE)</f>
        <v>750000</v>
      </c>
      <c r="J34" s="2">
        <f t="shared" si="0"/>
        <v>937500</v>
      </c>
      <c r="K34" s="2">
        <f t="shared" si="1"/>
        <v>1125000</v>
      </c>
      <c r="L34" s="2">
        <f t="shared" si="2"/>
        <v>1500000</v>
      </c>
      <c r="M34" s="6">
        <f t="shared" si="3"/>
        <v>1.4373800000000001</v>
      </c>
      <c r="N34" t="str">
        <f t="shared" si="4"/>
        <v>125-150%</v>
      </c>
      <c r="O34" s="7">
        <f>MIN(I34,H34)*INDEX('2018_commission_structure'!$A$11:$I$14,MATCH(Calculations!$E34,'2018_commission_structure'!$A$11:$A$14,0),MATCH(Calculations!O$1,'2018_commission_structure'!$A$11:$I$11,0))</f>
        <v>112500</v>
      </c>
      <c r="P34" s="7">
        <f>IF($H34&gt;I34,MIN($H34-I34,J34-I34)*INDEX('2018_commission_structure'!$A$11:$I$14,MATCH(Calculations!$E34,'2018_commission_structure'!$A$11:$A$14,0), MATCH(Calculations!P$1,'2018_commission_structure'!$A$11:$I$11,0)),0)</f>
        <v>35625</v>
      </c>
      <c r="Q34" s="7">
        <f>IF($H34&gt;J34,MIN($H34-J34,K34-J34)*INDEX('2018_commission_structure'!$A$11:$I$14,MATCH(Calculations!$E34,'2018_commission_structure'!$A$11:$A$14,0), MATCH(Calculations!Q$1,'2018_commission_structure'!$A$11:$I$11,0)),0)</f>
        <v>32323.050000000003</v>
      </c>
      <c r="R34" s="7">
        <f>IF($H34&gt;K34,MIN($H34-K34,L34-K34)*INDEX('2018_commission_structure'!$A$11:$I$14,MATCH(Calculations!$E34,'2018_commission_structure'!$A$11:$A$14,0), MATCH(Calculations!R$1,'2018_commission_structure'!$A$11:$I$11,0)),0)</f>
        <v>0</v>
      </c>
      <c r="S34" s="7">
        <f>IF(H34&gt;L34,(H34-L34)*INDEX('2018_commission_structure'!$A$11:$I$14,MATCH(Calculations!$E34,'2018_commission_structure'!$A$11:$A$14,0),MATCH(Calculations!S$1,'2018_commission_structure'!$A$11:$I$11,0)),0)</f>
        <v>0</v>
      </c>
      <c r="T34" s="7">
        <f t="shared" si="5"/>
        <v>180448.05</v>
      </c>
      <c r="U34" s="7">
        <f t="shared" si="6"/>
        <v>279368.05</v>
      </c>
      <c r="V34" s="7">
        <f>MIN(H34,I34)*INDEX('2018_commission_structure'!$A$5:$J$8,MATCH(Calculations!$E34,'2018_commission_structure'!$A$5:$A$8,0),MATCH(Calculations!V$1,'2018_commission_structure'!$A$5:$J$5,0))</f>
        <v>112500</v>
      </c>
      <c r="W34" s="2">
        <f>IF($H34&gt;I34,MIN($H34-I34,J34-I34)*INDEX('2018_commission_structure'!$A$5:$J$8,MATCH(Calculations!$E34,'2018_commission_structure'!$A$5:$A$8,0),MATCH(Calculations!W$1,'2018_commission_structure'!$A$5:$J$5,0)),0)</f>
        <v>41250</v>
      </c>
      <c r="X34" s="2">
        <f>IF($H34&gt;J34,MIN($H34-J34,K34-J34)*INDEX('2018_commission_structure'!$A$5:$J$8,MATCH(Calculations!$E34,'2018_commission_structure'!$A$5:$A$8,0),MATCH(Calculations!X$1,'2018_commission_structure'!$A$5:$J$5,0)),0)</f>
        <v>35133.75</v>
      </c>
      <c r="Y34" s="2">
        <f>IF($H34&gt;K34,MIN($H34-K34,L34-K34)*INDEX('2018_commission_structure'!$A$5:$J$8,MATCH(Calculations!$E34,'2018_commission_structure'!$A$5:$A$8,0),MATCH(Calculations!Y$1,'2018_commission_structure'!$A$5:$J$5,0)),0)</f>
        <v>0</v>
      </c>
      <c r="Z34" s="2">
        <f xml:space="preserve"> IF(H34&gt;L34,(H34-L34)*INDEX('2018_commission_structure'!$A$11:$I$14,MATCH(Calculations!$E34,'2018_commission_structure'!$A$11:$A$14,0),MATCH(Calculations!Z$1,'2018_commission_structure'!$A$11:$I$11,0)),0)</f>
        <v>0</v>
      </c>
      <c r="AA34" s="7">
        <f t="shared" si="7"/>
        <v>188883.75</v>
      </c>
      <c r="AB34" s="7">
        <f t="shared" si="8"/>
        <v>287803.75</v>
      </c>
    </row>
    <row r="35" spans="1:28" x14ac:dyDescent="0.25">
      <c r="A35">
        <v>977779009</v>
      </c>
      <c r="B35" t="s">
        <v>580</v>
      </c>
      <c r="C35" t="s">
        <v>581</v>
      </c>
      <c r="D35" t="str">
        <f>B35&amp;" "&amp;C35</f>
        <v>Tabina Askell</v>
      </c>
      <c r="E35" t="s">
        <v>10</v>
      </c>
      <c r="F35">
        <v>117844</v>
      </c>
      <c r="G35">
        <f>COUNTIF(deals_closed!D:D,Calculations!A35)</f>
        <v>15</v>
      </c>
      <c r="H35" s="2">
        <f>SUMIF(deals_closed!D:D,Calculations!A35,deals_closed!C:C)</f>
        <v>512176</v>
      </c>
      <c r="I35" s="2">
        <f>VLOOKUP(E35,'2018_commission_structure'!$A$11:$I$14,9,FALSE)</f>
        <v>750000</v>
      </c>
      <c r="J35" s="2">
        <f t="shared" si="0"/>
        <v>937500</v>
      </c>
      <c r="K35" s="2">
        <f t="shared" si="1"/>
        <v>1125000</v>
      </c>
      <c r="L35" s="2">
        <f t="shared" si="2"/>
        <v>1500000</v>
      </c>
      <c r="M35" s="6">
        <f t="shared" si="3"/>
        <v>0.68290133333333336</v>
      </c>
      <c r="N35" t="str">
        <f t="shared" si="4"/>
        <v>0-100%</v>
      </c>
      <c r="O35" s="7">
        <f>MIN(I35,H35)*INDEX('2018_commission_structure'!$A$11:$I$14,MATCH(Calculations!$E35,'2018_commission_structure'!$A$11:$A$14,0),MATCH(Calculations!O$1,'2018_commission_structure'!$A$11:$I$11,0))</f>
        <v>76826.399999999994</v>
      </c>
      <c r="P35" s="7">
        <f>IF($H35&gt;I35,MIN($H35-I35,J35-I35)*INDEX('2018_commission_structure'!$A$11:$I$14,MATCH(Calculations!$E35,'2018_commission_structure'!$A$11:$A$14,0), MATCH(Calculations!P$1,'2018_commission_structure'!$A$11:$I$11,0)),0)</f>
        <v>0</v>
      </c>
      <c r="Q35" s="7">
        <f>IF($H35&gt;J35,MIN($H35-J35,K35-J35)*INDEX('2018_commission_structure'!$A$11:$I$14,MATCH(Calculations!$E35,'2018_commission_structure'!$A$11:$A$14,0), MATCH(Calculations!Q$1,'2018_commission_structure'!$A$11:$I$11,0)),0)</f>
        <v>0</v>
      </c>
      <c r="R35" s="7">
        <f>IF($H35&gt;K35,MIN($H35-K35,L35-K35)*INDEX('2018_commission_structure'!$A$11:$I$14,MATCH(Calculations!$E35,'2018_commission_structure'!$A$11:$A$14,0), MATCH(Calculations!R$1,'2018_commission_structure'!$A$11:$I$11,0)),0)</f>
        <v>0</v>
      </c>
      <c r="S35" s="7">
        <f>IF(H35&gt;L35,(H35-L35)*INDEX('2018_commission_structure'!$A$11:$I$14,MATCH(Calculations!$E35,'2018_commission_structure'!$A$11:$A$14,0),MATCH(Calculations!S$1,'2018_commission_structure'!$A$11:$I$11,0)),0)</f>
        <v>0</v>
      </c>
      <c r="T35" s="7">
        <f t="shared" si="5"/>
        <v>76826.399999999994</v>
      </c>
      <c r="U35" s="7">
        <f t="shared" si="6"/>
        <v>194670.4</v>
      </c>
      <c r="V35" s="7">
        <f>MIN(H35,I35)*INDEX('2018_commission_structure'!$A$5:$J$8,MATCH(Calculations!$E35,'2018_commission_structure'!$A$5:$A$8,0),MATCH(Calculations!V$1,'2018_commission_structure'!$A$5:$J$5,0))</f>
        <v>76826.399999999994</v>
      </c>
      <c r="W35" s="2">
        <f>IF($H35&gt;I35,MIN($H35-I35,J35-I35)*INDEX('2018_commission_structure'!$A$5:$J$8,MATCH(Calculations!$E35,'2018_commission_structure'!$A$5:$A$8,0),MATCH(Calculations!W$1,'2018_commission_structure'!$A$5:$J$5,0)),0)</f>
        <v>0</v>
      </c>
      <c r="X35" s="2">
        <f>IF($H35&gt;J35,MIN($H35-J35,K35-J35)*INDEX('2018_commission_structure'!$A$5:$J$8,MATCH(Calculations!$E35,'2018_commission_structure'!$A$5:$A$8,0),MATCH(Calculations!X$1,'2018_commission_structure'!$A$5:$J$5,0)),0)</f>
        <v>0</v>
      </c>
      <c r="Y35" s="2">
        <f>IF($H35&gt;K35,MIN($H35-K35,L35-K35)*INDEX('2018_commission_structure'!$A$5:$J$8,MATCH(Calculations!$E35,'2018_commission_structure'!$A$5:$A$8,0),MATCH(Calculations!Y$1,'2018_commission_structure'!$A$5:$J$5,0)),0)</f>
        <v>0</v>
      </c>
      <c r="Z35" s="2">
        <f xml:space="preserve"> IF(H35&gt;L35,(H35-L35)*INDEX('2018_commission_structure'!$A$11:$I$14,MATCH(Calculations!$E35,'2018_commission_structure'!$A$11:$A$14,0),MATCH(Calculations!Z$1,'2018_commission_structure'!$A$11:$I$11,0)),0)</f>
        <v>0</v>
      </c>
      <c r="AA35" s="7">
        <f t="shared" si="7"/>
        <v>76826.399999999994</v>
      </c>
      <c r="AB35" s="7">
        <f t="shared" si="8"/>
        <v>194670.4</v>
      </c>
    </row>
    <row r="36" spans="1:28" x14ac:dyDescent="0.25">
      <c r="A36">
        <v>1518783783</v>
      </c>
      <c r="B36" t="s">
        <v>726</v>
      </c>
      <c r="C36" t="s">
        <v>727</v>
      </c>
      <c r="D36" t="str">
        <f>B36&amp;" "&amp;C36</f>
        <v>Alex Ateridge</v>
      </c>
      <c r="E36" t="s">
        <v>7</v>
      </c>
      <c r="F36">
        <v>30311</v>
      </c>
      <c r="G36">
        <f>COUNTIF(deals_closed!D:D,Calculations!A36)</f>
        <v>19</v>
      </c>
      <c r="H36" s="2">
        <f>SUMIF(deals_closed!D:D,Calculations!A36,deals_closed!C:C)</f>
        <v>656054</v>
      </c>
      <c r="I36" s="2">
        <f>VLOOKUP(E36,'2018_commission_structure'!$A$11:$I$14,9,FALSE)</f>
        <v>500000</v>
      </c>
      <c r="J36" s="2">
        <f t="shared" si="0"/>
        <v>625000</v>
      </c>
      <c r="K36" s="2">
        <f t="shared" si="1"/>
        <v>750000</v>
      </c>
      <c r="L36" s="2">
        <f t="shared" si="2"/>
        <v>1000000</v>
      </c>
      <c r="M36" s="6">
        <f t="shared" si="3"/>
        <v>1.3121080000000001</v>
      </c>
      <c r="N36" t="str">
        <f t="shared" si="4"/>
        <v>125-150%</v>
      </c>
      <c r="O36" s="7">
        <f>MIN(I36,H36)*INDEX('2018_commission_structure'!$A$11:$I$14,MATCH(Calculations!$E36,'2018_commission_structure'!$A$11:$A$14,0),MATCH(Calculations!O$1,'2018_commission_structure'!$A$11:$I$11,0))</f>
        <v>50000</v>
      </c>
      <c r="P36" s="7">
        <f>IF($H36&gt;I36,MIN($H36-I36,J36-I36)*INDEX('2018_commission_structure'!$A$11:$I$14,MATCH(Calculations!$E36,'2018_commission_structure'!$A$11:$A$14,0), MATCH(Calculations!P$1,'2018_commission_structure'!$A$11:$I$11,0)),0)</f>
        <v>18750</v>
      </c>
      <c r="Q36" s="7">
        <f>IF($H36&gt;J36,MIN($H36-J36,K36-J36)*INDEX('2018_commission_structure'!$A$11:$I$14,MATCH(Calculations!$E36,'2018_commission_structure'!$A$11:$A$14,0), MATCH(Calculations!Q$1,'2018_commission_structure'!$A$11:$I$11,0)),0)</f>
        <v>5589.7199999999993</v>
      </c>
      <c r="R36" s="7">
        <f>IF($H36&gt;K36,MIN($H36-K36,L36-K36)*INDEX('2018_commission_structure'!$A$11:$I$14,MATCH(Calculations!$E36,'2018_commission_structure'!$A$11:$A$14,0), MATCH(Calculations!R$1,'2018_commission_structure'!$A$11:$I$11,0)),0)</f>
        <v>0</v>
      </c>
      <c r="S36" s="7">
        <f>IF(H36&gt;L36,(H36-L36)*INDEX('2018_commission_structure'!$A$11:$I$14,MATCH(Calculations!$E36,'2018_commission_structure'!$A$11:$A$14,0),MATCH(Calculations!S$1,'2018_commission_structure'!$A$11:$I$11,0)),0)</f>
        <v>0</v>
      </c>
      <c r="T36" s="7">
        <f t="shared" si="5"/>
        <v>74339.72</v>
      </c>
      <c r="U36" s="7">
        <f t="shared" si="6"/>
        <v>104650.72</v>
      </c>
      <c r="V36" s="7">
        <f>MIN(H36,I36)*INDEX('2018_commission_structure'!$A$5:$J$8,MATCH(Calculations!$E36,'2018_commission_structure'!$A$5:$A$8,0),MATCH(Calculations!V$1,'2018_commission_structure'!$A$5:$J$5,0))</f>
        <v>60000</v>
      </c>
      <c r="W36" s="2">
        <f>IF($H36&gt;I36,MIN($H36-I36,J36-I36)*INDEX('2018_commission_structure'!$A$5:$J$8,MATCH(Calculations!$E36,'2018_commission_structure'!$A$5:$A$8,0),MATCH(Calculations!W$1,'2018_commission_structure'!$A$5:$J$5,0)),0)</f>
        <v>21250</v>
      </c>
      <c r="X36" s="2">
        <f>IF($H36&gt;J36,MIN($H36-J36,K36-J36)*INDEX('2018_commission_structure'!$A$5:$J$8,MATCH(Calculations!$E36,'2018_commission_structure'!$A$5:$A$8,0),MATCH(Calculations!X$1,'2018_commission_structure'!$A$5:$J$5,0)),0)</f>
        <v>6210.8</v>
      </c>
      <c r="Y36" s="2">
        <f>IF($H36&gt;K36,MIN($H36-K36,L36-K36)*INDEX('2018_commission_structure'!$A$5:$J$8,MATCH(Calculations!$E36,'2018_commission_structure'!$A$5:$A$8,0),MATCH(Calculations!Y$1,'2018_commission_structure'!$A$5:$J$5,0)),0)</f>
        <v>0</v>
      </c>
      <c r="Z36" s="2">
        <f xml:space="preserve"> IF(H36&gt;L36,(H36-L36)*INDEX('2018_commission_structure'!$A$11:$I$14,MATCH(Calculations!$E36,'2018_commission_structure'!$A$11:$A$14,0),MATCH(Calculations!Z$1,'2018_commission_structure'!$A$11:$I$11,0)),0)</f>
        <v>0</v>
      </c>
      <c r="AA36" s="7">
        <f t="shared" si="7"/>
        <v>87460.800000000003</v>
      </c>
      <c r="AB36" s="7">
        <f t="shared" si="8"/>
        <v>117771.8</v>
      </c>
    </row>
    <row r="37" spans="1:28" x14ac:dyDescent="0.25">
      <c r="A37">
        <v>4150450668</v>
      </c>
      <c r="B37" t="s">
        <v>878</v>
      </c>
      <c r="C37" t="s">
        <v>879</v>
      </c>
      <c r="D37" t="str">
        <f>B37&amp;" "&amp;C37</f>
        <v>Martica Attenbrow</v>
      </c>
      <c r="E37" t="s">
        <v>7</v>
      </c>
      <c r="F37">
        <v>37047</v>
      </c>
      <c r="G37">
        <f>COUNTIF(deals_closed!D:D,Calculations!A37)</f>
        <v>17</v>
      </c>
      <c r="H37" s="2">
        <f>SUMIF(deals_closed!D:D,Calculations!A37,deals_closed!C:C)</f>
        <v>559337</v>
      </c>
      <c r="I37" s="2">
        <f>VLOOKUP(E37,'2018_commission_structure'!$A$11:$I$14,9,FALSE)</f>
        <v>500000</v>
      </c>
      <c r="J37" s="2">
        <f t="shared" si="0"/>
        <v>625000</v>
      </c>
      <c r="K37" s="2">
        <f t="shared" si="1"/>
        <v>750000</v>
      </c>
      <c r="L37" s="2">
        <f t="shared" si="2"/>
        <v>1000000</v>
      </c>
      <c r="M37" s="6">
        <f t="shared" si="3"/>
        <v>1.1186739999999999</v>
      </c>
      <c r="N37" t="str">
        <f t="shared" si="4"/>
        <v>100-125%</v>
      </c>
      <c r="O37" s="7">
        <f>MIN(I37,H37)*INDEX('2018_commission_structure'!$A$11:$I$14,MATCH(Calculations!$E37,'2018_commission_structure'!$A$11:$A$14,0),MATCH(Calculations!O$1,'2018_commission_structure'!$A$11:$I$11,0))</f>
        <v>50000</v>
      </c>
      <c r="P37" s="7">
        <f>IF($H37&gt;I37,MIN($H37-I37,J37-I37)*INDEX('2018_commission_structure'!$A$11:$I$14,MATCH(Calculations!$E37,'2018_commission_structure'!$A$11:$A$14,0), MATCH(Calculations!P$1,'2018_commission_structure'!$A$11:$I$11,0)),0)</f>
        <v>8900.5499999999993</v>
      </c>
      <c r="Q37" s="7">
        <f>IF($H37&gt;J37,MIN($H37-J37,K37-J37)*INDEX('2018_commission_structure'!$A$11:$I$14,MATCH(Calculations!$E37,'2018_commission_structure'!$A$11:$A$14,0), MATCH(Calculations!Q$1,'2018_commission_structure'!$A$11:$I$11,0)),0)</f>
        <v>0</v>
      </c>
      <c r="R37" s="7">
        <f>IF($H37&gt;K37,MIN($H37-K37,L37-K37)*INDEX('2018_commission_structure'!$A$11:$I$14,MATCH(Calculations!$E37,'2018_commission_structure'!$A$11:$A$14,0), MATCH(Calculations!R$1,'2018_commission_structure'!$A$11:$I$11,0)),0)</f>
        <v>0</v>
      </c>
      <c r="S37" s="7">
        <f>IF(H37&gt;L37,(H37-L37)*INDEX('2018_commission_structure'!$A$11:$I$14,MATCH(Calculations!$E37,'2018_commission_structure'!$A$11:$A$14,0),MATCH(Calculations!S$1,'2018_commission_structure'!$A$11:$I$11,0)),0)</f>
        <v>0</v>
      </c>
      <c r="T37" s="7">
        <f t="shared" si="5"/>
        <v>58900.55</v>
      </c>
      <c r="U37" s="7">
        <f t="shared" si="6"/>
        <v>95947.55</v>
      </c>
      <c r="V37" s="7">
        <f>MIN(H37,I37)*INDEX('2018_commission_structure'!$A$5:$J$8,MATCH(Calculations!$E37,'2018_commission_structure'!$A$5:$A$8,0),MATCH(Calculations!V$1,'2018_commission_structure'!$A$5:$J$5,0))</f>
        <v>60000</v>
      </c>
      <c r="W37" s="2">
        <f>IF($H37&gt;I37,MIN($H37-I37,J37-I37)*INDEX('2018_commission_structure'!$A$5:$J$8,MATCH(Calculations!$E37,'2018_commission_structure'!$A$5:$A$8,0),MATCH(Calculations!W$1,'2018_commission_structure'!$A$5:$J$5,0)),0)</f>
        <v>10087.290000000001</v>
      </c>
      <c r="X37" s="2">
        <f>IF($H37&gt;J37,MIN($H37-J37,K37-J37)*INDEX('2018_commission_structure'!$A$5:$J$8,MATCH(Calculations!$E37,'2018_commission_structure'!$A$5:$A$8,0),MATCH(Calculations!X$1,'2018_commission_structure'!$A$5:$J$5,0)),0)</f>
        <v>0</v>
      </c>
      <c r="Y37" s="2">
        <f>IF($H37&gt;K37,MIN($H37-K37,L37-K37)*INDEX('2018_commission_structure'!$A$5:$J$8,MATCH(Calculations!$E37,'2018_commission_structure'!$A$5:$A$8,0),MATCH(Calculations!Y$1,'2018_commission_structure'!$A$5:$J$5,0)),0)</f>
        <v>0</v>
      </c>
      <c r="Z37" s="2">
        <f xml:space="preserve"> IF(H37&gt;L37,(H37-L37)*INDEX('2018_commission_structure'!$A$11:$I$14,MATCH(Calculations!$E37,'2018_commission_structure'!$A$11:$A$14,0),MATCH(Calculations!Z$1,'2018_commission_structure'!$A$11:$I$11,0)),0)</f>
        <v>0</v>
      </c>
      <c r="AA37" s="7">
        <f t="shared" si="7"/>
        <v>70087.290000000008</v>
      </c>
      <c r="AB37" s="7">
        <f t="shared" si="8"/>
        <v>107134.29000000001</v>
      </c>
    </row>
    <row r="38" spans="1:28" x14ac:dyDescent="0.25">
      <c r="A38">
        <v>2185059785</v>
      </c>
      <c r="B38" t="s">
        <v>656</v>
      </c>
      <c r="C38" t="s">
        <v>657</v>
      </c>
      <c r="D38" t="str">
        <f>B38&amp;" "&amp;C38</f>
        <v>Celka Attoc</v>
      </c>
      <c r="E38" t="s">
        <v>10</v>
      </c>
      <c r="F38">
        <v>108166</v>
      </c>
      <c r="G38">
        <f>COUNTIF(deals_closed!D:D,Calculations!A38)</f>
        <v>20</v>
      </c>
      <c r="H38" s="2">
        <f>SUMIF(deals_closed!D:D,Calculations!A38,deals_closed!C:C)</f>
        <v>700449</v>
      </c>
      <c r="I38" s="2">
        <f>VLOOKUP(E38,'2018_commission_structure'!$A$11:$I$14,9,FALSE)</f>
        <v>750000</v>
      </c>
      <c r="J38" s="2">
        <f t="shared" si="0"/>
        <v>937500</v>
      </c>
      <c r="K38" s="2">
        <f t="shared" si="1"/>
        <v>1125000</v>
      </c>
      <c r="L38" s="2">
        <f t="shared" si="2"/>
        <v>1500000</v>
      </c>
      <c r="M38" s="6">
        <f t="shared" si="3"/>
        <v>0.93393199999999998</v>
      </c>
      <c r="N38" t="str">
        <f t="shared" si="4"/>
        <v>0-100%</v>
      </c>
      <c r="O38" s="7">
        <f>MIN(I38,H38)*INDEX('2018_commission_structure'!$A$11:$I$14,MATCH(Calculations!$E38,'2018_commission_structure'!$A$11:$A$14,0),MATCH(Calculations!O$1,'2018_commission_structure'!$A$11:$I$11,0))</f>
        <v>105067.34999999999</v>
      </c>
      <c r="P38" s="7">
        <f>IF($H38&gt;I38,MIN($H38-I38,J38-I38)*INDEX('2018_commission_structure'!$A$11:$I$14,MATCH(Calculations!$E38,'2018_commission_structure'!$A$11:$A$14,0), MATCH(Calculations!P$1,'2018_commission_structure'!$A$11:$I$11,0)),0)</f>
        <v>0</v>
      </c>
      <c r="Q38" s="7">
        <f>IF($H38&gt;J38,MIN($H38-J38,K38-J38)*INDEX('2018_commission_structure'!$A$11:$I$14,MATCH(Calculations!$E38,'2018_commission_structure'!$A$11:$A$14,0), MATCH(Calculations!Q$1,'2018_commission_structure'!$A$11:$I$11,0)),0)</f>
        <v>0</v>
      </c>
      <c r="R38" s="7">
        <f>IF($H38&gt;K38,MIN($H38-K38,L38-K38)*INDEX('2018_commission_structure'!$A$11:$I$14,MATCH(Calculations!$E38,'2018_commission_structure'!$A$11:$A$14,0), MATCH(Calculations!R$1,'2018_commission_structure'!$A$11:$I$11,0)),0)</f>
        <v>0</v>
      </c>
      <c r="S38" s="7">
        <f>IF(H38&gt;L38,(H38-L38)*INDEX('2018_commission_structure'!$A$11:$I$14,MATCH(Calculations!$E38,'2018_commission_structure'!$A$11:$A$14,0),MATCH(Calculations!S$1,'2018_commission_structure'!$A$11:$I$11,0)),0)</f>
        <v>0</v>
      </c>
      <c r="T38" s="7">
        <f t="shared" si="5"/>
        <v>105067.34999999999</v>
      </c>
      <c r="U38" s="7">
        <f t="shared" si="6"/>
        <v>213233.34999999998</v>
      </c>
      <c r="V38" s="7">
        <f>MIN(H38,I38)*INDEX('2018_commission_structure'!$A$5:$J$8,MATCH(Calculations!$E38,'2018_commission_structure'!$A$5:$A$8,0),MATCH(Calculations!V$1,'2018_commission_structure'!$A$5:$J$5,0))</f>
        <v>105067.34999999999</v>
      </c>
      <c r="W38" s="2">
        <f>IF($H38&gt;I38,MIN($H38-I38,J38-I38)*INDEX('2018_commission_structure'!$A$5:$J$8,MATCH(Calculations!$E38,'2018_commission_structure'!$A$5:$A$8,0),MATCH(Calculations!W$1,'2018_commission_structure'!$A$5:$J$5,0)),0)</f>
        <v>0</v>
      </c>
      <c r="X38" s="2">
        <f>IF($H38&gt;J38,MIN($H38-J38,K38-J38)*INDEX('2018_commission_structure'!$A$5:$J$8,MATCH(Calculations!$E38,'2018_commission_structure'!$A$5:$A$8,0),MATCH(Calculations!X$1,'2018_commission_structure'!$A$5:$J$5,0)),0)</f>
        <v>0</v>
      </c>
      <c r="Y38" s="2">
        <f>IF($H38&gt;K38,MIN($H38-K38,L38-K38)*INDEX('2018_commission_structure'!$A$5:$J$8,MATCH(Calculations!$E38,'2018_commission_structure'!$A$5:$A$8,0),MATCH(Calculations!Y$1,'2018_commission_structure'!$A$5:$J$5,0)),0)</f>
        <v>0</v>
      </c>
      <c r="Z38" s="2">
        <f xml:space="preserve"> IF(H38&gt;L38,(H38-L38)*INDEX('2018_commission_structure'!$A$11:$I$14,MATCH(Calculations!$E38,'2018_commission_structure'!$A$11:$A$14,0),MATCH(Calculations!Z$1,'2018_commission_structure'!$A$11:$I$11,0)),0)</f>
        <v>0</v>
      </c>
      <c r="AA38" s="7">
        <f t="shared" si="7"/>
        <v>105067.34999999999</v>
      </c>
      <c r="AB38" s="7">
        <f t="shared" si="8"/>
        <v>213233.34999999998</v>
      </c>
    </row>
    <row r="39" spans="1:28" x14ac:dyDescent="0.25">
      <c r="A39">
        <v>1659448174</v>
      </c>
      <c r="B39" t="s">
        <v>1021</v>
      </c>
      <c r="C39" t="s">
        <v>1022</v>
      </c>
      <c r="D39" t="str">
        <f>B39&amp;" "&amp;C39</f>
        <v>Christina Augar</v>
      </c>
      <c r="E39" t="s">
        <v>10</v>
      </c>
      <c r="F39">
        <v>79013</v>
      </c>
      <c r="G39">
        <f>COUNTIF(deals_closed!D:D,Calculations!A39)</f>
        <v>18</v>
      </c>
      <c r="H39" s="2">
        <f>SUMIF(deals_closed!D:D,Calculations!A39,deals_closed!C:C)</f>
        <v>597842</v>
      </c>
      <c r="I39" s="2">
        <f>VLOOKUP(E39,'2018_commission_structure'!$A$11:$I$14,9,FALSE)</f>
        <v>750000</v>
      </c>
      <c r="J39" s="2">
        <f t="shared" si="0"/>
        <v>937500</v>
      </c>
      <c r="K39" s="2">
        <f t="shared" si="1"/>
        <v>1125000</v>
      </c>
      <c r="L39" s="2">
        <f t="shared" si="2"/>
        <v>1500000</v>
      </c>
      <c r="M39" s="6">
        <f t="shared" si="3"/>
        <v>0.79712266666666665</v>
      </c>
      <c r="N39" t="str">
        <f t="shared" si="4"/>
        <v>0-100%</v>
      </c>
      <c r="O39" s="7">
        <f>MIN(I39,H39)*INDEX('2018_commission_structure'!$A$11:$I$14,MATCH(Calculations!$E39,'2018_commission_structure'!$A$11:$A$14,0),MATCH(Calculations!O$1,'2018_commission_structure'!$A$11:$I$11,0))</f>
        <v>89676.3</v>
      </c>
      <c r="P39" s="7">
        <f>IF($H39&gt;I39,MIN($H39-I39,J39-I39)*INDEX('2018_commission_structure'!$A$11:$I$14,MATCH(Calculations!$E39,'2018_commission_structure'!$A$11:$A$14,0), MATCH(Calculations!P$1,'2018_commission_structure'!$A$11:$I$11,0)),0)</f>
        <v>0</v>
      </c>
      <c r="Q39" s="7">
        <f>IF($H39&gt;J39,MIN($H39-J39,K39-J39)*INDEX('2018_commission_structure'!$A$11:$I$14,MATCH(Calculations!$E39,'2018_commission_structure'!$A$11:$A$14,0), MATCH(Calculations!Q$1,'2018_commission_structure'!$A$11:$I$11,0)),0)</f>
        <v>0</v>
      </c>
      <c r="R39" s="7">
        <f>IF($H39&gt;K39,MIN($H39-K39,L39-K39)*INDEX('2018_commission_structure'!$A$11:$I$14,MATCH(Calculations!$E39,'2018_commission_structure'!$A$11:$A$14,0), MATCH(Calculations!R$1,'2018_commission_structure'!$A$11:$I$11,0)),0)</f>
        <v>0</v>
      </c>
      <c r="S39" s="7">
        <f>IF(H39&gt;L39,(H39-L39)*INDEX('2018_commission_structure'!$A$11:$I$14,MATCH(Calculations!$E39,'2018_commission_structure'!$A$11:$A$14,0),MATCH(Calculations!S$1,'2018_commission_structure'!$A$11:$I$11,0)),0)</f>
        <v>0</v>
      </c>
      <c r="T39" s="7">
        <f t="shared" si="5"/>
        <v>89676.3</v>
      </c>
      <c r="U39" s="7">
        <f t="shared" si="6"/>
        <v>168689.3</v>
      </c>
      <c r="V39" s="7">
        <f>MIN(H39,I39)*INDEX('2018_commission_structure'!$A$5:$J$8,MATCH(Calculations!$E39,'2018_commission_structure'!$A$5:$A$8,0),MATCH(Calculations!V$1,'2018_commission_structure'!$A$5:$J$5,0))</f>
        <v>89676.3</v>
      </c>
      <c r="W39" s="2">
        <f>IF($H39&gt;I39,MIN($H39-I39,J39-I39)*INDEX('2018_commission_structure'!$A$5:$J$8,MATCH(Calculations!$E39,'2018_commission_structure'!$A$5:$A$8,0),MATCH(Calculations!W$1,'2018_commission_structure'!$A$5:$J$5,0)),0)</f>
        <v>0</v>
      </c>
      <c r="X39" s="2">
        <f>IF($H39&gt;J39,MIN($H39-J39,K39-J39)*INDEX('2018_commission_structure'!$A$5:$J$8,MATCH(Calculations!$E39,'2018_commission_structure'!$A$5:$A$8,0),MATCH(Calculations!X$1,'2018_commission_structure'!$A$5:$J$5,0)),0)</f>
        <v>0</v>
      </c>
      <c r="Y39" s="2">
        <f>IF($H39&gt;K39,MIN($H39-K39,L39-K39)*INDEX('2018_commission_structure'!$A$5:$J$8,MATCH(Calculations!$E39,'2018_commission_structure'!$A$5:$A$8,0),MATCH(Calculations!Y$1,'2018_commission_structure'!$A$5:$J$5,0)),0)</f>
        <v>0</v>
      </c>
      <c r="Z39" s="2">
        <f xml:space="preserve"> IF(H39&gt;L39,(H39-L39)*INDEX('2018_commission_structure'!$A$11:$I$14,MATCH(Calculations!$E39,'2018_commission_structure'!$A$11:$A$14,0),MATCH(Calculations!Z$1,'2018_commission_structure'!$A$11:$I$11,0)),0)</f>
        <v>0</v>
      </c>
      <c r="AA39" s="7">
        <f t="shared" si="7"/>
        <v>89676.3</v>
      </c>
      <c r="AB39" s="7">
        <f t="shared" si="8"/>
        <v>168689.3</v>
      </c>
    </row>
    <row r="40" spans="1:28" x14ac:dyDescent="0.25">
      <c r="A40">
        <v>5503746279</v>
      </c>
      <c r="B40" t="s">
        <v>5</v>
      </c>
      <c r="C40" t="s">
        <v>933</v>
      </c>
      <c r="D40" t="str">
        <f>B40&amp;" "&amp;C40</f>
        <v>Elva Aumerle</v>
      </c>
      <c r="E40" t="s">
        <v>29</v>
      </c>
      <c r="F40">
        <v>65852</v>
      </c>
      <c r="G40">
        <f>COUNTIF(deals_closed!D:D,Calculations!A40)</f>
        <v>19</v>
      </c>
      <c r="H40" s="2">
        <f>SUMIF(deals_closed!D:D,Calculations!A40,deals_closed!C:C)</f>
        <v>558872</v>
      </c>
      <c r="I40" s="2">
        <f>VLOOKUP(E40,'2018_commission_structure'!$A$11:$I$14,9,FALSE)</f>
        <v>600000</v>
      </c>
      <c r="J40" s="2">
        <f t="shared" si="0"/>
        <v>750000</v>
      </c>
      <c r="K40" s="2">
        <f t="shared" si="1"/>
        <v>900000</v>
      </c>
      <c r="L40" s="2">
        <f t="shared" si="2"/>
        <v>1200000</v>
      </c>
      <c r="M40" s="6">
        <f t="shared" si="3"/>
        <v>0.93145333333333336</v>
      </c>
      <c r="N40" t="str">
        <f t="shared" si="4"/>
        <v>0-100%</v>
      </c>
      <c r="O40" s="7">
        <f>MIN(I40,H40)*INDEX('2018_commission_structure'!$A$11:$I$14,MATCH(Calculations!$E40,'2018_commission_structure'!$A$11:$A$14,0),MATCH(Calculations!O$1,'2018_commission_structure'!$A$11:$I$11,0))</f>
        <v>72653.36</v>
      </c>
      <c r="P40" s="7">
        <f>IF($H40&gt;I40,MIN($H40-I40,J40-I40)*INDEX('2018_commission_structure'!$A$11:$I$14,MATCH(Calculations!$E40,'2018_commission_structure'!$A$11:$A$14,0), MATCH(Calculations!P$1,'2018_commission_structure'!$A$11:$I$11,0)),0)</f>
        <v>0</v>
      </c>
      <c r="Q40" s="7">
        <f>IF($H40&gt;J40,MIN($H40-J40,K40-J40)*INDEX('2018_commission_structure'!$A$11:$I$14,MATCH(Calculations!$E40,'2018_commission_structure'!$A$11:$A$14,0), MATCH(Calculations!Q$1,'2018_commission_structure'!$A$11:$I$11,0)),0)</f>
        <v>0</v>
      </c>
      <c r="R40" s="7">
        <f>IF($H40&gt;K40,MIN($H40-K40,L40-K40)*INDEX('2018_commission_structure'!$A$11:$I$14,MATCH(Calculations!$E40,'2018_commission_structure'!$A$11:$A$14,0), MATCH(Calculations!R$1,'2018_commission_structure'!$A$11:$I$11,0)),0)</f>
        <v>0</v>
      </c>
      <c r="S40" s="7">
        <f>IF(H40&gt;L40,(H40-L40)*INDEX('2018_commission_structure'!$A$11:$I$14,MATCH(Calculations!$E40,'2018_commission_structure'!$A$11:$A$14,0),MATCH(Calculations!S$1,'2018_commission_structure'!$A$11:$I$11,0)),0)</f>
        <v>0</v>
      </c>
      <c r="T40" s="7">
        <f t="shared" si="5"/>
        <v>72653.36</v>
      </c>
      <c r="U40" s="7">
        <f t="shared" si="6"/>
        <v>138505.35999999999</v>
      </c>
      <c r="V40" s="7">
        <f>MIN(H40,I40)*INDEX('2018_commission_structure'!$A$5:$J$8,MATCH(Calculations!$E40,'2018_commission_structure'!$A$5:$A$8,0),MATCH(Calculations!V$1,'2018_commission_structure'!$A$5:$J$5,0))</f>
        <v>83830.8</v>
      </c>
      <c r="W40" s="2">
        <f>IF($H40&gt;I40,MIN($H40-I40,J40-I40)*INDEX('2018_commission_structure'!$A$5:$J$8,MATCH(Calculations!$E40,'2018_commission_structure'!$A$5:$A$8,0),MATCH(Calculations!W$1,'2018_commission_structure'!$A$5:$J$5,0)),0)</f>
        <v>0</v>
      </c>
      <c r="X40" s="2">
        <f>IF($H40&gt;J40,MIN($H40-J40,K40-J40)*INDEX('2018_commission_structure'!$A$5:$J$8,MATCH(Calculations!$E40,'2018_commission_structure'!$A$5:$A$8,0),MATCH(Calculations!X$1,'2018_commission_structure'!$A$5:$J$5,0)),0)</f>
        <v>0</v>
      </c>
      <c r="Y40" s="2">
        <f>IF($H40&gt;K40,MIN($H40-K40,L40-K40)*INDEX('2018_commission_structure'!$A$5:$J$8,MATCH(Calculations!$E40,'2018_commission_structure'!$A$5:$A$8,0),MATCH(Calculations!Y$1,'2018_commission_structure'!$A$5:$J$5,0)),0)</f>
        <v>0</v>
      </c>
      <c r="Z40" s="2">
        <f xml:space="preserve"> IF(H40&gt;L40,(H40-L40)*INDEX('2018_commission_structure'!$A$11:$I$14,MATCH(Calculations!$E40,'2018_commission_structure'!$A$11:$A$14,0),MATCH(Calculations!Z$1,'2018_commission_structure'!$A$11:$I$11,0)),0)</f>
        <v>0</v>
      </c>
      <c r="AA40" s="7">
        <f t="shared" si="7"/>
        <v>83830.8</v>
      </c>
      <c r="AB40" s="7">
        <f t="shared" si="8"/>
        <v>149682.79999999999</v>
      </c>
    </row>
    <row r="41" spans="1:28" x14ac:dyDescent="0.25">
      <c r="A41">
        <v>2500807061</v>
      </c>
      <c r="B41" t="s">
        <v>1920</v>
      </c>
      <c r="C41" t="s">
        <v>1921</v>
      </c>
      <c r="D41" t="str">
        <f>B41&amp;" "&amp;C41</f>
        <v>Marijn Avison</v>
      </c>
      <c r="E41" t="s">
        <v>10</v>
      </c>
      <c r="F41">
        <v>102862</v>
      </c>
      <c r="G41">
        <f>COUNTIF(deals_closed!D:D,Calculations!A41)</f>
        <v>22</v>
      </c>
      <c r="H41" s="2">
        <f>SUMIF(deals_closed!D:D,Calculations!A41,deals_closed!C:C)</f>
        <v>976276</v>
      </c>
      <c r="I41" s="2">
        <f>VLOOKUP(E41,'2018_commission_structure'!$A$11:$I$14,9,FALSE)</f>
        <v>750000</v>
      </c>
      <c r="J41" s="2">
        <f t="shared" si="0"/>
        <v>937500</v>
      </c>
      <c r="K41" s="2">
        <f t="shared" si="1"/>
        <v>1125000</v>
      </c>
      <c r="L41" s="2">
        <f t="shared" si="2"/>
        <v>1500000</v>
      </c>
      <c r="M41" s="6">
        <f t="shared" si="3"/>
        <v>1.3017013333333334</v>
      </c>
      <c r="N41" t="str">
        <f t="shared" si="4"/>
        <v>125-150%</v>
      </c>
      <c r="O41" s="7">
        <f>MIN(I41,H41)*INDEX('2018_commission_structure'!$A$11:$I$14,MATCH(Calculations!$E41,'2018_commission_structure'!$A$11:$A$14,0),MATCH(Calculations!O$1,'2018_commission_structure'!$A$11:$I$11,0))</f>
        <v>112500</v>
      </c>
      <c r="P41" s="7">
        <f>IF($H41&gt;I41,MIN($H41-I41,J41-I41)*INDEX('2018_commission_structure'!$A$11:$I$14,MATCH(Calculations!$E41,'2018_commission_structure'!$A$11:$A$14,0), MATCH(Calculations!P$1,'2018_commission_structure'!$A$11:$I$11,0)),0)</f>
        <v>35625</v>
      </c>
      <c r="Q41" s="7">
        <f>IF($H41&gt;J41,MIN($H41-J41,K41-J41)*INDEX('2018_commission_structure'!$A$11:$I$14,MATCH(Calculations!$E41,'2018_commission_structure'!$A$11:$A$14,0), MATCH(Calculations!Q$1,'2018_commission_structure'!$A$11:$I$11,0)),0)</f>
        <v>8918.48</v>
      </c>
      <c r="R41" s="7">
        <f>IF($H41&gt;K41,MIN($H41-K41,L41-K41)*INDEX('2018_commission_structure'!$A$11:$I$14,MATCH(Calculations!$E41,'2018_commission_structure'!$A$11:$A$14,0), MATCH(Calculations!R$1,'2018_commission_structure'!$A$11:$I$11,0)),0)</f>
        <v>0</v>
      </c>
      <c r="S41" s="7">
        <f>IF(H41&gt;L41,(H41-L41)*INDEX('2018_commission_structure'!$A$11:$I$14,MATCH(Calculations!$E41,'2018_commission_structure'!$A$11:$A$14,0),MATCH(Calculations!S$1,'2018_commission_structure'!$A$11:$I$11,0)),0)</f>
        <v>0</v>
      </c>
      <c r="T41" s="7">
        <f t="shared" si="5"/>
        <v>157043.48000000001</v>
      </c>
      <c r="U41" s="7">
        <f t="shared" si="6"/>
        <v>259905.48</v>
      </c>
      <c r="V41" s="7">
        <f>MIN(H41,I41)*INDEX('2018_commission_structure'!$A$5:$J$8,MATCH(Calculations!$E41,'2018_commission_structure'!$A$5:$A$8,0),MATCH(Calculations!V$1,'2018_commission_structure'!$A$5:$J$5,0))</f>
        <v>112500</v>
      </c>
      <c r="W41" s="2">
        <f>IF($H41&gt;I41,MIN($H41-I41,J41-I41)*INDEX('2018_commission_structure'!$A$5:$J$8,MATCH(Calculations!$E41,'2018_commission_structure'!$A$5:$A$8,0),MATCH(Calculations!W$1,'2018_commission_structure'!$A$5:$J$5,0)),0)</f>
        <v>41250</v>
      </c>
      <c r="X41" s="2">
        <f>IF($H41&gt;J41,MIN($H41-J41,K41-J41)*INDEX('2018_commission_structure'!$A$5:$J$8,MATCH(Calculations!$E41,'2018_commission_structure'!$A$5:$A$8,0),MATCH(Calculations!X$1,'2018_commission_structure'!$A$5:$J$5,0)),0)</f>
        <v>9694</v>
      </c>
      <c r="Y41" s="2">
        <f>IF($H41&gt;K41,MIN($H41-K41,L41-K41)*INDEX('2018_commission_structure'!$A$5:$J$8,MATCH(Calculations!$E41,'2018_commission_structure'!$A$5:$A$8,0),MATCH(Calculations!Y$1,'2018_commission_structure'!$A$5:$J$5,0)),0)</f>
        <v>0</v>
      </c>
      <c r="Z41" s="2">
        <f xml:space="preserve"> IF(H41&gt;L41,(H41-L41)*INDEX('2018_commission_structure'!$A$11:$I$14,MATCH(Calculations!$E41,'2018_commission_structure'!$A$11:$A$14,0),MATCH(Calculations!Z$1,'2018_commission_structure'!$A$11:$I$11,0)),0)</f>
        <v>0</v>
      </c>
      <c r="AA41" s="7">
        <f t="shared" si="7"/>
        <v>163444</v>
      </c>
      <c r="AB41" s="7">
        <f t="shared" si="8"/>
        <v>266306</v>
      </c>
    </row>
    <row r="42" spans="1:28" x14ac:dyDescent="0.25">
      <c r="A42">
        <v>6858776575</v>
      </c>
      <c r="B42" t="s">
        <v>1851</v>
      </c>
      <c r="C42" t="s">
        <v>1852</v>
      </c>
      <c r="D42" t="str">
        <f>B42&amp;" "&amp;C42</f>
        <v>Cobb Avramow</v>
      </c>
      <c r="E42" t="s">
        <v>29</v>
      </c>
      <c r="F42">
        <v>66387</v>
      </c>
      <c r="G42">
        <f>COUNTIF(deals_closed!D:D,Calculations!A42)</f>
        <v>18</v>
      </c>
      <c r="H42" s="2">
        <f>SUMIF(deals_closed!D:D,Calculations!A42,deals_closed!C:C)</f>
        <v>621994</v>
      </c>
      <c r="I42" s="2">
        <f>VLOOKUP(E42,'2018_commission_structure'!$A$11:$I$14,9,FALSE)</f>
        <v>600000</v>
      </c>
      <c r="J42" s="2">
        <f t="shared" si="0"/>
        <v>750000</v>
      </c>
      <c r="K42" s="2">
        <f t="shared" si="1"/>
        <v>900000</v>
      </c>
      <c r="L42" s="2">
        <f t="shared" si="2"/>
        <v>1200000</v>
      </c>
      <c r="M42" s="6">
        <f t="shared" si="3"/>
        <v>1.0366566666666666</v>
      </c>
      <c r="N42" t="str">
        <f t="shared" si="4"/>
        <v>100-125%</v>
      </c>
      <c r="O42" s="7">
        <f>MIN(I42,H42)*INDEX('2018_commission_structure'!$A$11:$I$14,MATCH(Calculations!$E42,'2018_commission_structure'!$A$11:$A$14,0),MATCH(Calculations!O$1,'2018_commission_structure'!$A$11:$I$11,0))</f>
        <v>78000</v>
      </c>
      <c r="P42" s="7">
        <f>IF($H42&gt;I42,MIN($H42-I42,J42-I42)*INDEX('2018_commission_structure'!$A$11:$I$14,MATCH(Calculations!$E42,'2018_commission_structure'!$A$11:$A$14,0), MATCH(Calculations!P$1,'2018_commission_structure'!$A$11:$I$11,0)),0)</f>
        <v>3738.9800000000005</v>
      </c>
      <c r="Q42" s="7">
        <f>IF($H42&gt;J42,MIN($H42-J42,K42-J42)*INDEX('2018_commission_structure'!$A$11:$I$14,MATCH(Calculations!$E42,'2018_commission_structure'!$A$11:$A$14,0), MATCH(Calculations!Q$1,'2018_commission_structure'!$A$11:$I$11,0)),0)</f>
        <v>0</v>
      </c>
      <c r="R42" s="7">
        <f>IF($H42&gt;K42,MIN($H42-K42,L42-K42)*INDEX('2018_commission_structure'!$A$11:$I$14,MATCH(Calculations!$E42,'2018_commission_structure'!$A$11:$A$14,0), MATCH(Calculations!R$1,'2018_commission_structure'!$A$11:$I$11,0)),0)</f>
        <v>0</v>
      </c>
      <c r="S42" s="7">
        <f>IF(H42&gt;L42,(H42-L42)*INDEX('2018_commission_structure'!$A$11:$I$14,MATCH(Calculations!$E42,'2018_commission_structure'!$A$11:$A$14,0),MATCH(Calculations!S$1,'2018_commission_structure'!$A$11:$I$11,0)),0)</f>
        <v>0</v>
      </c>
      <c r="T42" s="7">
        <f t="shared" si="5"/>
        <v>81738.98</v>
      </c>
      <c r="U42" s="7">
        <f t="shared" si="6"/>
        <v>148125.97999999998</v>
      </c>
      <c r="V42" s="7">
        <f>MIN(H42,I42)*INDEX('2018_commission_structure'!$A$5:$J$8,MATCH(Calculations!$E42,'2018_commission_structure'!$A$5:$A$8,0),MATCH(Calculations!V$1,'2018_commission_structure'!$A$5:$J$5,0))</f>
        <v>90000</v>
      </c>
      <c r="W42" s="2">
        <f>IF($H42&gt;I42,MIN($H42-I42,J42-I42)*INDEX('2018_commission_structure'!$A$5:$J$8,MATCH(Calculations!$E42,'2018_commission_structure'!$A$5:$A$8,0),MATCH(Calculations!W$1,'2018_commission_structure'!$A$5:$J$5,0)),0)</f>
        <v>3958.92</v>
      </c>
      <c r="X42" s="2">
        <f>IF($H42&gt;J42,MIN($H42-J42,K42-J42)*INDEX('2018_commission_structure'!$A$5:$J$8,MATCH(Calculations!$E42,'2018_commission_structure'!$A$5:$A$8,0),MATCH(Calculations!X$1,'2018_commission_structure'!$A$5:$J$5,0)),0)</f>
        <v>0</v>
      </c>
      <c r="Y42" s="2">
        <f>IF($H42&gt;K42,MIN($H42-K42,L42-K42)*INDEX('2018_commission_structure'!$A$5:$J$8,MATCH(Calculations!$E42,'2018_commission_structure'!$A$5:$A$8,0),MATCH(Calculations!Y$1,'2018_commission_structure'!$A$5:$J$5,0)),0)</f>
        <v>0</v>
      </c>
      <c r="Z42" s="2">
        <f xml:space="preserve"> IF(H42&gt;L42,(H42-L42)*INDEX('2018_commission_structure'!$A$11:$I$14,MATCH(Calculations!$E42,'2018_commission_structure'!$A$11:$A$14,0),MATCH(Calculations!Z$1,'2018_commission_structure'!$A$11:$I$11,0)),0)</f>
        <v>0</v>
      </c>
      <c r="AA42" s="7">
        <f t="shared" si="7"/>
        <v>93958.92</v>
      </c>
      <c r="AB42" s="7">
        <f t="shared" si="8"/>
        <v>160345.91999999998</v>
      </c>
    </row>
    <row r="43" spans="1:28" x14ac:dyDescent="0.25">
      <c r="A43">
        <v>1659418720</v>
      </c>
      <c r="B43" t="s">
        <v>1666</v>
      </c>
      <c r="C43" t="s">
        <v>1667</v>
      </c>
      <c r="D43" t="str">
        <f>B43&amp;" "&amp;C43</f>
        <v>Benedetto Aymes</v>
      </c>
      <c r="E43" t="s">
        <v>7</v>
      </c>
      <c r="F43">
        <v>48774</v>
      </c>
      <c r="G43">
        <f>COUNTIF(deals_closed!D:D,Calculations!A43)</f>
        <v>20</v>
      </c>
      <c r="H43" s="2">
        <f>SUMIF(deals_closed!D:D,Calculations!A43,deals_closed!C:C)</f>
        <v>724029</v>
      </c>
      <c r="I43" s="2">
        <f>VLOOKUP(E43,'2018_commission_structure'!$A$11:$I$14,9,FALSE)</f>
        <v>500000</v>
      </c>
      <c r="J43" s="2">
        <f t="shared" si="0"/>
        <v>625000</v>
      </c>
      <c r="K43" s="2">
        <f t="shared" si="1"/>
        <v>750000</v>
      </c>
      <c r="L43" s="2">
        <f t="shared" si="2"/>
        <v>1000000</v>
      </c>
      <c r="M43" s="6">
        <f t="shared" si="3"/>
        <v>1.4480580000000001</v>
      </c>
      <c r="N43" t="str">
        <f t="shared" si="4"/>
        <v>125-150%</v>
      </c>
      <c r="O43" s="7">
        <f>MIN(I43,H43)*INDEX('2018_commission_structure'!$A$11:$I$14,MATCH(Calculations!$E43,'2018_commission_structure'!$A$11:$A$14,0),MATCH(Calculations!O$1,'2018_commission_structure'!$A$11:$I$11,0))</f>
        <v>50000</v>
      </c>
      <c r="P43" s="7">
        <f>IF($H43&gt;I43,MIN($H43-I43,J43-I43)*INDEX('2018_commission_structure'!$A$11:$I$14,MATCH(Calculations!$E43,'2018_commission_structure'!$A$11:$A$14,0), MATCH(Calculations!P$1,'2018_commission_structure'!$A$11:$I$11,0)),0)</f>
        <v>18750</v>
      </c>
      <c r="Q43" s="7">
        <f>IF($H43&gt;J43,MIN($H43-J43,K43-J43)*INDEX('2018_commission_structure'!$A$11:$I$14,MATCH(Calculations!$E43,'2018_commission_structure'!$A$11:$A$14,0), MATCH(Calculations!Q$1,'2018_commission_structure'!$A$11:$I$11,0)),0)</f>
        <v>17825.219999999998</v>
      </c>
      <c r="R43" s="7">
        <f>IF($H43&gt;K43,MIN($H43-K43,L43-K43)*INDEX('2018_commission_structure'!$A$11:$I$14,MATCH(Calculations!$E43,'2018_commission_structure'!$A$11:$A$14,0), MATCH(Calculations!R$1,'2018_commission_structure'!$A$11:$I$11,0)),0)</f>
        <v>0</v>
      </c>
      <c r="S43" s="7">
        <f>IF(H43&gt;L43,(H43-L43)*INDEX('2018_commission_structure'!$A$11:$I$14,MATCH(Calculations!$E43,'2018_commission_structure'!$A$11:$A$14,0),MATCH(Calculations!S$1,'2018_commission_structure'!$A$11:$I$11,0)),0)</f>
        <v>0</v>
      </c>
      <c r="T43" s="7">
        <f t="shared" si="5"/>
        <v>86575.22</v>
      </c>
      <c r="U43" s="7">
        <f t="shared" si="6"/>
        <v>135349.22</v>
      </c>
      <c r="V43" s="7">
        <f>MIN(H43,I43)*INDEX('2018_commission_structure'!$A$5:$J$8,MATCH(Calculations!$E43,'2018_commission_structure'!$A$5:$A$8,0),MATCH(Calculations!V$1,'2018_commission_structure'!$A$5:$J$5,0))</f>
        <v>60000</v>
      </c>
      <c r="W43" s="2">
        <f>IF($H43&gt;I43,MIN($H43-I43,J43-I43)*INDEX('2018_commission_structure'!$A$5:$J$8,MATCH(Calculations!$E43,'2018_commission_structure'!$A$5:$A$8,0),MATCH(Calculations!W$1,'2018_commission_structure'!$A$5:$J$5,0)),0)</f>
        <v>21250</v>
      </c>
      <c r="X43" s="2">
        <f>IF($H43&gt;J43,MIN($H43-J43,K43-J43)*INDEX('2018_commission_structure'!$A$5:$J$8,MATCH(Calculations!$E43,'2018_commission_structure'!$A$5:$A$8,0),MATCH(Calculations!X$1,'2018_commission_structure'!$A$5:$J$5,0)),0)</f>
        <v>19805.800000000003</v>
      </c>
      <c r="Y43" s="2">
        <f>IF($H43&gt;K43,MIN($H43-K43,L43-K43)*INDEX('2018_commission_structure'!$A$5:$J$8,MATCH(Calculations!$E43,'2018_commission_structure'!$A$5:$A$8,0),MATCH(Calculations!Y$1,'2018_commission_structure'!$A$5:$J$5,0)),0)</f>
        <v>0</v>
      </c>
      <c r="Z43" s="2">
        <f xml:space="preserve"> IF(H43&gt;L43,(H43-L43)*INDEX('2018_commission_structure'!$A$11:$I$14,MATCH(Calculations!$E43,'2018_commission_structure'!$A$11:$A$14,0),MATCH(Calculations!Z$1,'2018_commission_structure'!$A$11:$I$11,0)),0)</f>
        <v>0</v>
      </c>
      <c r="AA43" s="7">
        <f t="shared" si="7"/>
        <v>101055.8</v>
      </c>
      <c r="AB43" s="7">
        <f t="shared" si="8"/>
        <v>149829.79999999999</v>
      </c>
    </row>
    <row r="44" spans="1:28" x14ac:dyDescent="0.25">
      <c r="A44">
        <v>5574535556</v>
      </c>
      <c r="B44" t="s">
        <v>880</v>
      </c>
      <c r="C44" t="s">
        <v>1248</v>
      </c>
      <c r="D44" t="str">
        <f>B44&amp;" "&amp;C44</f>
        <v>Barbi Ayshford</v>
      </c>
      <c r="E44" t="s">
        <v>10</v>
      </c>
      <c r="F44">
        <v>116388</v>
      </c>
      <c r="G44">
        <f>COUNTIF(deals_closed!D:D,Calculations!A44)</f>
        <v>28</v>
      </c>
      <c r="H44" s="2">
        <f>SUMIF(deals_closed!D:D,Calculations!A44,deals_closed!C:C)</f>
        <v>869554</v>
      </c>
      <c r="I44" s="2">
        <f>VLOOKUP(E44,'2018_commission_structure'!$A$11:$I$14,9,FALSE)</f>
        <v>750000</v>
      </c>
      <c r="J44" s="2">
        <f t="shared" si="0"/>
        <v>937500</v>
      </c>
      <c r="K44" s="2">
        <f t="shared" si="1"/>
        <v>1125000</v>
      </c>
      <c r="L44" s="2">
        <f t="shared" si="2"/>
        <v>1500000</v>
      </c>
      <c r="M44" s="6">
        <f t="shared" si="3"/>
        <v>1.1594053333333334</v>
      </c>
      <c r="N44" t="str">
        <f t="shared" si="4"/>
        <v>100-125%</v>
      </c>
      <c r="O44" s="7">
        <f>MIN(I44,H44)*INDEX('2018_commission_structure'!$A$11:$I$14,MATCH(Calculations!$E44,'2018_commission_structure'!$A$11:$A$14,0),MATCH(Calculations!O$1,'2018_commission_structure'!$A$11:$I$11,0))</f>
        <v>112500</v>
      </c>
      <c r="P44" s="7">
        <f>IF($H44&gt;I44,MIN($H44-I44,J44-I44)*INDEX('2018_commission_structure'!$A$11:$I$14,MATCH(Calculations!$E44,'2018_commission_structure'!$A$11:$A$14,0), MATCH(Calculations!P$1,'2018_commission_structure'!$A$11:$I$11,0)),0)</f>
        <v>22715.260000000002</v>
      </c>
      <c r="Q44" s="7">
        <f>IF($H44&gt;J44,MIN($H44-J44,K44-J44)*INDEX('2018_commission_structure'!$A$11:$I$14,MATCH(Calculations!$E44,'2018_commission_structure'!$A$11:$A$14,0), MATCH(Calculations!Q$1,'2018_commission_structure'!$A$11:$I$11,0)),0)</f>
        <v>0</v>
      </c>
      <c r="R44" s="7">
        <f>IF($H44&gt;K44,MIN($H44-K44,L44-K44)*INDEX('2018_commission_structure'!$A$11:$I$14,MATCH(Calculations!$E44,'2018_commission_structure'!$A$11:$A$14,0), MATCH(Calculations!R$1,'2018_commission_structure'!$A$11:$I$11,0)),0)</f>
        <v>0</v>
      </c>
      <c r="S44" s="7">
        <f>IF(H44&gt;L44,(H44-L44)*INDEX('2018_commission_structure'!$A$11:$I$14,MATCH(Calculations!$E44,'2018_commission_structure'!$A$11:$A$14,0),MATCH(Calculations!S$1,'2018_commission_structure'!$A$11:$I$11,0)),0)</f>
        <v>0</v>
      </c>
      <c r="T44" s="7">
        <f t="shared" si="5"/>
        <v>135215.26</v>
      </c>
      <c r="U44" s="7">
        <f t="shared" si="6"/>
        <v>251603.26</v>
      </c>
      <c r="V44" s="7">
        <f>MIN(H44,I44)*INDEX('2018_commission_structure'!$A$5:$J$8,MATCH(Calculations!$E44,'2018_commission_structure'!$A$5:$A$8,0),MATCH(Calculations!V$1,'2018_commission_structure'!$A$5:$J$5,0))</f>
        <v>112500</v>
      </c>
      <c r="W44" s="2">
        <f>IF($H44&gt;I44,MIN($H44-I44,J44-I44)*INDEX('2018_commission_structure'!$A$5:$J$8,MATCH(Calculations!$E44,'2018_commission_structure'!$A$5:$A$8,0),MATCH(Calculations!W$1,'2018_commission_structure'!$A$5:$J$5,0)),0)</f>
        <v>26301.88</v>
      </c>
      <c r="X44" s="2">
        <f>IF($H44&gt;J44,MIN($H44-J44,K44-J44)*INDEX('2018_commission_structure'!$A$5:$J$8,MATCH(Calculations!$E44,'2018_commission_structure'!$A$5:$A$8,0),MATCH(Calculations!X$1,'2018_commission_structure'!$A$5:$J$5,0)),0)</f>
        <v>0</v>
      </c>
      <c r="Y44" s="2">
        <f>IF($H44&gt;K44,MIN($H44-K44,L44-K44)*INDEX('2018_commission_structure'!$A$5:$J$8,MATCH(Calculations!$E44,'2018_commission_structure'!$A$5:$A$8,0),MATCH(Calculations!Y$1,'2018_commission_structure'!$A$5:$J$5,0)),0)</f>
        <v>0</v>
      </c>
      <c r="Z44" s="2">
        <f xml:space="preserve"> IF(H44&gt;L44,(H44-L44)*INDEX('2018_commission_structure'!$A$11:$I$14,MATCH(Calculations!$E44,'2018_commission_structure'!$A$11:$A$14,0),MATCH(Calculations!Z$1,'2018_commission_structure'!$A$11:$I$11,0)),0)</f>
        <v>0</v>
      </c>
      <c r="AA44" s="7">
        <f t="shared" si="7"/>
        <v>138801.88</v>
      </c>
      <c r="AB44" s="7">
        <f t="shared" si="8"/>
        <v>255189.88</v>
      </c>
    </row>
    <row r="45" spans="1:28" x14ac:dyDescent="0.25">
      <c r="A45">
        <v>263573389</v>
      </c>
      <c r="B45" t="s">
        <v>1209</v>
      </c>
      <c r="C45" t="s">
        <v>1210</v>
      </c>
      <c r="D45" t="str">
        <f>B45&amp;" "&amp;C45</f>
        <v>Derrik Bacchus</v>
      </c>
      <c r="E45" t="s">
        <v>29</v>
      </c>
      <c r="F45">
        <v>69051</v>
      </c>
      <c r="G45">
        <f>COUNTIF(deals_closed!D:D,Calculations!A45)</f>
        <v>19</v>
      </c>
      <c r="H45" s="2">
        <f>SUMIF(deals_closed!D:D,Calculations!A45,deals_closed!C:C)</f>
        <v>749434</v>
      </c>
      <c r="I45" s="2">
        <f>VLOOKUP(E45,'2018_commission_structure'!$A$11:$I$14,9,FALSE)</f>
        <v>600000</v>
      </c>
      <c r="J45" s="2">
        <f t="shared" si="0"/>
        <v>750000</v>
      </c>
      <c r="K45" s="2">
        <f t="shared" si="1"/>
        <v>900000</v>
      </c>
      <c r="L45" s="2">
        <f t="shared" si="2"/>
        <v>1200000</v>
      </c>
      <c r="M45" s="6">
        <f t="shared" si="3"/>
        <v>1.2490566666666667</v>
      </c>
      <c r="N45" t="str">
        <f t="shared" si="4"/>
        <v>100-125%</v>
      </c>
      <c r="O45" s="7">
        <f>MIN(I45,H45)*INDEX('2018_commission_structure'!$A$11:$I$14,MATCH(Calculations!$E45,'2018_commission_structure'!$A$11:$A$14,0),MATCH(Calculations!O$1,'2018_commission_structure'!$A$11:$I$11,0))</f>
        <v>78000</v>
      </c>
      <c r="P45" s="7">
        <f>IF($H45&gt;I45,MIN($H45-I45,J45-I45)*INDEX('2018_commission_structure'!$A$11:$I$14,MATCH(Calculations!$E45,'2018_commission_structure'!$A$11:$A$14,0), MATCH(Calculations!P$1,'2018_commission_structure'!$A$11:$I$11,0)),0)</f>
        <v>25403.780000000002</v>
      </c>
      <c r="Q45" s="7">
        <f>IF($H45&gt;J45,MIN($H45-J45,K45-J45)*INDEX('2018_commission_structure'!$A$11:$I$14,MATCH(Calculations!$E45,'2018_commission_structure'!$A$11:$A$14,0), MATCH(Calculations!Q$1,'2018_commission_structure'!$A$11:$I$11,0)),0)</f>
        <v>0</v>
      </c>
      <c r="R45" s="7">
        <f>IF($H45&gt;K45,MIN($H45-K45,L45-K45)*INDEX('2018_commission_structure'!$A$11:$I$14,MATCH(Calculations!$E45,'2018_commission_structure'!$A$11:$A$14,0), MATCH(Calculations!R$1,'2018_commission_structure'!$A$11:$I$11,0)),0)</f>
        <v>0</v>
      </c>
      <c r="S45" s="7">
        <f>IF(H45&gt;L45,(H45-L45)*INDEX('2018_commission_structure'!$A$11:$I$14,MATCH(Calculations!$E45,'2018_commission_structure'!$A$11:$A$14,0),MATCH(Calculations!S$1,'2018_commission_structure'!$A$11:$I$11,0)),0)</f>
        <v>0</v>
      </c>
      <c r="T45" s="7">
        <f t="shared" si="5"/>
        <v>103403.78</v>
      </c>
      <c r="U45" s="7">
        <f t="shared" si="6"/>
        <v>172454.78</v>
      </c>
      <c r="V45" s="7">
        <f>MIN(H45,I45)*INDEX('2018_commission_structure'!$A$5:$J$8,MATCH(Calculations!$E45,'2018_commission_structure'!$A$5:$A$8,0),MATCH(Calculations!V$1,'2018_commission_structure'!$A$5:$J$5,0))</f>
        <v>90000</v>
      </c>
      <c r="W45" s="2">
        <f>IF($H45&gt;I45,MIN($H45-I45,J45-I45)*INDEX('2018_commission_structure'!$A$5:$J$8,MATCH(Calculations!$E45,'2018_commission_structure'!$A$5:$A$8,0),MATCH(Calculations!W$1,'2018_commission_structure'!$A$5:$J$5,0)),0)</f>
        <v>26898.12</v>
      </c>
      <c r="X45" s="2">
        <f>IF($H45&gt;J45,MIN($H45-J45,K45-J45)*INDEX('2018_commission_structure'!$A$5:$J$8,MATCH(Calculations!$E45,'2018_commission_structure'!$A$5:$A$8,0),MATCH(Calculations!X$1,'2018_commission_structure'!$A$5:$J$5,0)),0)</f>
        <v>0</v>
      </c>
      <c r="Y45" s="2">
        <f>IF($H45&gt;K45,MIN($H45-K45,L45-K45)*INDEX('2018_commission_structure'!$A$5:$J$8,MATCH(Calculations!$E45,'2018_commission_structure'!$A$5:$A$8,0),MATCH(Calculations!Y$1,'2018_commission_structure'!$A$5:$J$5,0)),0)</f>
        <v>0</v>
      </c>
      <c r="Z45" s="2">
        <f xml:space="preserve"> IF(H45&gt;L45,(H45-L45)*INDEX('2018_commission_structure'!$A$11:$I$14,MATCH(Calculations!$E45,'2018_commission_structure'!$A$11:$A$14,0),MATCH(Calculations!Z$1,'2018_commission_structure'!$A$11:$I$11,0)),0)</f>
        <v>0</v>
      </c>
      <c r="AA45" s="7">
        <f t="shared" si="7"/>
        <v>116898.12</v>
      </c>
      <c r="AB45" s="7">
        <f t="shared" si="8"/>
        <v>185949.12</v>
      </c>
    </row>
    <row r="46" spans="1:28" x14ac:dyDescent="0.25">
      <c r="A46">
        <v>9617190826</v>
      </c>
      <c r="B46" t="s">
        <v>212</v>
      </c>
      <c r="C46" t="s">
        <v>213</v>
      </c>
      <c r="D46" t="str">
        <f>B46&amp;" "&amp;C46</f>
        <v>Hunt Bachura</v>
      </c>
      <c r="E46" t="s">
        <v>29</v>
      </c>
      <c r="F46">
        <v>57033</v>
      </c>
      <c r="G46">
        <f>COUNTIF(deals_closed!D:D,Calculations!A46)</f>
        <v>16</v>
      </c>
      <c r="H46" s="2">
        <f>SUMIF(deals_closed!D:D,Calculations!A46,deals_closed!C:C)</f>
        <v>621858</v>
      </c>
      <c r="I46" s="2">
        <f>VLOOKUP(E46,'2018_commission_structure'!$A$11:$I$14,9,FALSE)</f>
        <v>600000</v>
      </c>
      <c r="J46" s="2">
        <f t="shared" si="0"/>
        <v>750000</v>
      </c>
      <c r="K46" s="2">
        <f t="shared" si="1"/>
        <v>900000</v>
      </c>
      <c r="L46" s="2">
        <f t="shared" si="2"/>
        <v>1200000</v>
      </c>
      <c r="M46" s="6">
        <f t="shared" si="3"/>
        <v>1.03643</v>
      </c>
      <c r="N46" t="str">
        <f t="shared" si="4"/>
        <v>100-125%</v>
      </c>
      <c r="O46" s="7">
        <f>MIN(I46,H46)*INDEX('2018_commission_structure'!$A$11:$I$14,MATCH(Calculations!$E46,'2018_commission_structure'!$A$11:$A$14,0),MATCH(Calculations!O$1,'2018_commission_structure'!$A$11:$I$11,0))</f>
        <v>78000</v>
      </c>
      <c r="P46" s="7">
        <f>IF($H46&gt;I46,MIN($H46-I46,J46-I46)*INDEX('2018_commission_structure'!$A$11:$I$14,MATCH(Calculations!$E46,'2018_commission_structure'!$A$11:$A$14,0), MATCH(Calculations!P$1,'2018_commission_structure'!$A$11:$I$11,0)),0)</f>
        <v>3715.86</v>
      </c>
      <c r="Q46" s="7">
        <f>IF($H46&gt;J46,MIN($H46-J46,K46-J46)*INDEX('2018_commission_structure'!$A$11:$I$14,MATCH(Calculations!$E46,'2018_commission_structure'!$A$11:$A$14,0), MATCH(Calculations!Q$1,'2018_commission_structure'!$A$11:$I$11,0)),0)</f>
        <v>0</v>
      </c>
      <c r="R46" s="7">
        <f>IF($H46&gt;K46,MIN($H46-K46,L46-K46)*INDEX('2018_commission_structure'!$A$11:$I$14,MATCH(Calculations!$E46,'2018_commission_structure'!$A$11:$A$14,0), MATCH(Calculations!R$1,'2018_commission_structure'!$A$11:$I$11,0)),0)</f>
        <v>0</v>
      </c>
      <c r="S46" s="7">
        <f>IF(H46&gt;L46,(H46-L46)*INDEX('2018_commission_structure'!$A$11:$I$14,MATCH(Calculations!$E46,'2018_commission_structure'!$A$11:$A$14,0),MATCH(Calculations!S$1,'2018_commission_structure'!$A$11:$I$11,0)),0)</f>
        <v>0</v>
      </c>
      <c r="T46" s="7">
        <f t="shared" si="5"/>
        <v>81715.86</v>
      </c>
      <c r="U46" s="7">
        <f t="shared" si="6"/>
        <v>138748.85999999999</v>
      </c>
      <c r="V46" s="7">
        <f>MIN(H46,I46)*INDEX('2018_commission_structure'!$A$5:$J$8,MATCH(Calculations!$E46,'2018_commission_structure'!$A$5:$A$8,0),MATCH(Calculations!V$1,'2018_commission_structure'!$A$5:$J$5,0))</f>
        <v>90000</v>
      </c>
      <c r="W46" s="2">
        <f>IF($H46&gt;I46,MIN($H46-I46,J46-I46)*INDEX('2018_commission_structure'!$A$5:$J$8,MATCH(Calculations!$E46,'2018_commission_structure'!$A$5:$A$8,0),MATCH(Calculations!W$1,'2018_commission_structure'!$A$5:$J$5,0)),0)</f>
        <v>3934.44</v>
      </c>
      <c r="X46" s="2">
        <f>IF($H46&gt;J46,MIN($H46-J46,K46-J46)*INDEX('2018_commission_structure'!$A$5:$J$8,MATCH(Calculations!$E46,'2018_commission_structure'!$A$5:$A$8,0),MATCH(Calculations!X$1,'2018_commission_structure'!$A$5:$J$5,0)),0)</f>
        <v>0</v>
      </c>
      <c r="Y46" s="2">
        <f>IF($H46&gt;K46,MIN($H46-K46,L46-K46)*INDEX('2018_commission_structure'!$A$5:$J$8,MATCH(Calculations!$E46,'2018_commission_structure'!$A$5:$A$8,0),MATCH(Calculations!Y$1,'2018_commission_structure'!$A$5:$J$5,0)),0)</f>
        <v>0</v>
      </c>
      <c r="Z46" s="2">
        <f xml:space="preserve"> IF(H46&gt;L46,(H46-L46)*INDEX('2018_commission_structure'!$A$11:$I$14,MATCH(Calculations!$E46,'2018_commission_structure'!$A$11:$A$14,0),MATCH(Calculations!Z$1,'2018_commission_structure'!$A$11:$I$11,0)),0)</f>
        <v>0</v>
      </c>
      <c r="AA46" s="7">
        <f t="shared" si="7"/>
        <v>93934.44</v>
      </c>
      <c r="AB46" s="7">
        <f t="shared" si="8"/>
        <v>150967.44</v>
      </c>
    </row>
    <row r="47" spans="1:28" x14ac:dyDescent="0.25">
      <c r="A47">
        <v>9018504580</v>
      </c>
      <c r="B47" t="s">
        <v>929</v>
      </c>
      <c r="C47" t="s">
        <v>930</v>
      </c>
      <c r="D47" t="str">
        <f>B47&amp;" "&amp;C47</f>
        <v>Chanda Bahls</v>
      </c>
      <c r="E47" t="s">
        <v>7</v>
      </c>
      <c r="F47">
        <v>53598</v>
      </c>
      <c r="G47">
        <f>COUNTIF(deals_closed!D:D,Calculations!A47)</f>
        <v>13</v>
      </c>
      <c r="H47" s="2">
        <f>SUMIF(deals_closed!D:D,Calculations!A47,deals_closed!C:C)</f>
        <v>397145</v>
      </c>
      <c r="I47" s="2">
        <f>VLOOKUP(E47,'2018_commission_structure'!$A$11:$I$14,9,FALSE)</f>
        <v>500000</v>
      </c>
      <c r="J47" s="2">
        <f t="shared" si="0"/>
        <v>625000</v>
      </c>
      <c r="K47" s="2">
        <f t="shared" si="1"/>
        <v>750000</v>
      </c>
      <c r="L47" s="2">
        <f t="shared" si="2"/>
        <v>1000000</v>
      </c>
      <c r="M47" s="6">
        <f t="shared" si="3"/>
        <v>0.79429000000000005</v>
      </c>
      <c r="N47" t="str">
        <f t="shared" si="4"/>
        <v>0-100%</v>
      </c>
      <c r="O47" s="7">
        <f>MIN(I47,H47)*INDEX('2018_commission_structure'!$A$11:$I$14,MATCH(Calculations!$E47,'2018_commission_structure'!$A$11:$A$14,0),MATCH(Calculations!O$1,'2018_commission_structure'!$A$11:$I$11,0))</f>
        <v>39714.5</v>
      </c>
      <c r="P47" s="7">
        <f>IF($H47&gt;I47,MIN($H47-I47,J47-I47)*INDEX('2018_commission_structure'!$A$11:$I$14,MATCH(Calculations!$E47,'2018_commission_structure'!$A$11:$A$14,0), MATCH(Calculations!P$1,'2018_commission_structure'!$A$11:$I$11,0)),0)</f>
        <v>0</v>
      </c>
      <c r="Q47" s="7">
        <f>IF($H47&gt;J47,MIN($H47-J47,K47-J47)*INDEX('2018_commission_structure'!$A$11:$I$14,MATCH(Calculations!$E47,'2018_commission_structure'!$A$11:$A$14,0), MATCH(Calculations!Q$1,'2018_commission_structure'!$A$11:$I$11,0)),0)</f>
        <v>0</v>
      </c>
      <c r="R47" s="7">
        <f>IF($H47&gt;K47,MIN($H47-K47,L47-K47)*INDEX('2018_commission_structure'!$A$11:$I$14,MATCH(Calculations!$E47,'2018_commission_structure'!$A$11:$A$14,0), MATCH(Calculations!R$1,'2018_commission_structure'!$A$11:$I$11,0)),0)</f>
        <v>0</v>
      </c>
      <c r="S47" s="7">
        <f>IF(H47&gt;L47,(H47-L47)*INDEX('2018_commission_structure'!$A$11:$I$14,MATCH(Calculations!$E47,'2018_commission_structure'!$A$11:$A$14,0),MATCH(Calculations!S$1,'2018_commission_structure'!$A$11:$I$11,0)),0)</f>
        <v>0</v>
      </c>
      <c r="T47" s="7">
        <f t="shared" si="5"/>
        <v>39714.5</v>
      </c>
      <c r="U47" s="7">
        <f t="shared" si="6"/>
        <v>93312.5</v>
      </c>
      <c r="V47" s="7">
        <f>MIN(H47,I47)*INDEX('2018_commission_structure'!$A$5:$J$8,MATCH(Calculations!$E47,'2018_commission_structure'!$A$5:$A$8,0),MATCH(Calculations!V$1,'2018_commission_structure'!$A$5:$J$5,0))</f>
        <v>47657.4</v>
      </c>
      <c r="W47" s="2">
        <f>IF($H47&gt;I47,MIN($H47-I47,J47-I47)*INDEX('2018_commission_structure'!$A$5:$J$8,MATCH(Calculations!$E47,'2018_commission_structure'!$A$5:$A$8,0),MATCH(Calculations!W$1,'2018_commission_structure'!$A$5:$J$5,0)),0)</f>
        <v>0</v>
      </c>
      <c r="X47" s="2">
        <f>IF($H47&gt;J47,MIN($H47-J47,K47-J47)*INDEX('2018_commission_structure'!$A$5:$J$8,MATCH(Calculations!$E47,'2018_commission_structure'!$A$5:$A$8,0),MATCH(Calculations!X$1,'2018_commission_structure'!$A$5:$J$5,0)),0)</f>
        <v>0</v>
      </c>
      <c r="Y47" s="2">
        <f>IF($H47&gt;K47,MIN($H47-K47,L47-K47)*INDEX('2018_commission_structure'!$A$5:$J$8,MATCH(Calculations!$E47,'2018_commission_structure'!$A$5:$A$8,0),MATCH(Calculations!Y$1,'2018_commission_structure'!$A$5:$J$5,0)),0)</f>
        <v>0</v>
      </c>
      <c r="Z47" s="2">
        <f xml:space="preserve"> IF(H47&gt;L47,(H47-L47)*INDEX('2018_commission_structure'!$A$11:$I$14,MATCH(Calculations!$E47,'2018_commission_structure'!$A$11:$A$14,0),MATCH(Calculations!Z$1,'2018_commission_structure'!$A$11:$I$11,0)),0)</f>
        <v>0</v>
      </c>
      <c r="AA47" s="7">
        <f t="shared" si="7"/>
        <v>47657.4</v>
      </c>
      <c r="AB47" s="7">
        <f t="shared" si="8"/>
        <v>101255.4</v>
      </c>
    </row>
    <row r="48" spans="1:28" x14ac:dyDescent="0.25">
      <c r="A48">
        <v>8069192305</v>
      </c>
      <c r="B48" t="s">
        <v>1114</v>
      </c>
      <c r="C48" t="s">
        <v>1115</v>
      </c>
      <c r="D48" t="str">
        <f>B48&amp;" "&amp;C48</f>
        <v>Alexa Balch</v>
      </c>
      <c r="E48" t="s">
        <v>10</v>
      </c>
      <c r="F48">
        <v>78612</v>
      </c>
      <c r="G48">
        <f>COUNTIF(deals_closed!D:D,Calculations!A48)</f>
        <v>23</v>
      </c>
      <c r="H48" s="2">
        <f>SUMIF(deals_closed!D:D,Calculations!A48,deals_closed!C:C)</f>
        <v>825594</v>
      </c>
      <c r="I48" s="2">
        <f>VLOOKUP(E48,'2018_commission_structure'!$A$11:$I$14,9,FALSE)</f>
        <v>750000</v>
      </c>
      <c r="J48" s="2">
        <f t="shared" si="0"/>
        <v>937500</v>
      </c>
      <c r="K48" s="2">
        <f t="shared" si="1"/>
        <v>1125000</v>
      </c>
      <c r="L48" s="2">
        <f t="shared" si="2"/>
        <v>1500000</v>
      </c>
      <c r="M48" s="6">
        <f t="shared" si="3"/>
        <v>1.100792</v>
      </c>
      <c r="N48" t="str">
        <f t="shared" si="4"/>
        <v>100-125%</v>
      </c>
      <c r="O48" s="7">
        <f>MIN(I48,H48)*INDEX('2018_commission_structure'!$A$11:$I$14,MATCH(Calculations!$E48,'2018_commission_structure'!$A$11:$A$14,0),MATCH(Calculations!O$1,'2018_commission_structure'!$A$11:$I$11,0))</f>
        <v>112500</v>
      </c>
      <c r="P48" s="7">
        <f>IF($H48&gt;I48,MIN($H48-I48,J48-I48)*INDEX('2018_commission_structure'!$A$11:$I$14,MATCH(Calculations!$E48,'2018_commission_structure'!$A$11:$A$14,0), MATCH(Calculations!P$1,'2018_commission_structure'!$A$11:$I$11,0)),0)</f>
        <v>14362.86</v>
      </c>
      <c r="Q48" s="7">
        <f>IF($H48&gt;J48,MIN($H48-J48,K48-J48)*INDEX('2018_commission_structure'!$A$11:$I$14,MATCH(Calculations!$E48,'2018_commission_structure'!$A$11:$A$14,0), MATCH(Calculations!Q$1,'2018_commission_structure'!$A$11:$I$11,0)),0)</f>
        <v>0</v>
      </c>
      <c r="R48" s="7">
        <f>IF($H48&gt;K48,MIN($H48-K48,L48-K48)*INDEX('2018_commission_structure'!$A$11:$I$14,MATCH(Calculations!$E48,'2018_commission_structure'!$A$11:$A$14,0), MATCH(Calculations!R$1,'2018_commission_structure'!$A$11:$I$11,0)),0)</f>
        <v>0</v>
      </c>
      <c r="S48" s="7">
        <f>IF(H48&gt;L48,(H48-L48)*INDEX('2018_commission_structure'!$A$11:$I$14,MATCH(Calculations!$E48,'2018_commission_structure'!$A$11:$A$14,0),MATCH(Calculations!S$1,'2018_commission_structure'!$A$11:$I$11,0)),0)</f>
        <v>0</v>
      </c>
      <c r="T48" s="7">
        <f t="shared" si="5"/>
        <v>126862.86</v>
      </c>
      <c r="U48" s="7">
        <f t="shared" si="6"/>
        <v>205474.86</v>
      </c>
      <c r="V48" s="7">
        <f>MIN(H48,I48)*INDEX('2018_commission_structure'!$A$5:$J$8,MATCH(Calculations!$E48,'2018_commission_structure'!$A$5:$A$8,0),MATCH(Calculations!V$1,'2018_commission_structure'!$A$5:$J$5,0))</f>
        <v>112500</v>
      </c>
      <c r="W48" s="2">
        <f>IF($H48&gt;I48,MIN($H48-I48,J48-I48)*INDEX('2018_commission_structure'!$A$5:$J$8,MATCH(Calculations!$E48,'2018_commission_structure'!$A$5:$A$8,0),MATCH(Calculations!W$1,'2018_commission_structure'!$A$5:$J$5,0)),0)</f>
        <v>16630.68</v>
      </c>
      <c r="X48" s="2">
        <f>IF($H48&gt;J48,MIN($H48-J48,K48-J48)*INDEX('2018_commission_structure'!$A$5:$J$8,MATCH(Calculations!$E48,'2018_commission_structure'!$A$5:$A$8,0),MATCH(Calculations!X$1,'2018_commission_structure'!$A$5:$J$5,0)),0)</f>
        <v>0</v>
      </c>
      <c r="Y48" s="2">
        <f>IF($H48&gt;K48,MIN($H48-K48,L48-K48)*INDEX('2018_commission_structure'!$A$5:$J$8,MATCH(Calculations!$E48,'2018_commission_structure'!$A$5:$A$8,0),MATCH(Calculations!Y$1,'2018_commission_structure'!$A$5:$J$5,0)),0)</f>
        <v>0</v>
      </c>
      <c r="Z48" s="2">
        <f xml:space="preserve"> IF(H48&gt;L48,(H48-L48)*INDEX('2018_commission_structure'!$A$11:$I$14,MATCH(Calculations!$E48,'2018_commission_structure'!$A$11:$A$14,0),MATCH(Calculations!Z$1,'2018_commission_structure'!$A$11:$I$11,0)),0)</f>
        <v>0</v>
      </c>
      <c r="AA48" s="7">
        <f t="shared" si="7"/>
        <v>129130.68</v>
      </c>
      <c r="AB48" s="7">
        <f t="shared" si="8"/>
        <v>207742.68</v>
      </c>
    </row>
    <row r="49" spans="1:28" x14ac:dyDescent="0.25">
      <c r="A49">
        <v>5077974136</v>
      </c>
      <c r="B49" t="s">
        <v>1081</v>
      </c>
      <c r="C49" t="s">
        <v>1082</v>
      </c>
      <c r="D49" t="str">
        <f>B49&amp;" "&amp;C49</f>
        <v>Pacorro Balden</v>
      </c>
      <c r="E49" t="s">
        <v>10</v>
      </c>
      <c r="F49">
        <v>94733</v>
      </c>
      <c r="G49">
        <f>COUNTIF(deals_closed!D:D,Calculations!A49)</f>
        <v>19</v>
      </c>
      <c r="H49" s="2">
        <f>SUMIF(deals_closed!D:D,Calculations!A49,deals_closed!C:C)</f>
        <v>596790</v>
      </c>
      <c r="I49" s="2">
        <f>VLOOKUP(E49,'2018_commission_structure'!$A$11:$I$14,9,FALSE)</f>
        <v>750000</v>
      </c>
      <c r="J49" s="2">
        <f t="shared" si="0"/>
        <v>937500</v>
      </c>
      <c r="K49" s="2">
        <f t="shared" si="1"/>
        <v>1125000</v>
      </c>
      <c r="L49" s="2">
        <f t="shared" si="2"/>
        <v>1500000</v>
      </c>
      <c r="M49" s="6">
        <f t="shared" si="3"/>
        <v>0.79571999999999998</v>
      </c>
      <c r="N49" t="str">
        <f t="shared" si="4"/>
        <v>0-100%</v>
      </c>
      <c r="O49" s="7">
        <f>MIN(I49,H49)*INDEX('2018_commission_structure'!$A$11:$I$14,MATCH(Calculations!$E49,'2018_commission_structure'!$A$11:$A$14,0),MATCH(Calculations!O$1,'2018_commission_structure'!$A$11:$I$11,0))</f>
        <v>89518.5</v>
      </c>
      <c r="P49" s="7">
        <f>IF($H49&gt;I49,MIN($H49-I49,J49-I49)*INDEX('2018_commission_structure'!$A$11:$I$14,MATCH(Calculations!$E49,'2018_commission_structure'!$A$11:$A$14,0), MATCH(Calculations!P$1,'2018_commission_structure'!$A$11:$I$11,0)),0)</f>
        <v>0</v>
      </c>
      <c r="Q49" s="7">
        <f>IF($H49&gt;J49,MIN($H49-J49,K49-J49)*INDEX('2018_commission_structure'!$A$11:$I$14,MATCH(Calculations!$E49,'2018_commission_structure'!$A$11:$A$14,0), MATCH(Calculations!Q$1,'2018_commission_structure'!$A$11:$I$11,0)),0)</f>
        <v>0</v>
      </c>
      <c r="R49" s="7">
        <f>IF($H49&gt;K49,MIN($H49-K49,L49-K49)*INDEX('2018_commission_structure'!$A$11:$I$14,MATCH(Calculations!$E49,'2018_commission_structure'!$A$11:$A$14,0), MATCH(Calculations!R$1,'2018_commission_structure'!$A$11:$I$11,0)),0)</f>
        <v>0</v>
      </c>
      <c r="S49" s="7">
        <f>IF(H49&gt;L49,(H49-L49)*INDEX('2018_commission_structure'!$A$11:$I$14,MATCH(Calculations!$E49,'2018_commission_structure'!$A$11:$A$14,0),MATCH(Calculations!S$1,'2018_commission_structure'!$A$11:$I$11,0)),0)</f>
        <v>0</v>
      </c>
      <c r="T49" s="7">
        <f t="shared" si="5"/>
        <v>89518.5</v>
      </c>
      <c r="U49" s="7">
        <f t="shared" si="6"/>
        <v>184251.5</v>
      </c>
      <c r="V49" s="7">
        <f>MIN(H49,I49)*INDEX('2018_commission_structure'!$A$5:$J$8,MATCH(Calculations!$E49,'2018_commission_structure'!$A$5:$A$8,0),MATCH(Calculations!V$1,'2018_commission_structure'!$A$5:$J$5,0))</f>
        <v>89518.5</v>
      </c>
      <c r="W49" s="2">
        <f>IF($H49&gt;I49,MIN($H49-I49,J49-I49)*INDEX('2018_commission_structure'!$A$5:$J$8,MATCH(Calculations!$E49,'2018_commission_structure'!$A$5:$A$8,0),MATCH(Calculations!W$1,'2018_commission_structure'!$A$5:$J$5,0)),0)</f>
        <v>0</v>
      </c>
      <c r="X49" s="2">
        <f>IF($H49&gt;J49,MIN($H49-J49,K49-J49)*INDEX('2018_commission_structure'!$A$5:$J$8,MATCH(Calculations!$E49,'2018_commission_structure'!$A$5:$A$8,0),MATCH(Calculations!X$1,'2018_commission_structure'!$A$5:$J$5,0)),0)</f>
        <v>0</v>
      </c>
      <c r="Y49" s="2">
        <f>IF($H49&gt;K49,MIN($H49-K49,L49-K49)*INDEX('2018_commission_structure'!$A$5:$J$8,MATCH(Calculations!$E49,'2018_commission_structure'!$A$5:$A$8,0),MATCH(Calculations!Y$1,'2018_commission_structure'!$A$5:$J$5,0)),0)</f>
        <v>0</v>
      </c>
      <c r="Z49" s="2">
        <f xml:space="preserve"> IF(H49&gt;L49,(H49-L49)*INDEX('2018_commission_structure'!$A$11:$I$14,MATCH(Calculations!$E49,'2018_commission_structure'!$A$11:$A$14,0),MATCH(Calculations!Z$1,'2018_commission_structure'!$A$11:$I$11,0)),0)</f>
        <v>0</v>
      </c>
      <c r="AA49" s="7">
        <f t="shared" si="7"/>
        <v>89518.5</v>
      </c>
      <c r="AB49" s="7">
        <f t="shared" si="8"/>
        <v>184251.5</v>
      </c>
    </row>
    <row r="50" spans="1:28" x14ac:dyDescent="0.25">
      <c r="A50">
        <v>1439916314</v>
      </c>
      <c r="B50" t="s">
        <v>685</v>
      </c>
      <c r="C50" t="s">
        <v>686</v>
      </c>
      <c r="D50" t="str">
        <f>B50&amp;" "&amp;C50</f>
        <v>Lesli Baldini</v>
      </c>
      <c r="E50" t="s">
        <v>7</v>
      </c>
      <c r="F50">
        <v>48869</v>
      </c>
      <c r="G50">
        <f>COUNTIF(deals_closed!D:D,Calculations!A50)</f>
        <v>15</v>
      </c>
      <c r="H50" s="2">
        <f>SUMIF(deals_closed!D:D,Calculations!A50,deals_closed!C:C)</f>
        <v>493637</v>
      </c>
      <c r="I50" s="2">
        <f>VLOOKUP(E50,'2018_commission_structure'!$A$11:$I$14,9,FALSE)</f>
        <v>500000</v>
      </c>
      <c r="J50" s="2">
        <f t="shared" si="0"/>
        <v>625000</v>
      </c>
      <c r="K50" s="2">
        <f t="shared" si="1"/>
        <v>750000</v>
      </c>
      <c r="L50" s="2">
        <f t="shared" si="2"/>
        <v>1000000</v>
      </c>
      <c r="M50" s="6">
        <f t="shared" si="3"/>
        <v>0.98727399999999998</v>
      </c>
      <c r="N50" t="str">
        <f t="shared" si="4"/>
        <v>0-100%</v>
      </c>
      <c r="O50" s="7">
        <f>MIN(I50,H50)*INDEX('2018_commission_structure'!$A$11:$I$14,MATCH(Calculations!$E50,'2018_commission_structure'!$A$11:$A$14,0),MATCH(Calculations!O$1,'2018_commission_structure'!$A$11:$I$11,0))</f>
        <v>49363.700000000004</v>
      </c>
      <c r="P50" s="7">
        <f>IF($H50&gt;I50,MIN($H50-I50,J50-I50)*INDEX('2018_commission_structure'!$A$11:$I$14,MATCH(Calculations!$E50,'2018_commission_structure'!$A$11:$A$14,0), MATCH(Calculations!P$1,'2018_commission_structure'!$A$11:$I$11,0)),0)</f>
        <v>0</v>
      </c>
      <c r="Q50" s="7">
        <f>IF($H50&gt;J50,MIN($H50-J50,K50-J50)*INDEX('2018_commission_structure'!$A$11:$I$14,MATCH(Calculations!$E50,'2018_commission_structure'!$A$11:$A$14,0), MATCH(Calculations!Q$1,'2018_commission_structure'!$A$11:$I$11,0)),0)</f>
        <v>0</v>
      </c>
      <c r="R50" s="7">
        <f>IF($H50&gt;K50,MIN($H50-K50,L50-K50)*INDEX('2018_commission_structure'!$A$11:$I$14,MATCH(Calculations!$E50,'2018_commission_structure'!$A$11:$A$14,0), MATCH(Calculations!R$1,'2018_commission_structure'!$A$11:$I$11,0)),0)</f>
        <v>0</v>
      </c>
      <c r="S50" s="7">
        <f>IF(H50&gt;L50,(H50-L50)*INDEX('2018_commission_structure'!$A$11:$I$14,MATCH(Calculations!$E50,'2018_commission_structure'!$A$11:$A$14,0),MATCH(Calculations!S$1,'2018_commission_structure'!$A$11:$I$11,0)),0)</f>
        <v>0</v>
      </c>
      <c r="T50" s="7">
        <f t="shared" si="5"/>
        <v>49363.700000000004</v>
      </c>
      <c r="U50" s="7">
        <f t="shared" si="6"/>
        <v>98232.700000000012</v>
      </c>
      <c r="V50" s="7">
        <f>MIN(H50,I50)*INDEX('2018_commission_structure'!$A$5:$J$8,MATCH(Calculations!$E50,'2018_commission_structure'!$A$5:$A$8,0),MATCH(Calculations!V$1,'2018_commission_structure'!$A$5:$J$5,0))</f>
        <v>59236.439999999995</v>
      </c>
      <c r="W50" s="2">
        <f>IF($H50&gt;I50,MIN($H50-I50,J50-I50)*INDEX('2018_commission_structure'!$A$5:$J$8,MATCH(Calculations!$E50,'2018_commission_structure'!$A$5:$A$8,0),MATCH(Calculations!W$1,'2018_commission_structure'!$A$5:$J$5,0)),0)</f>
        <v>0</v>
      </c>
      <c r="X50" s="2">
        <f>IF($H50&gt;J50,MIN($H50-J50,K50-J50)*INDEX('2018_commission_structure'!$A$5:$J$8,MATCH(Calculations!$E50,'2018_commission_structure'!$A$5:$A$8,0),MATCH(Calculations!X$1,'2018_commission_structure'!$A$5:$J$5,0)),0)</f>
        <v>0</v>
      </c>
      <c r="Y50" s="2">
        <f>IF($H50&gt;K50,MIN($H50-K50,L50-K50)*INDEX('2018_commission_structure'!$A$5:$J$8,MATCH(Calculations!$E50,'2018_commission_structure'!$A$5:$A$8,0),MATCH(Calculations!Y$1,'2018_commission_structure'!$A$5:$J$5,0)),0)</f>
        <v>0</v>
      </c>
      <c r="Z50" s="2">
        <f xml:space="preserve"> IF(H50&gt;L50,(H50-L50)*INDEX('2018_commission_structure'!$A$11:$I$14,MATCH(Calculations!$E50,'2018_commission_structure'!$A$11:$A$14,0),MATCH(Calculations!Z$1,'2018_commission_structure'!$A$11:$I$11,0)),0)</f>
        <v>0</v>
      </c>
      <c r="AA50" s="7">
        <f t="shared" si="7"/>
        <v>59236.439999999995</v>
      </c>
      <c r="AB50" s="7">
        <f t="shared" si="8"/>
        <v>108105.44</v>
      </c>
    </row>
    <row r="51" spans="1:28" x14ac:dyDescent="0.25">
      <c r="A51">
        <v>5197585250</v>
      </c>
      <c r="B51" t="s">
        <v>796</v>
      </c>
      <c r="C51" t="s">
        <v>797</v>
      </c>
      <c r="D51" t="str">
        <f>B51&amp;" "&amp;C51</f>
        <v>Natassia Baldoni</v>
      </c>
      <c r="E51" t="s">
        <v>10</v>
      </c>
      <c r="F51">
        <v>114163</v>
      </c>
      <c r="G51">
        <f>COUNTIF(deals_closed!D:D,Calculations!A51)</f>
        <v>23</v>
      </c>
      <c r="H51" s="2">
        <f>SUMIF(deals_closed!D:D,Calculations!A51,deals_closed!C:C)</f>
        <v>816810</v>
      </c>
      <c r="I51" s="2">
        <f>VLOOKUP(E51,'2018_commission_structure'!$A$11:$I$14,9,FALSE)</f>
        <v>750000</v>
      </c>
      <c r="J51" s="2">
        <f t="shared" si="0"/>
        <v>937500</v>
      </c>
      <c r="K51" s="2">
        <f t="shared" si="1"/>
        <v>1125000</v>
      </c>
      <c r="L51" s="2">
        <f t="shared" si="2"/>
        <v>1500000</v>
      </c>
      <c r="M51" s="6">
        <f t="shared" si="3"/>
        <v>1.08908</v>
      </c>
      <c r="N51" t="str">
        <f t="shared" si="4"/>
        <v>100-125%</v>
      </c>
      <c r="O51" s="7">
        <f>MIN(I51,H51)*INDEX('2018_commission_structure'!$A$11:$I$14,MATCH(Calculations!$E51,'2018_commission_structure'!$A$11:$A$14,0),MATCH(Calculations!O$1,'2018_commission_structure'!$A$11:$I$11,0))</f>
        <v>112500</v>
      </c>
      <c r="P51" s="7">
        <f>IF($H51&gt;I51,MIN($H51-I51,J51-I51)*INDEX('2018_commission_structure'!$A$11:$I$14,MATCH(Calculations!$E51,'2018_commission_structure'!$A$11:$A$14,0), MATCH(Calculations!P$1,'2018_commission_structure'!$A$11:$I$11,0)),0)</f>
        <v>12693.9</v>
      </c>
      <c r="Q51" s="7">
        <f>IF($H51&gt;J51,MIN($H51-J51,K51-J51)*INDEX('2018_commission_structure'!$A$11:$I$14,MATCH(Calculations!$E51,'2018_commission_structure'!$A$11:$A$14,0), MATCH(Calculations!Q$1,'2018_commission_structure'!$A$11:$I$11,0)),0)</f>
        <v>0</v>
      </c>
      <c r="R51" s="7">
        <f>IF($H51&gt;K51,MIN($H51-K51,L51-K51)*INDEX('2018_commission_structure'!$A$11:$I$14,MATCH(Calculations!$E51,'2018_commission_structure'!$A$11:$A$14,0), MATCH(Calculations!R$1,'2018_commission_structure'!$A$11:$I$11,0)),0)</f>
        <v>0</v>
      </c>
      <c r="S51" s="7">
        <f>IF(H51&gt;L51,(H51-L51)*INDEX('2018_commission_structure'!$A$11:$I$14,MATCH(Calculations!$E51,'2018_commission_structure'!$A$11:$A$14,0),MATCH(Calculations!S$1,'2018_commission_structure'!$A$11:$I$11,0)),0)</f>
        <v>0</v>
      </c>
      <c r="T51" s="7">
        <f t="shared" si="5"/>
        <v>125193.9</v>
      </c>
      <c r="U51" s="7">
        <f t="shared" si="6"/>
        <v>239356.9</v>
      </c>
      <c r="V51" s="7">
        <f>MIN(H51,I51)*INDEX('2018_commission_structure'!$A$5:$J$8,MATCH(Calculations!$E51,'2018_commission_structure'!$A$5:$A$8,0),MATCH(Calculations!V$1,'2018_commission_structure'!$A$5:$J$5,0))</f>
        <v>112500</v>
      </c>
      <c r="W51" s="2">
        <f>IF($H51&gt;I51,MIN($H51-I51,J51-I51)*INDEX('2018_commission_structure'!$A$5:$J$8,MATCH(Calculations!$E51,'2018_commission_structure'!$A$5:$A$8,0),MATCH(Calculations!W$1,'2018_commission_structure'!$A$5:$J$5,0)),0)</f>
        <v>14698.2</v>
      </c>
      <c r="X51" s="2">
        <f>IF($H51&gt;J51,MIN($H51-J51,K51-J51)*INDEX('2018_commission_structure'!$A$5:$J$8,MATCH(Calculations!$E51,'2018_commission_structure'!$A$5:$A$8,0),MATCH(Calculations!X$1,'2018_commission_structure'!$A$5:$J$5,0)),0)</f>
        <v>0</v>
      </c>
      <c r="Y51" s="2">
        <f>IF($H51&gt;K51,MIN($H51-K51,L51-K51)*INDEX('2018_commission_structure'!$A$5:$J$8,MATCH(Calculations!$E51,'2018_commission_structure'!$A$5:$A$8,0),MATCH(Calculations!Y$1,'2018_commission_structure'!$A$5:$J$5,0)),0)</f>
        <v>0</v>
      </c>
      <c r="Z51" s="2">
        <f xml:space="preserve"> IF(H51&gt;L51,(H51-L51)*INDEX('2018_commission_structure'!$A$11:$I$14,MATCH(Calculations!$E51,'2018_commission_structure'!$A$11:$A$14,0),MATCH(Calculations!Z$1,'2018_commission_structure'!$A$11:$I$11,0)),0)</f>
        <v>0</v>
      </c>
      <c r="AA51" s="7">
        <f t="shared" si="7"/>
        <v>127198.2</v>
      </c>
      <c r="AB51" s="7">
        <f t="shared" si="8"/>
        <v>241361.2</v>
      </c>
    </row>
    <row r="52" spans="1:28" x14ac:dyDescent="0.25">
      <c r="A52">
        <v>2779378506</v>
      </c>
      <c r="B52" t="s">
        <v>838</v>
      </c>
      <c r="C52" t="s">
        <v>839</v>
      </c>
      <c r="D52" t="str">
        <f>B52&amp;" "&amp;C52</f>
        <v>Andreana Baly</v>
      </c>
      <c r="E52" t="s">
        <v>10</v>
      </c>
      <c r="F52">
        <v>83208</v>
      </c>
      <c r="G52">
        <f>COUNTIF(deals_closed!D:D,Calculations!A52)</f>
        <v>21</v>
      </c>
      <c r="H52" s="2">
        <f>SUMIF(deals_closed!D:D,Calculations!A52,deals_closed!C:C)</f>
        <v>753098</v>
      </c>
      <c r="I52" s="2">
        <f>VLOOKUP(E52,'2018_commission_structure'!$A$11:$I$14,9,FALSE)</f>
        <v>750000</v>
      </c>
      <c r="J52" s="2">
        <f t="shared" si="0"/>
        <v>937500</v>
      </c>
      <c r="K52" s="2">
        <f t="shared" si="1"/>
        <v>1125000</v>
      </c>
      <c r="L52" s="2">
        <f t="shared" si="2"/>
        <v>1500000</v>
      </c>
      <c r="M52" s="6">
        <f t="shared" si="3"/>
        <v>1.0041306666666667</v>
      </c>
      <c r="N52" t="str">
        <f t="shared" si="4"/>
        <v>100-125%</v>
      </c>
      <c r="O52" s="7">
        <f>MIN(I52,H52)*INDEX('2018_commission_structure'!$A$11:$I$14,MATCH(Calculations!$E52,'2018_commission_structure'!$A$11:$A$14,0),MATCH(Calculations!O$1,'2018_commission_structure'!$A$11:$I$11,0))</f>
        <v>112500</v>
      </c>
      <c r="P52" s="7">
        <f>IF($H52&gt;I52,MIN($H52-I52,J52-I52)*INDEX('2018_commission_structure'!$A$11:$I$14,MATCH(Calculations!$E52,'2018_commission_structure'!$A$11:$A$14,0), MATCH(Calculations!P$1,'2018_commission_structure'!$A$11:$I$11,0)),0)</f>
        <v>588.62</v>
      </c>
      <c r="Q52" s="7">
        <f>IF($H52&gt;J52,MIN($H52-J52,K52-J52)*INDEX('2018_commission_structure'!$A$11:$I$14,MATCH(Calculations!$E52,'2018_commission_structure'!$A$11:$A$14,0), MATCH(Calculations!Q$1,'2018_commission_structure'!$A$11:$I$11,0)),0)</f>
        <v>0</v>
      </c>
      <c r="R52" s="7">
        <f>IF($H52&gt;K52,MIN($H52-K52,L52-K52)*INDEX('2018_commission_structure'!$A$11:$I$14,MATCH(Calculations!$E52,'2018_commission_structure'!$A$11:$A$14,0), MATCH(Calculations!R$1,'2018_commission_structure'!$A$11:$I$11,0)),0)</f>
        <v>0</v>
      </c>
      <c r="S52" s="7">
        <f>IF(H52&gt;L52,(H52-L52)*INDEX('2018_commission_structure'!$A$11:$I$14,MATCH(Calculations!$E52,'2018_commission_structure'!$A$11:$A$14,0),MATCH(Calculations!S$1,'2018_commission_structure'!$A$11:$I$11,0)),0)</f>
        <v>0</v>
      </c>
      <c r="T52" s="7">
        <f t="shared" si="5"/>
        <v>113088.62</v>
      </c>
      <c r="U52" s="7">
        <f t="shared" si="6"/>
        <v>196296.62</v>
      </c>
      <c r="V52" s="7">
        <f>MIN(H52,I52)*INDEX('2018_commission_structure'!$A$5:$J$8,MATCH(Calculations!$E52,'2018_commission_structure'!$A$5:$A$8,0),MATCH(Calculations!V$1,'2018_commission_structure'!$A$5:$J$5,0))</f>
        <v>112500</v>
      </c>
      <c r="W52" s="2">
        <f>IF($H52&gt;I52,MIN($H52-I52,J52-I52)*INDEX('2018_commission_structure'!$A$5:$J$8,MATCH(Calculations!$E52,'2018_commission_structure'!$A$5:$A$8,0),MATCH(Calculations!W$1,'2018_commission_structure'!$A$5:$J$5,0)),0)</f>
        <v>681.56000000000006</v>
      </c>
      <c r="X52" s="2">
        <f>IF($H52&gt;J52,MIN($H52-J52,K52-J52)*INDEX('2018_commission_structure'!$A$5:$J$8,MATCH(Calculations!$E52,'2018_commission_structure'!$A$5:$A$8,0),MATCH(Calculations!X$1,'2018_commission_structure'!$A$5:$J$5,0)),0)</f>
        <v>0</v>
      </c>
      <c r="Y52" s="2">
        <f>IF($H52&gt;K52,MIN($H52-K52,L52-K52)*INDEX('2018_commission_structure'!$A$5:$J$8,MATCH(Calculations!$E52,'2018_commission_structure'!$A$5:$A$8,0),MATCH(Calculations!Y$1,'2018_commission_structure'!$A$5:$J$5,0)),0)</f>
        <v>0</v>
      </c>
      <c r="Z52" s="2">
        <f xml:space="preserve"> IF(H52&gt;L52,(H52-L52)*INDEX('2018_commission_structure'!$A$11:$I$14,MATCH(Calculations!$E52,'2018_commission_structure'!$A$11:$A$14,0),MATCH(Calculations!Z$1,'2018_commission_structure'!$A$11:$I$11,0)),0)</f>
        <v>0</v>
      </c>
      <c r="AA52" s="7">
        <f t="shared" si="7"/>
        <v>113181.56</v>
      </c>
      <c r="AB52" s="7">
        <f t="shared" si="8"/>
        <v>196389.56</v>
      </c>
    </row>
    <row r="53" spans="1:28" x14ac:dyDescent="0.25">
      <c r="A53">
        <v>492630925</v>
      </c>
      <c r="B53" t="s">
        <v>964</v>
      </c>
      <c r="C53" t="s">
        <v>965</v>
      </c>
      <c r="D53" t="str">
        <f>B53&amp;" "&amp;C53</f>
        <v>Lorie Bamblett</v>
      </c>
      <c r="E53" t="s">
        <v>10</v>
      </c>
      <c r="F53">
        <v>112873</v>
      </c>
      <c r="G53">
        <f>COUNTIF(deals_closed!D:D,Calculations!A53)</f>
        <v>17</v>
      </c>
      <c r="H53" s="2">
        <f>SUMIF(deals_closed!D:D,Calculations!A53,deals_closed!C:C)</f>
        <v>617946</v>
      </c>
      <c r="I53" s="2">
        <f>VLOOKUP(E53,'2018_commission_structure'!$A$11:$I$14,9,FALSE)</f>
        <v>750000</v>
      </c>
      <c r="J53" s="2">
        <f t="shared" si="0"/>
        <v>937500</v>
      </c>
      <c r="K53" s="2">
        <f t="shared" si="1"/>
        <v>1125000</v>
      </c>
      <c r="L53" s="2">
        <f t="shared" si="2"/>
        <v>1500000</v>
      </c>
      <c r="M53" s="6">
        <f t="shared" si="3"/>
        <v>0.82392799999999999</v>
      </c>
      <c r="N53" t="str">
        <f t="shared" si="4"/>
        <v>0-100%</v>
      </c>
      <c r="O53" s="7">
        <f>MIN(I53,H53)*INDEX('2018_commission_structure'!$A$11:$I$14,MATCH(Calculations!$E53,'2018_commission_structure'!$A$11:$A$14,0),MATCH(Calculations!O$1,'2018_commission_structure'!$A$11:$I$11,0))</f>
        <v>92691.9</v>
      </c>
      <c r="P53" s="7">
        <f>IF($H53&gt;I53,MIN($H53-I53,J53-I53)*INDEX('2018_commission_structure'!$A$11:$I$14,MATCH(Calculations!$E53,'2018_commission_structure'!$A$11:$A$14,0), MATCH(Calculations!P$1,'2018_commission_structure'!$A$11:$I$11,0)),0)</f>
        <v>0</v>
      </c>
      <c r="Q53" s="7">
        <f>IF($H53&gt;J53,MIN($H53-J53,K53-J53)*INDEX('2018_commission_structure'!$A$11:$I$14,MATCH(Calculations!$E53,'2018_commission_structure'!$A$11:$A$14,0), MATCH(Calculations!Q$1,'2018_commission_structure'!$A$11:$I$11,0)),0)</f>
        <v>0</v>
      </c>
      <c r="R53" s="7">
        <f>IF($H53&gt;K53,MIN($H53-K53,L53-K53)*INDEX('2018_commission_structure'!$A$11:$I$14,MATCH(Calculations!$E53,'2018_commission_structure'!$A$11:$A$14,0), MATCH(Calculations!R$1,'2018_commission_structure'!$A$11:$I$11,0)),0)</f>
        <v>0</v>
      </c>
      <c r="S53" s="7">
        <f>IF(H53&gt;L53,(H53-L53)*INDEX('2018_commission_structure'!$A$11:$I$14,MATCH(Calculations!$E53,'2018_commission_structure'!$A$11:$A$14,0),MATCH(Calculations!S$1,'2018_commission_structure'!$A$11:$I$11,0)),0)</f>
        <v>0</v>
      </c>
      <c r="T53" s="7">
        <f t="shared" si="5"/>
        <v>92691.9</v>
      </c>
      <c r="U53" s="7">
        <f t="shared" si="6"/>
        <v>205564.9</v>
      </c>
      <c r="V53" s="7">
        <f>MIN(H53,I53)*INDEX('2018_commission_structure'!$A$5:$J$8,MATCH(Calculations!$E53,'2018_commission_structure'!$A$5:$A$8,0),MATCH(Calculations!V$1,'2018_commission_structure'!$A$5:$J$5,0))</f>
        <v>92691.9</v>
      </c>
      <c r="W53" s="2">
        <f>IF($H53&gt;I53,MIN($H53-I53,J53-I53)*INDEX('2018_commission_structure'!$A$5:$J$8,MATCH(Calculations!$E53,'2018_commission_structure'!$A$5:$A$8,0),MATCH(Calculations!W$1,'2018_commission_structure'!$A$5:$J$5,0)),0)</f>
        <v>0</v>
      </c>
      <c r="X53" s="2">
        <f>IF($H53&gt;J53,MIN($H53-J53,K53-J53)*INDEX('2018_commission_structure'!$A$5:$J$8,MATCH(Calculations!$E53,'2018_commission_structure'!$A$5:$A$8,0),MATCH(Calculations!X$1,'2018_commission_structure'!$A$5:$J$5,0)),0)</f>
        <v>0</v>
      </c>
      <c r="Y53" s="2">
        <f>IF($H53&gt;K53,MIN($H53-K53,L53-K53)*INDEX('2018_commission_structure'!$A$5:$J$8,MATCH(Calculations!$E53,'2018_commission_structure'!$A$5:$A$8,0),MATCH(Calculations!Y$1,'2018_commission_structure'!$A$5:$J$5,0)),0)</f>
        <v>0</v>
      </c>
      <c r="Z53" s="2">
        <f xml:space="preserve"> IF(H53&gt;L53,(H53-L53)*INDEX('2018_commission_structure'!$A$11:$I$14,MATCH(Calculations!$E53,'2018_commission_structure'!$A$11:$A$14,0),MATCH(Calculations!Z$1,'2018_commission_structure'!$A$11:$I$11,0)),0)</f>
        <v>0</v>
      </c>
      <c r="AA53" s="7">
        <f t="shared" si="7"/>
        <v>92691.9</v>
      </c>
      <c r="AB53" s="7">
        <f t="shared" si="8"/>
        <v>205564.9</v>
      </c>
    </row>
    <row r="54" spans="1:28" x14ac:dyDescent="0.25">
      <c r="A54">
        <v>5383734902</v>
      </c>
      <c r="B54" t="s">
        <v>1249</v>
      </c>
      <c r="C54" t="s">
        <v>1250</v>
      </c>
      <c r="D54" t="str">
        <f>B54&amp;" "&amp;C54</f>
        <v>Pamela Banke</v>
      </c>
      <c r="E54" t="s">
        <v>10</v>
      </c>
      <c r="F54">
        <v>98117</v>
      </c>
      <c r="G54">
        <f>COUNTIF(deals_closed!D:D,Calculations!A54)</f>
        <v>18</v>
      </c>
      <c r="H54" s="2">
        <f>SUMIF(deals_closed!D:D,Calculations!A54,deals_closed!C:C)</f>
        <v>699755</v>
      </c>
      <c r="I54" s="2">
        <f>VLOOKUP(E54,'2018_commission_structure'!$A$11:$I$14,9,FALSE)</f>
        <v>750000</v>
      </c>
      <c r="J54" s="2">
        <f t="shared" si="0"/>
        <v>937500</v>
      </c>
      <c r="K54" s="2">
        <f t="shared" si="1"/>
        <v>1125000</v>
      </c>
      <c r="L54" s="2">
        <f t="shared" si="2"/>
        <v>1500000</v>
      </c>
      <c r="M54" s="6">
        <f t="shared" si="3"/>
        <v>0.93300666666666665</v>
      </c>
      <c r="N54" t="str">
        <f t="shared" si="4"/>
        <v>0-100%</v>
      </c>
      <c r="O54" s="7">
        <f>MIN(I54,H54)*INDEX('2018_commission_structure'!$A$11:$I$14,MATCH(Calculations!$E54,'2018_commission_structure'!$A$11:$A$14,0),MATCH(Calculations!O$1,'2018_commission_structure'!$A$11:$I$11,0))</f>
        <v>104963.25</v>
      </c>
      <c r="P54" s="7">
        <f>IF($H54&gt;I54,MIN($H54-I54,J54-I54)*INDEX('2018_commission_structure'!$A$11:$I$14,MATCH(Calculations!$E54,'2018_commission_structure'!$A$11:$A$14,0), MATCH(Calculations!P$1,'2018_commission_structure'!$A$11:$I$11,0)),0)</f>
        <v>0</v>
      </c>
      <c r="Q54" s="7">
        <f>IF($H54&gt;J54,MIN($H54-J54,K54-J54)*INDEX('2018_commission_structure'!$A$11:$I$14,MATCH(Calculations!$E54,'2018_commission_structure'!$A$11:$A$14,0), MATCH(Calculations!Q$1,'2018_commission_structure'!$A$11:$I$11,0)),0)</f>
        <v>0</v>
      </c>
      <c r="R54" s="7">
        <f>IF($H54&gt;K54,MIN($H54-K54,L54-K54)*INDEX('2018_commission_structure'!$A$11:$I$14,MATCH(Calculations!$E54,'2018_commission_structure'!$A$11:$A$14,0), MATCH(Calculations!R$1,'2018_commission_structure'!$A$11:$I$11,0)),0)</f>
        <v>0</v>
      </c>
      <c r="S54" s="7">
        <f>IF(H54&gt;L54,(H54-L54)*INDEX('2018_commission_structure'!$A$11:$I$14,MATCH(Calculations!$E54,'2018_commission_structure'!$A$11:$A$14,0),MATCH(Calculations!S$1,'2018_commission_structure'!$A$11:$I$11,0)),0)</f>
        <v>0</v>
      </c>
      <c r="T54" s="7">
        <f t="shared" si="5"/>
        <v>104963.25</v>
      </c>
      <c r="U54" s="7">
        <f t="shared" si="6"/>
        <v>203080.25</v>
      </c>
      <c r="V54" s="7">
        <f>MIN(H54,I54)*INDEX('2018_commission_structure'!$A$5:$J$8,MATCH(Calculations!$E54,'2018_commission_structure'!$A$5:$A$8,0),MATCH(Calculations!V$1,'2018_commission_structure'!$A$5:$J$5,0))</f>
        <v>104963.25</v>
      </c>
      <c r="W54" s="2">
        <f>IF($H54&gt;I54,MIN($H54-I54,J54-I54)*INDEX('2018_commission_structure'!$A$5:$J$8,MATCH(Calculations!$E54,'2018_commission_structure'!$A$5:$A$8,0),MATCH(Calculations!W$1,'2018_commission_structure'!$A$5:$J$5,0)),0)</f>
        <v>0</v>
      </c>
      <c r="X54" s="2">
        <f>IF($H54&gt;J54,MIN($H54-J54,K54-J54)*INDEX('2018_commission_structure'!$A$5:$J$8,MATCH(Calculations!$E54,'2018_commission_structure'!$A$5:$A$8,0),MATCH(Calculations!X$1,'2018_commission_structure'!$A$5:$J$5,0)),0)</f>
        <v>0</v>
      </c>
      <c r="Y54" s="2">
        <f>IF($H54&gt;K54,MIN($H54-K54,L54-K54)*INDEX('2018_commission_structure'!$A$5:$J$8,MATCH(Calculations!$E54,'2018_commission_structure'!$A$5:$A$8,0),MATCH(Calculations!Y$1,'2018_commission_structure'!$A$5:$J$5,0)),0)</f>
        <v>0</v>
      </c>
      <c r="Z54" s="2">
        <f xml:space="preserve"> IF(H54&gt;L54,(H54-L54)*INDEX('2018_commission_structure'!$A$11:$I$14,MATCH(Calculations!$E54,'2018_commission_structure'!$A$11:$A$14,0),MATCH(Calculations!Z$1,'2018_commission_structure'!$A$11:$I$11,0)),0)</f>
        <v>0</v>
      </c>
      <c r="AA54" s="7">
        <f t="shared" si="7"/>
        <v>104963.25</v>
      </c>
      <c r="AB54" s="7">
        <f t="shared" si="8"/>
        <v>203080.25</v>
      </c>
    </row>
    <row r="55" spans="1:28" x14ac:dyDescent="0.25">
      <c r="A55">
        <v>5403399259</v>
      </c>
      <c r="B55" t="s">
        <v>1461</v>
      </c>
      <c r="C55" t="s">
        <v>1462</v>
      </c>
      <c r="D55" t="str">
        <f>B55&amp;" "&amp;C55</f>
        <v>Sherilyn Barendtsen</v>
      </c>
      <c r="E55" t="s">
        <v>29</v>
      </c>
      <c r="F55">
        <v>55461</v>
      </c>
      <c r="G55">
        <f>COUNTIF(deals_closed!D:D,Calculations!A55)</f>
        <v>14</v>
      </c>
      <c r="H55" s="2">
        <f>SUMIF(deals_closed!D:D,Calculations!A55,deals_closed!C:C)</f>
        <v>374529</v>
      </c>
      <c r="I55" s="2">
        <f>VLOOKUP(E55,'2018_commission_structure'!$A$11:$I$14,9,FALSE)</f>
        <v>600000</v>
      </c>
      <c r="J55" s="2">
        <f t="shared" si="0"/>
        <v>750000</v>
      </c>
      <c r="K55" s="2">
        <f t="shared" si="1"/>
        <v>900000</v>
      </c>
      <c r="L55" s="2">
        <f t="shared" si="2"/>
        <v>1200000</v>
      </c>
      <c r="M55" s="6">
        <f t="shared" si="3"/>
        <v>0.62421499999999996</v>
      </c>
      <c r="N55" t="str">
        <f t="shared" si="4"/>
        <v>0-100%</v>
      </c>
      <c r="O55" s="7">
        <f>MIN(I55,H55)*INDEX('2018_commission_structure'!$A$11:$I$14,MATCH(Calculations!$E55,'2018_commission_structure'!$A$11:$A$14,0),MATCH(Calculations!O$1,'2018_commission_structure'!$A$11:$I$11,0))</f>
        <v>48688.770000000004</v>
      </c>
      <c r="P55" s="7">
        <f>IF($H55&gt;I55,MIN($H55-I55,J55-I55)*INDEX('2018_commission_structure'!$A$11:$I$14,MATCH(Calculations!$E55,'2018_commission_structure'!$A$11:$A$14,0), MATCH(Calculations!P$1,'2018_commission_structure'!$A$11:$I$11,0)),0)</f>
        <v>0</v>
      </c>
      <c r="Q55" s="7">
        <f>IF($H55&gt;J55,MIN($H55-J55,K55-J55)*INDEX('2018_commission_structure'!$A$11:$I$14,MATCH(Calculations!$E55,'2018_commission_structure'!$A$11:$A$14,0), MATCH(Calculations!Q$1,'2018_commission_structure'!$A$11:$I$11,0)),0)</f>
        <v>0</v>
      </c>
      <c r="R55" s="7">
        <f>IF($H55&gt;K55,MIN($H55-K55,L55-K55)*INDEX('2018_commission_structure'!$A$11:$I$14,MATCH(Calculations!$E55,'2018_commission_structure'!$A$11:$A$14,0), MATCH(Calculations!R$1,'2018_commission_structure'!$A$11:$I$11,0)),0)</f>
        <v>0</v>
      </c>
      <c r="S55" s="7">
        <f>IF(H55&gt;L55,(H55-L55)*INDEX('2018_commission_structure'!$A$11:$I$14,MATCH(Calculations!$E55,'2018_commission_structure'!$A$11:$A$14,0),MATCH(Calculations!S$1,'2018_commission_structure'!$A$11:$I$11,0)),0)</f>
        <v>0</v>
      </c>
      <c r="T55" s="7">
        <f t="shared" si="5"/>
        <v>48688.770000000004</v>
      </c>
      <c r="U55" s="7">
        <f t="shared" si="6"/>
        <v>104149.77</v>
      </c>
      <c r="V55" s="7">
        <f>MIN(H55,I55)*INDEX('2018_commission_structure'!$A$5:$J$8,MATCH(Calculations!$E55,'2018_commission_structure'!$A$5:$A$8,0),MATCH(Calculations!V$1,'2018_commission_structure'!$A$5:$J$5,0))</f>
        <v>56179.35</v>
      </c>
      <c r="W55" s="2">
        <f>IF($H55&gt;I55,MIN($H55-I55,J55-I55)*INDEX('2018_commission_structure'!$A$5:$J$8,MATCH(Calculations!$E55,'2018_commission_structure'!$A$5:$A$8,0),MATCH(Calculations!W$1,'2018_commission_structure'!$A$5:$J$5,0)),0)</f>
        <v>0</v>
      </c>
      <c r="X55" s="2">
        <f>IF($H55&gt;J55,MIN($H55-J55,K55-J55)*INDEX('2018_commission_structure'!$A$5:$J$8,MATCH(Calculations!$E55,'2018_commission_structure'!$A$5:$A$8,0),MATCH(Calculations!X$1,'2018_commission_structure'!$A$5:$J$5,0)),0)</f>
        <v>0</v>
      </c>
      <c r="Y55" s="2">
        <f>IF($H55&gt;K55,MIN($H55-K55,L55-K55)*INDEX('2018_commission_structure'!$A$5:$J$8,MATCH(Calculations!$E55,'2018_commission_structure'!$A$5:$A$8,0),MATCH(Calculations!Y$1,'2018_commission_structure'!$A$5:$J$5,0)),0)</f>
        <v>0</v>
      </c>
      <c r="Z55" s="2">
        <f xml:space="preserve"> IF(H55&gt;L55,(H55-L55)*INDEX('2018_commission_structure'!$A$11:$I$14,MATCH(Calculations!$E55,'2018_commission_structure'!$A$11:$A$14,0),MATCH(Calculations!Z$1,'2018_commission_structure'!$A$11:$I$11,0)),0)</f>
        <v>0</v>
      </c>
      <c r="AA55" s="7">
        <f t="shared" si="7"/>
        <v>56179.35</v>
      </c>
      <c r="AB55" s="7">
        <f t="shared" si="8"/>
        <v>111640.35</v>
      </c>
    </row>
    <row r="56" spans="1:28" x14ac:dyDescent="0.25">
      <c r="A56">
        <v>250257920</v>
      </c>
      <c r="B56" t="s">
        <v>1421</v>
      </c>
      <c r="C56" t="s">
        <v>1422</v>
      </c>
      <c r="D56" t="str">
        <f>B56&amp;" "&amp;C56</f>
        <v>Berkly Barg</v>
      </c>
      <c r="E56" t="s">
        <v>29</v>
      </c>
      <c r="F56">
        <v>68286</v>
      </c>
      <c r="G56">
        <f>COUNTIF(deals_closed!D:D,Calculations!A56)</f>
        <v>17</v>
      </c>
      <c r="H56" s="2">
        <f>SUMIF(deals_closed!D:D,Calculations!A56,deals_closed!C:C)</f>
        <v>594518</v>
      </c>
      <c r="I56" s="2">
        <f>VLOOKUP(E56,'2018_commission_structure'!$A$11:$I$14,9,FALSE)</f>
        <v>600000</v>
      </c>
      <c r="J56" s="2">
        <f t="shared" si="0"/>
        <v>750000</v>
      </c>
      <c r="K56" s="2">
        <f t="shared" si="1"/>
        <v>900000</v>
      </c>
      <c r="L56" s="2">
        <f t="shared" si="2"/>
        <v>1200000</v>
      </c>
      <c r="M56" s="6">
        <f t="shared" si="3"/>
        <v>0.99086333333333332</v>
      </c>
      <c r="N56" t="str">
        <f t="shared" si="4"/>
        <v>0-100%</v>
      </c>
      <c r="O56" s="7">
        <f>MIN(I56,H56)*INDEX('2018_commission_structure'!$A$11:$I$14,MATCH(Calculations!$E56,'2018_commission_structure'!$A$11:$A$14,0),MATCH(Calculations!O$1,'2018_commission_structure'!$A$11:$I$11,0))</f>
        <v>77287.34</v>
      </c>
      <c r="P56" s="7">
        <f>IF($H56&gt;I56,MIN($H56-I56,J56-I56)*INDEX('2018_commission_structure'!$A$11:$I$14,MATCH(Calculations!$E56,'2018_commission_structure'!$A$11:$A$14,0), MATCH(Calculations!P$1,'2018_commission_structure'!$A$11:$I$11,0)),0)</f>
        <v>0</v>
      </c>
      <c r="Q56" s="7">
        <f>IF($H56&gt;J56,MIN($H56-J56,K56-J56)*INDEX('2018_commission_structure'!$A$11:$I$14,MATCH(Calculations!$E56,'2018_commission_structure'!$A$11:$A$14,0), MATCH(Calculations!Q$1,'2018_commission_structure'!$A$11:$I$11,0)),0)</f>
        <v>0</v>
      </c>
      <c r="R56" s="7">
        <f>IF($H56&gt;K56,MIN($H56-K56,L56-K56)*INDEX('2018_commission_structure'!$A$11:$I$14,MATCH(Calculations!$E56,'2018_commission_structure'!$A$11:$A$14,0), MATCH(Calculations!R$1,'2018_commission_structure'!$A$11:$I$11,0)),0)</f>
        <v>0</v>
      </c>
      <c r="S56" s="7">
        <f>IF(H56&gt;L56,(H56-L56)*INDEX('2018_commission_structure'!$A$11:$I$14,MATCH(Calculations!$E56,'2018_commission_structure'!$A$11:$A$14,0),MATCH(Calculations!S$1,'2018_commission_structure'!$A$11:$I$11,0)),0)</f>
        <v>0</v>
      </c>
      <c r="T56" s="7">
        <f t="shared" si="5"/>
        <v>77287.34</v>
      </c>
      <c r="U56" s="7">
        <f t="shared" si="6"/>
        <v>145573.34</v>
      </c>
      <c r="V56" s="7">
        <f>MIN(H56,I56)*INDEX('2018_commission_structure'!$A$5:$J$8,MATCH(Calculations!$E56,'2018_commission_structure'!$A$5:$A$8,0),MATCH(Calculations!V$1,'2018_commission_structure'!$A$5:$J$5,0))</f>
        <v>89177.7</v>
      </c>
      <c r="W56" s="2">
        <f>IF($H56&gt;I56,MIN($H56-I56,J56-I56)*INDEX('2018_commission_structure'!$A$5:$J$8,MATCH(Calculations!$E56,'2018_commission_structure'!$A$5:$A$8,0),MATCH(Calculations!W$1,'2018_commission_structure'!$A$5:$J$5,0)),0)</f>
        <v>0</v>
      </c>
      <c r="X56" s="2">
        <f>IF($H56&gt;J56,MIN($H56-J56,K56-J56)*INDEX('2018_commission_structure'!$A$5:$J$8,MATCH(Calculations!$E56,'2018_commission_structure'!$A$5:$A$8,0),MATCH(Calculations!X$1,'2018_commission_structure'!$A$5:$J$5,0)),0)</f>
        <v>0</v>
      </c>
      <c r="Y56" s="2">
        <f>IF($H56&gt;K56,MIN($H56-K56,L56-K56)*INDEX('2018_commission_structure'!$A$5:$J$8,MATCH(Calculations!$E56,'2018_commission_structure'!$A$5:$A$8,0),MATCH(Calculations!Y$1,'2018_commission_structure'!$A$5:$J$5,0)),0)</f>
        <v>0</v>
      </c>
      <c r="Z56" s="2">
        <f xml:space="preserve"> IF(H56&gt;L56,(H56-L56)*INDEX('2018_commission_structure'!$A$11:$I$14,MATCH(Calculations!$E56,'2018_commission_structure'!$A$11:$A$14,0),MATCH(Calculations!Z$1,'2018_commission_structure'!$A$11:$I$11,0)),0)</f>
        <v>0</v>
      </c>
      <c r="AA56" s="7">
        <f t="shared" si="7"/>
        <v>89177.7</v>
      </c>
      <c r="AB56" s="7">
        <f t="shared" si="8"/>
        <v>157463.70000000001</v>
      </c>
    </row>
    <row r="57" spans="1:28" x14ac:dyDescent="0.25">
      <c r="A57">
        <v>7180110256</v>
      </c>
      <c r="B57" t="s">
        <v>1698</v>
      </c>
      <c r="C57" t="s">
        <v>1699</v>
      </c>
      <c r="D57" t="str">
        <f>B57&amp;" "&amp;C57</f>
        <v>Ward Barnett</v>
      </c>
      <c r="E57" t="s">
        <v>29</v>
      </c>
      <c r="F57">
        <v>77067</v>
      </c>
      <c r="G57">
        <f>COUNTIF(deals_closed!D:D,Calculations!A57)</f>
        <v>18</v>
      </c>
      <c r="H57" s="2">
        <f>SUMIF(deals_closed!D:D,Calculations!A57,deals_closed!C:C)</f>
        <v>575085</v>
      </c>
      <c r="I57" s="2">
        <f>VLOOKUP(E57,'2018_commission_structure'!$A$11:$I$14,9,FALSE)</f>
        <v>600000</v>
      </c>
      <c r="J57" s="2">
        <f t="shared" si="0"/>
        <v>750000</v>
      </c>
      <c r="K57" s="2">
        <f t="shared" si="1"/>
        <v>900000</v>
      </c>
      <c r="L57" s="2">
        <f t="shared" si="2"/>
        <v>1200000</v>
      </c>
      <c r="M57" s="6">
        <f t="shared" si="3"/>
        <v>0.95847499999999997</v>
      </c>
      <c r="N57" t="str">
        <f t="shared" si="4"/>
        <v>0-100%</v>
      </c>
      <c r="O57" s="7">
        <f>MIN(I57,H57)*INDEX('2018_commission_structure'!$A$11:$I$14,MATCH(Calculations!$E57,'2018_commission_structure'!$A$11:$A$14,0),MATCH(Calculations!O$1,'2018_commission_structure'!$A$11:$I$11,0))</f>
        <v>74761.05</v>
      </c>
      <c r="P57" s="7">
        <f>IF($H57&gt;I57,MIN($H57-I57,J57-I57)*INDEX('2018_commission_structure'!$A$11:$I$14,MATCH(Calculations!$E57,'2018_commission_structure'!$A$11:$A$14,0), MATCH(Calculations!P$1,'2018_commission_structure'!$A$11:$I$11,0)),0)</f>
        <v>0</v>
      </c>
      <c r="Q57" s="7">
        <f>IF($H57&gt;J57,MIN($H57-J57,K57-J57)*INDEX('2018_commission_structure'!$A$11:$I$14,MATCH(Calculations!$E57,'2018_commission_structure'!$A$11:$A$14,0), MATCH(Calculations!Q$1,'2018_commission_structure'!$A$11:$I$11,0)),0)</f>
        <v>0</v>
      </c>
      <c r="R57" s="7">
        <f>IF($H57&gt;K57,MIN($H57-K57,L57-K57)*INDEX('2018_commission_structure'!$A$11:$I$14,MATCH(Calculations!$E57,'2018_commission_structure'!$A$11:$A$14,0), MATCH(Calculations!R$1,'2018_commission_structure'!$A$11:$I$11,0)),0)</f>
        <v>0</v>
      </c>
      <c r="S57" s="7">
        <f>IF(H57&gt;L57,(H57-L57)*INDEX('2018_commission_structure'!$A$11:$I$14,MATCH(Calculations!$E57,'2018_commission_structure'!$A$11:$A$14,0),MATCH(Calculations!S$1,'2018_commission_structure'!$A$11:$I$11,0)),0)</f>
        <v>0</v>
      </c>
      <c r="T57" s="7">
        <f t="shared" si="5"/>
        <v>74761.05</v>
      </c>
      <c r="U57" s="7">
        <f t="shared" si="6"/>
        <v>151828.04999999999</v>
      </c>
      <c r="V57" s="7">
        <f>MIN(H57,I57)*INDEX('2018_commission_structure'!$A$5:$J$8,MATCH(Calculations!$E57,'2018_commission_structure'!$A$5:$A$8,0),MATCH(Calculations!V$1,'2018_commission_structure'!$A$5:$J$5,0))</f>
        <v>86262.75</v>
      </c>
      <c r="W57" s="2">
        <f>IF($H57&gt;I57,MIN($H57-I57,J57-I57)*INDEX('2018_commission_structure'!$A$5:$J$8,MATCH(Calculations!$E57,'2018_commission_structure'!$A$5:$A$8,0),MATCH(Calculations!W$1,'2018_commission_structure'!$A$5:$J$5,0)),0)</f>
        <v>0</v>
      </c>
      <c r="X57" s="2">
        <f>IF($H57&gt;J57,MIN($H57-J57,K57-J57)*INDEX('2018_commission_structure'!$A$5:$J$8,MATCH(Calculations!$E57,'2018_commission_structure'!$A$5:$A$8,0),MATCH(Calculations!X$1,'2018_commission_structure'!$A$5:$J$5,0)),0)</f>
        <v>0</v>
      </c>
      <c r="Y57" s="2">
        <f>IF($H57&gt;K57,MIN($H57-K57,L57-K57)*INDEX('2018_commission_structure'!$A$5:$J$8,MATCH(Calculations!$E57,'2018_commission_structure'!$A$5:$A$8,0),MATCH(Calculations!Y$1,'2018_commission_structure'!$A$5:$J$5,0)),0)</f>
        <v>0</v>
      </c>
      <c r="Z57" s="2">
        <f xml:space="preserve"> IF(H57&gt;L57,(H57-L57)*INDEX('2018_commission_structure'!$A$11:$I$14,MATCH(Calculations!$E57,'2018_commission_structure'!$A$11:$A$14,0),MATCH(Calculations!Z$1,'2018_commission_structure'!$A$11:$I$11,0)),0)</f>
        <v>0</v>
      </c>
      <c r="AA57" s="7">
        <f t="shared" si="7"/>
        <v>86262.75</v>
      </c>
      <c r="AB57" s="7">
        <f t="shared" si="8"/>
        <v>163329.75</v>
      </c>
    </row>
    <row r="58" spans="1:28" x14ac:dyDescent="0.25">
      <c r="A58">
        <v>8808097757</v>
      </c>
      <c r="B58" t="s">
        <v>974</v>
      </c>
      <c r="C58" t="s">
        <v>975</v>
      </c>
      <c r="D58" t="str">
        <f>B58&amp;" "&amp;C58</f>
        <v>Alene Barneveld</v>
      </c>
      <c r="E58" t="s">
        <v>7</v>
      </c>
      <c r="F58">
        <v>49051</v>
      </c>
      <c r="G58">
        <f>COUNTIF(deals_closed!D:D,Calculations!A58)</f>
        <v>25</v>
      </c>
      <c r="H58" s="2">
        <f>SUMIF(deals_closed!D:D,Calculations!A58,deals_closed!C:C)</f>
        <v>959690</v>
      </c>
      <c r="I58" s="2">
        <f>VLOOKUP(E58,'2018_commission_structure'!$A$11:$I$14,9,FALSE)</f>
        <v>500000</v>
      </c>
      <c r="J58" s="2">
        <f t="shared" si="0"/>
        <v>625000</v>
      </c>
      <c r="K58" s="2">
        <f t="shared" si="1"/>
        <v>750000</v>
      </c>
      <c r="L58" s="2">
        <f t="shared" si="2"/>
        <v>1000000</v>
      </c>
      <c r="M58" s="6">
        <f t="shared" si="3"/>
        <v>1.9193800000000001</v>
      </c>
      <c r="N58" t="str">
        <f t="shared" si="4"/>
        <v>150-200%</v>
      </c>
      <c r="O58" s="7">
        <f>MIN(I58,H58)*INDEX('2018_commission_structure'!$A$11:$I$14,MATCH(Calculations!$E58,'2018_commission_structure'!$A$11:$A$14,0),MATCH(Calculations!O$1,'2018_commission_structure'!$A$11:$I$11,0))</f>
        <v>50000</v>
      </c>
      <c r="P58" s="7">
        <f>IF($H58&gt;I58,MIN($H58-I58,J58-I58)*INDEX('2018_commission_structure'!$A$11:$I$14,MATCH(Calculations!$E58,'2018_commission_structure'!$A$11:$A$14,0), MATCH(Calculations!P$1,'2018_commission_structure'!$A$11:$I$11,0)),0)</f>
        <v>18750</v>
      </c>
      <c r="Q58" s="7">
        <f>IF($H58&gt;J58,MIN($H58-J58,K58-J58)*INDEX('2018_commission_structure'!$A$11:$I$14,MATCH(Calculations!$E58,'2018_commission_structure'!$A$11:$A$14,0), MATCH(Calculations!Q$1,'2018_commission_structure'!$A$11:$I$11,0)),0)</f>
        <v>22500</v>
      </c>
      <c r="R58" s="7">
        <f>IF($H58&gt;K58,MIN($H58-K58,L58-K58)*INDEX('2018_commission_structure'!$A$11:$I$14,MATCH(Calculations!$E58,'2018_commission_structure'!$A$11:$A$14,0), MATCH(Calculations!R$1,'2018_commission_structure'!$A$11:$I$11,0)),0)</f>
        <v>46131.8</v>
      </c>
      <c r="S58" s="7">
        <f>IF(H58&gt;L58,(H58-L58)*INDEX('2018_commission_structure'!$A$11:$I$14,MATCH(Calculations!$E58,'2018_commission_structure'!$A$11:$A$14,0),MATCH(Calculations!S$1,'2018_commission_structure'!$A$11:$I$11,0)),0)</f>
        <v>0</v>
      </c>
      <c r="T58" s="7">
        <f t="shared" si="5"/>
        <v>137381.79999999999</v>
      </c>
      <c r="U58" s="7">
        <f t="shared" si="6"/>
        <v>186432.8</v>
      </c>
      <c r="V58" s="7">
        <f>MIN(H58,I58)*INDEX('2018_commission_structure'!$A$5:$J$8,MATCH(Calculations!$E58,'2018_commission_structure'!$A$5:$A$8,0),MATCH(Calculations!V$1,'2018_commission_structure'!$A$5:$J$5,0))</f>
        <v>60000</v>
      </c>
      <c r="W58" s="2">
        <f>IF($H58&gt;I58,MIN($H58-I58,J58-I58)*INDEX('2018_commission_structure'!$A$5:$J$8,MATCH(Calculations!$E58,'2018_commission_structure'!$A$5:$A$8,0),MATCH(Calculations!W$1,'2018_commission_structure'!$A$5:$J$5,0)),0)</f>
        <v>21250</v>
      </c>
      <c r="X58" s="2">
        <f>IF($H58&gt;J58,MIN($H58-J58,K58-J58)*INDEX('2018_commission_structure'!$A$5:$J$8,MATCH(Calculations!$E58,'2018_commission_structure'!$A$5:$A$8,0),MATCH(Calculations!X$1,'2018_commission_structure'!$A$5:$J$5,0)),0)</f>
        <v>25000</v>
      </c>
      <c r="Y58" s="2">
        <f>IF($H58&gt;K58,MIN($H58-K58,L58-K58)*INDEX('2018_commission_structure'!$A$5:$J$8,MATCH(Calculations!$E58,'2018_commission_structure'!$A$5:$A$8,0),MATCH(Calculations!Y$1,'2018_commission_structure'!$A$5:$J$5,0)),0)</f>
        <v>46131.8</v>
      </c>
      <c r="Z58" s="2">
        <f xml:space="preserve"> IF(H58&gt;L58,(H58-L58)*INDEX('2018_commission_structure'!$A$11:$I$14,MATCH(Calculations!$E58,'2018_commission_structure'!$A$11:$A$14,0),MATCH(Calculations!Z$1,'2018_commission_structure'!$A$11:$I$11,0)),0)</f>
        <v>0</v>
      </c>
      <c r="AA58" s="7">
        <f t="shared" si="7"/>
        <v>152381.79999999999</v>
      </c>
      <c r="AB58" s="7">
        <f t="shared" si="8"/>
        <v>201432.8</v>
      </c>
    </row>
    <row r="59" spans="1:28" x14ac:dyDescent="0.25">
      <c r="A59">
        <v>1953937357</v>
      </c>
      <c r="B59" t="s">
        <v>942</v>
      </c>
      <c r="C59" t="s">
        <v>943</v>
      </c>
      <c r="D59" t="str">
        <f>B59&amp;" "&amp;C59</f>
        <v>Nate Bartaletti</v>
      </c>
      <c r="E59" t="s">
        <v>29</v>
      </c>
      <c r="F59">
        <v>71164</v>
      </c>
      <c r="G59">
        <f>COUNTIF(deals_closed!D:D,Calculations!A59)</f>
        <v>29</v>
      </c>
      <c r="H59" s="2">
        <f>SUMIF(deals_closed!D:D,Calculations!A59,deals_closed!C:C)</f>
        <v>985355</v>
      </c>
      <c r="I59" s="2">
        <f>VLOOKUP(E59,'2018_commission_structure'!$A$11:$I$14,9,FALSE)</f>
        <v>600000</v>
      </c>
      <c r="J59" s="2">
        <f t="shared" si="0"/>
        <v>750000</v>
      </c>
      <c r="K59" s="2">
        <f t="shared" si="1"/>
        <v>900000</v>
      </c>
      <c r="L59" s="2">
        <f t="shared" si="2"/>
        <v>1200000</v>
      </c>
      <c r="M59" s="6">
        <f t="shared" si="3"/>
        <v>1.6422583333333334</v>
      </c>
      <c r="N59" t="str">
        <f t="shared" si="4"/>
        <v>150-200%</v>
      </c>
      <c r="O59" s="7">
        <f>MIN(I59,H59)*INDEX('2018_commission_structure'!$A$11:$I$14,MATCH(Calculations!$E59,'2018_commission_structure'!$A$11:$A$14,0),MATCH(Calculations!O$1,'2018_commission_structure'!$A$11:$I$11,0))</f>
        <v>78000</v>
      </c>
      <c r="P59" s="7">
        <f>IF($H59&gt;I59,MIN($H59-I59,J59-I59)*INDEX('2018_commission_structure'!$A$11:$I$14,MATCH(Calculations!$E59,'2018_commission_structure'!$A$11:$A$14,0), MATCH(Calculations!P$1,'2018_commission_structure'!$A$11:$I$11,0)),0)</f>
        <v>25500.000000000004</v>
      </c>
      <c r="Q59" s="7">
        <f>IF($H59&gt;J59,MIN($H59-J59,K59-J59)*INDEX('2018_commission_structure'!$A$11:$I$14,MATCH(Calculations!$E59,'2018_commission_structure'!$A$11:$A$14,0), MATCH(Calculations!Q$1,'2018_commission_structure'!$A$11:$I$11,0)),0)</f>
        <v>31500</v>
      </c>
      <c r="R59" s="7">
        <f>IF($H59&gt;K59,MIN($H59-K59,L59-K59)*INDEX('2018_commission_structure'!$A$11:$I$14,MATCH(Calculations!$E59,'2018_commission_structure'!$A$11:$A$14,0), MATCH(Calculations!R$1,'2018_commission_structure'!$A$11:$I$11,0)),0)</f>
        <v>22192.3</v>
      </c>
      <c r="S59" s="7">
        <f>IF(H59&gt;L59,(H59-L59)*INDEX('2018_commission_structure'!$A$11:$I$14,MATCH(Calculations!$E59,'2018_commission_structure'!$A$11:$A$14,0),MATCH(Calculations!S$1,'2018_commission_structure'!$A$11:$I$11,0)),0)</f>
        <v>0</v>
      </c>
      <c r="T59" s="7">
        <f t="shared" si="5"/>
        <v>157192.29999999999</v>
      </c>
      <c r="U59" s="7">
        <f t="shared" si="6"/>
        <v>228356.3</v>
      </c>
      <c r="V59" s="7">
        <f>MIN(H59,I59)*INDEX('2018_commission_structure'!$A$5:$J$8,MATCH(Calculations!$E59,'2018_commission_structure'!$A$5:$A$8,0),MATCH(Calculations!V$1,'2018_commission_structure'!$A$5:$J$5,0))</f>
        <v>90000</v>
      </c>
      <c r="W59" s="2">
        <f>IF($H59&gt;I59,MIN($H59-I59,J59-I59)*INDEX('2018_commission_structure'!$A$5:$J$8,MATCH(Calculations!$E59,'2018_commission_structure'!$A$5:$A$8,0),MATCH(Calculations!W$1,'2018_commission_structure'!$A$5:$J$5,0)),0)</f>
        <v>27000</v>
      </c>
      <c r="X59" s="2">
        <f>IF($H59&gt;J59,MIN($H59-J59,K59-J59)*INDEX('2018_commission_structure'!$A$5:$J$8,MATCH(Calculations!$E59,'2018_commission_structure'!$A$5:$A$8,0),MATCH(Calculations!X$1,'2018_commission_structure'!$A$5:$J$5,0)),0)</f>
        <v>37500</v>
      </c>
      <c r="Y59" s="2">
        <f>IF($H59&gt;K59,MIN($H59-K59,L59-K59)*INDEX('2018_commission_structure'!$A$5:$J$8,MATCH(Calculations!$E59,'2018_commission_structure'!$A$5:$A$8,0),MATCH(Calculations!Y$1,'2018_commission_structure'!$A$5:$J$5,0)),0)</f>
        <v>25606.5</v>
      </c>
      <c r="Z59" s="2">
        <f xml:space="preserve"> IF(H59&gt;L59,(H59-L59)*INDEX('2018_commission_structure'!$A$11:$I$14,MATCH(Calculations!$E59,'2018_commission_structure'!$A$11:$A$14,0),MATCH(Calculations!Z$1,'2018_commission_structure'!$A$11:$I$11,0)),0)</f>
        <v>0</v>
      </c>
      <c r="AA59" s="7">
        <f t="shared" si="7"/>
        <v>180106.5</v>
      </c>
      <c r="AB59" s="7">
        <f t="shared" si="8"/>
        <v>251270.5</v>
      </c>
    </row>
    <row r="60" spans="1:28" x14ac:dyDescent="0.25">
      <c r="A60">
        <v>8335120919</v>
      </c>
      <c r="B60" t="s">
        <v>801</v>
      </c>
      <c r="C60" t="s">
        <v>802</v>
      </c>
      <c r="D60" t="str">
        <f>B60&amp;" "&amp;C60</f>
        <v>Walker Bartels</v>
      </c>
      <c r="E60" t="s">
        <v>29</v>
      </c>
      <c r="F60">
        <v>55018</v>
      </c>
      <c r="G60">
        <f>COUNTIF(deals_closed!D:D,Calculations!A60)</f>
        <v>16</v>
      </c>
      <c r="H60" s="2">
        <f>SUMIF(deals_closed!D:D,Calculations!A60,deals_closed!C:C)</f>
        <v>515945</v>
      </c>
      <c r="I60" s="2">
        <f>VLOOKUP(E60,'2018_commission_structure'!$A$11:$I$14,9,FALSE)</f>
        <v>600000</v>
      </c>
      <c r="J60" s="2">
        <f t="shared" si="0"/>
        <v>750000</v>
      </c>
      <c r="K60" s="2">
        <f t="shared" si="1"/>
        <v>900000</v>
      </c>
      <c r="L60" s="2">
        <f t="shared" si="2"/>
        <v>1200000</v>
      </c>
      <c r="M60" s="6">
        <f t="shared" si="3"/>
        <v>0.85990833333333339</v>
      </c>
      <c r="N60" t="str">
        <f t="shared" si="4"/>
        <v>0-100%</v>
      </c>
      <c r="O60" s="7">
        <f>MIN(I60,H60)*INDEX('2018_commission_structure'!$A$11:$I$14,MATCH(Calculations!$E60,'2018_commission_structure'!$A$11:$A$14,0),MATCH(Calculations!O$1,'2018_commission_structure'!$A$11:$I$11,0))</f>
        <v>67072.850000000006</v>
      </c>
      <c r="P60" s="7">
        <f>IF($H60&gt;I60,MIN($H60-I60,J60-I60)*INDEX('2018_commission_structure'!$A$11:$I$14,MATCH(Calculations!$E60,'2018_commission_structure'!$A$11:$A$14,0), MATCH(Calculations!P$1,'2018_commission_structure'!$A$11:$I$11,0)),0)</f>
        <v>0</v>
      </c>
      <c r="Q60" s="7">
        <f>IF($H60&gt;J60,MIN($H60-J60,K60-J60)*INDEX('2018_commission_structure'!$A$11:$I$14,MATCH(Calculations!$E60,'2018_commission_structure'!$A$11:$A$14,0), MATCH(Calculations!Q$1,'2018_commission_structure'!$A$11:$I$11,0)),0)</f>
        <v>0</v>
      </c>
      <c r="R60" s="7">
        <f>IF($H60&gt;K60,MIN($H60-K60,L60-K60)*INDEX('2018_commission_structure'!$A$11:$I$14,MATCH(Calculations!$E60,'2018_commission_structure'!$A$11:$A$14,0), MATCH(Calculations!R$1,'2018_commission_structure'!$A$11:$I$11,0)),0)</f>
        <v>0</v>
      </c>
      <c r="S60" s="7">
        <f>IF(H60&gt;L60,(H60-L60)*INDEX('2018_commission_structure'!$A$11:$I$14,MATCH(Calculations!$E60,'2018_commission_structure'!$A$11:$A$14,0),MATCH(Calculations!S$1,'2018_commission_structure'!$A$11:$I$11,0)),0)</f>
        <v>0</v>
      </c>
      <c r="T60" s="7">
        <f t="shared" si="5"/>
        <v>67072.850000000006</v>
      </c>
      <c r="U60" s="7">
        <f t="shared" si="6"/>
        <v>122090.85</v>
      </c>
      <c r="V60" s="7">
        <f>MIN(H60,I60)*INDEX('2018_commission_structure'!$A$5:$J$8,MATCH(Calculations!$E60,'2018_commission_structure'!$A$5:$A$8,0),MATCH(Calculations!V$1,'2018_commission_structure'!$A$5:$J$5,0))</f>
        <v>77391.75</v>
      </c>
      <c r="W60" s="2">
        <f>IF($H60&gt;I60,MIN($H60-I60,J60-I60)*INDEX('2018_commission_structure'!$A$5:$J$8,MATCH(Calculations!$E60,'2018_commission_structure'!$A$5:$A$8,0),MATCH(Calculations!W$1,'2018_commission_structure'!$A$5:$J$5,0)),0)</f>
        <v>0</v>
      </c>
      <c r="X60" s="2">
        <f>IF($H60&gt;J60,MIN($H60-J60,K60-J60)*INDEX('2018_commission_structure'!$A$5:$J$8,MATCH(Calculations!$E60,'2018_commission_structure'!$A$5:$A$8,0),MATCH(Calculations!X$1,'2018_commission_structure'!$A$5:$J$5,0)),0)</f>
        <v>0</v>
      </c>
      <c r="Y60" s="2">
        <f>IF($H60&gt;K60,MIN($H60-K60,L60-K60)*INDEX('2018_commission_structure'!$A$5:$J$8,MATCH(Calculations!$E60,'2018_commission_structure'!$A$5:$A$8,0),MATCH(Calculations!Y$1,'2018_commission_structure'!$A$5:$J$5,0)),0)</f>
        <v>0</v>
      </c>
      <c r="Z60" s="2">
        <f xml:space="preserve"> IF(H60&gt;L60,(H60-L60)*INDEX('2018_commission_structure'!$A$11:$I$14,MATCH(Calculations!$E60,'2018_commission_structure'!$A$11:$A$14,0),MATCH(Calculations!Z$1,'2018_commission_structure'!$A$11:$I$11,0)),0)</f>
        <v>0</v>
      </c>
      <c r="AA60" s="7">
        <f t="shared" si="7"/>
        <v>77391.75</v>
      </c>
      <c r="AB60" s="7">
        <f t="shared" si="8"/>
        <v>132409.75</v>
      </c>
    </row>
    <row r="61" spans="1:28" x14ac:dyDescent="0.25">
      <c r="A61">
        <v>6850203894</v>
      </c>
      <c r="B61" t="s">
        <v>1176</v>
      </c>
      <c r="C61" t="s">
        <v>1177</v>
      </c>
      <c r="D61" t="str">
        <f>B61&amp;" "&amp;C61</f>
        <v>Sena Bartholomieu</v>
      </c>
      <c r="E61" t="s">
        <v>10</v>
      </c>
      <c r="F61">
        <v>114758</v>
      </c>
      <c r="G61">
        <f>COUNTIF(deals_closed!D:D,Calculations!A61)</f>
        <v>15</v>
      </c>
      <c r="H61" s="2">
        <f>SUMIF(deals_closed!D:D,Calculations!A61,deals_closed!C:C)</f>
        <v>500816</v>
      </c>
      <c r="I61" s="2">
        <f>VLOOKUP(E61,'2018_commission_structure'!$A$11:$I$14,9,FALSE)</f>
        <v>750000</v>
      </c>
      <c r="J61" s="2">
        <f t="shared" si="0"/>
        <v>937500</v>
      </c>
      <c r="K61" s="2">
        <f t="shared" si="1"/>
        <v>1125000</v>
      </c>
      <c r="L61" s="2">
        <f t="shared" si="2"/>
        <v>1500000</v>
      </c>
      <c r="M61" s="6">
        <f t="shared" si="3"/>
        <v>0.66775466666666672</v>
      </c>
      <c r="N61" t="str">
        <f t="shared" si="4"/>
        <v>0-100%</v>
      </c>
      <c r="O61" s="7">
        <f>MIN(I61,H61)*INDEX('2018_commission_structure'!$A$11:$I$14,MATCH(Calculations!$E61,'2018_commission_structure'!$A$11:$A$14,0),MATCH(Calculations!O$1,'2018_commission_structure'!$A$11:$I$11,0))</f>
        <v>75122.399999999994</v>
      </c>
      <c r="P61" s="7">
        <f>IF($H61&gt;I61,MIN($H61-I61,J61-I61)*INDEX('2018_commission_structure'!$A$11:$I$14,MATCH(Calculations!$E61,'2018_commission_structure'!$A$11:$A$14,0), MATCH(Calculations!P$1,'2018_commission_structure'!$A$11:$I$11,0)),0)</f>
        <v>0</v>
      </c>
      <c r="Q61" s="7">
        <f>IF($H61&gt;J61,MIN($H61-J61,K61-J61)*INDEX('2018_commission_structure'!$A$11:$I$14,MATCH(Calculations!$E61,'2018_commission_structure'!$A$11:$A$14,0), MATCH(Calculations!Q$1,'2018_commission_structure'!$A$11:$I$11,0)),0)</f>
        <v>0</v>
      </c>
      <c r="R61" s="7">
        <f>IF($H61&gt;K61,MIN($H61-K61,L61-K61)*INDEX('2018_commission_structure'!$A$11:$I$14,MATCH(Calculations!$E61,'2018_commission_structure'!$A$11:$A$14,0), MATCH(Calculations!R$1,'2018_commission_structure'!$A$11:$I$11,0)),0)</f>
        <v>0</v>
      </c>
      <c r="S61" s="7">
        <f>IF(H61&gt;L61,(H61-L61)*INDEX('2018_commission_structure'!$A$11:$I$14,MATCH(Calculations!$E61,'2018_commission_structure'!$A$11:$A$14,0),MATCH(Calculations!S$1,'2018_commission_structure'!$A$11:$I$11,0)),0)</f>
        <v>0</v>
      </c>
      <c r="T61" s="7">
        <f t="shared" si="5"/>
        <v>75122.399999999994</v>
      </c>
      <c r="U61" s="7">
        <f t="shared" si="6"/>
        <v>189880.4</v>
      </c>
      <c r="V61" s="7">
        <f>MIN(H61,I61)*INDEX('2018_commission_structure'!$A$5:$J$8,MATCH(Calculations!$E61,'2018_commission_structure'!$A$5:$A$8,0),MATCH(Calculations!V$1,'2018_commission_structure'!$A$5:$J$5,0))</f>
        <v>75122.399999999994</v>
      </c>
      <c r="W61" s="2">
        <f>IF($H61&gt;I61,MIN($H61-I61,J61-I61)*INDEX('2018_commission_structure'!$A$5:$J$8,MATCH(Calculations!$E61,'2018_commission_structure'!$A$5:$A$8,0),MATCH(Calculations!W$1,'2018_commission_structure'!$A$5:$J$5,0)),0)</f>
        <v>0</v>
      </c>
      <c r="X61" s="2">
        <f>IF($H61&gt;J61,MIN($H61-J61,K61-J61)*INDEX('2018_commission_structure'!$A$5:$J$8,MATCH(Calculations!$E61,'2018_commission_structure'!$A$5:$A$8,0),MATCH(Calculations!X$1,'2018_commission_structure'!$A$5:$J$5,0)),0)</f>
        <v>0</v>
      </c>
      <c r="Y61" s="2">
        <f>IF($H61&gt;K61,MIN($H61-K61,L61-K61)*INDEX('2018_commission_structure'!$A$5:$J$8,MATCH(Calculations!$E61,'2018_commission_structure'!$A$5:$A$8,0),MATCH(Calculations!Y$1,'2018_commission_structure'!$A$5:$J$5,0)),0)</f>
        <v>0</v>
      </c>
      <c r="Z61" s="2">
        <f xml:space="preserve"> IF(H61&gt;L61,(H61-L61)*INDEX('2018_commission_structure'!$A$11:$I$14,MATCH(Calculations!$E61,'2018_commission_structure'!$A$11:$A$14,0),MATCH(Calculations!Z$1,'2018_commission_structure'!$A$11:$I$11,0)),0)</f>
        <v>0</v>
      </c>
      <c r="AA61" s="7">
        <f t="shared" si="7"/>
        <v>75122.399999999994</v>
      </c>
      <c r="AB61" s="7">
        <f t="shared" si="8"/>
        <v>189880.4</v>
      </c>
    </row>
    <row r="62" spans="1:28" x14ac:dyDescent="0.25">
      <c r="A62">
        <v>898924138</v>
      </c>
      <c r="B62" t="s">
        <v>917</v>
      </c>
      <c r="C62" t="s">
        <v>918</v>
      </c>
      <c r="D62" t="str">
        <f>B62&amp;" "&amp;C62</f>
        <v>Thebault Base</v>
      </c>
      <c r="E62" t="s">
        <v>29</v>
      </c>
      <c r="F62">
        <v>61385</v>
      </c>
      <c r="G62">
        <f>COUNTIF(deals_closed!D:D,Calculations!A62)</f>
        <v>19</v>
      </c>
      <c r="H62" s="2">
        <f>SUMIF(deals_closed!D:D,Calculations!A62,deals_closed!C:C)</f>
        <v>691543</v>
      </c>
      <c r="I62" s="2">
        <f>VLOOKUP(E62,'2018_commission_structure'!$A$11:$I$14,9,FALSE)</f>
        <v>600000</v>
      </c>
      <c r="J62" s="2">
        <f t="shared" si="0"/>
        <v>750000</v>
      </c>
      <c r="K62" s="2">
        <f t="shared" si="1"/>
        <v>900000</v>
      </c>
      <c r="L62" s="2">
        <f t="shared" si="2"/>
        <v>1200000</v>
      </c>
      <c r="M62" s="6">
        <f t="shared" si="3"/>
        <v>1.1525716666666668</v>
      </c>
      <c r="N62" t="str">
        <f t="shared" si="4"/>
        <v>100-125%</v>
      </c>
      <c r="O62" s="7">
        <f>MIN(I62,H62)*INDEX('2018_commission_structure'!$A$11:$I$14,MATCH(Calculations!$E62,'2018_commission_structure'!$A$11:$A$14,0),MATCH(Calculations!O$1,'2018_commission_structure'!$A$11:$I$11,0))</f>
        <v>78000</v>
      </c>
      <c r="P62" s="7">
        <f>IF($H62&gt;I62,MIN($H62-I62,J62-I62)*INDEX('2018_commission_structure'!$A$11:$I$14,MATCH(Calculations!$E62,'2018_commission_structure'!$A$11:$A$14,0), MATCH(Calculations!P$1,'2018_commission_structure'!$A$11:$I$11,0)),0)</f>
        <v>15562.310000000001</v>
      </c>
      <c r="Q62" s="7">
        <f>IF($H62&gt;J62,MIN($H62-J62,K62-J62)*INDEX('2018_commission_structure'!$A$11:$I$14,MATCH(Calculations!$E62,'2018_commission_structure'!$A$11:$A$14,0), MATCH(Calculations!Q$1,'2018_commission_structure'!$A$11:$I$11,0)),0)</f>
        <v>0</v>
      </c>
      <c r="R62" s="7">
        <f>IF($H62&gt;K62,MIN($H62-K62,L62-K62)*INDEX('2018_commission_structure'!$A$11:$I$14,MATCH(Calculations!$E62,'2018_commission_structure'!$A$11:$A$14,0), MATCH(Calculations!R$1,'2018_commission_structure'!$A$11:$I$11,0)),0)</f>
        <v>0</v>
      </c>
      <c r="S62" s="7">
        <f>IF(H62&gt;L62,(H62-L62)*INDEX('2018_commission_structure'!$A$11:$I$14,MATCH(Calculations!$E62,'2018_commission_structure'!$A$11:$A$14,0),MATCH(Calculations!S$1,'2018_commission_structure'!$A$11:$I$11,0)),0)</f>
        <v>0</v>
      </c>
      <c r="T62" s="7">
        <f t="shared" si="5"/>
        <v>93562.31</v>
      </c>
      <c r="U62" s="7">
        <f t="shared" si="6"/>
        <v>154947.31</v>
      </c>
      <c r="V62" s="7">
        <f>MIN(H62,I62)*INDEX('2018_commission_structure'!$A$5:$J$8,MATCH(Calculations!$E62,'2018_commission_structure'!$A$5:$A$8,0),MATCH(Calculations!V$1,'2018_commission_structure'!$A$5:$J$5,0))</f>
        <v>90000</v>
      </c>
      <c r="W62" s="2">
        <f>IF($H62&gt;I62,MIN($H62-I62,J62-I62)*INDEX('2018_commission_structure'!$A$5:$J$8,MATCH(Calculations!$E62,'2018_commission_structure'!$A$5:$A$8,0),MATCH(Calculations!W$1,'2018_commission_structure'!$A$5:$J$5,0)),0)</f>
        <v>16477.739999999998</v>
      </c>
      <c r="X62" s="2">
        <f>IF($H62&gt;J62,MIN($H62-J62,K62-J62)*INDEX('2018_commission_structure'!$A$5:$J$8,MATCH(Calculations!$E62,'2018_commission_structure'!$A$5:$A$8,0),MATCH(Calculations!X$1,'2018_commission_structure'!$A$5:$J$5,0)),0)</f>
        <v>0</v>
      </c>
      <c r="Y62" s="2">
        <f>IF($H62&gt;K62,MIN($H62-K62,L62-K62)*INDEX('2018_commission_structure'!$A$5:$J$8,MATCH(Calculations!$E62,'2018_commission_structure'!$A$5:$A$8,0),MATCH(Calculations!Y$1,'2018_commission_structure'!$A$5:$J$5,0)),0)</f>
        <v>0</v>
      </c>
      <c r="Z62" s="2">
        <f xml:space="preserve"> IF(H62&gt;L62,(H62-L62)*INDEX('2018_commission_structure'!$A$11:$I$14,MATCH(Calculations!$E62,'2018_commission_structure'!$A$11:$A$14,0),MATCH(Calculations!Z$1,'2018_commission_structure'!$A$11:$I$11,0)),0)</f>
        <v>0</v>
      </c>
      <c r="AA62" s="7">
        <f t="shared" si="7"/>
        <v>106477.73999999999</v>
      </c>
      <c r="AB62" s="7">
        <f t="shared" si="8"/>
        <v>167862.74</v>
      </c>
    </row>
    <row r="63" spans="1:28" x14ac:dyDescent="0.25">
      <c r="A63">
        <v>6436551115</v>
      </c>
      <c r="B63" t="s">
        <v>416</v>
      </c>
      <c r="C63" t="s">
        <v>417</v>
      </c>
      <c r="D63" t="str">
        <f>B63&amp;" "&amp;C63</f>
        <v>Gale Batchelder</v>
      </c>
      <c r="E63" t="s">
        <v>7</v>
      </c>
      <c r="F63">
        <v>38918</v>
      </c>
      <c r="G63">
        <f>COUNTIF(deals_closed!D:D,Calculations!A63)</f>
        <v>14</v>
      </c>
      <c r="H63" s="2">
        <f>SUMIF(deals_closed!D:D,Calculations!A63,deals_closed!C:C)</f>
        <v>433083</v>
      </c>
      <c r="I63" s="2">
        <f>VLOOKUP(E63,'2018_commission_structure'!$A$11:$I$14,9,FALSE)</f>
        <v>500000</v>
      </c>
      <c r="J63" s="2">
        <f t="shared" si="0"/>
        <v>625000</v>
      </c>
      <c r="K63" s="2">
        <f t="shared" si="1"/>
        <v>750000</v>
      </c>
      <c r="L63" s="2">
        <f t="shared" si="2"/>
        <v>1000000</v>
      </c>
      <c r="M63" s="6">
        <f t="shared" si="3"/>
        <v>0.86616599999999999</v>
      </c>
      <c r="N63" t="str">
        <f t="shared" si="4"/>
        <v>0-100%</v>
      </c>
      <c r="O63" s="7">
        <f>MIN(I63,H63)*INDEX('2018_commission_structure'!$A$11:$I$14,MATCH(Calculations!$E63,'2018_commission_structure'!$A$11:$A$14,0),MATCH(Calculations!O$1,'2018_commission_structure'!$A$11:$I$11,0))</f>
        <v>43308.3</v>
      </c>
      <c r="P63" s="7">
        <f>IF($H63&gt;I63,MIN($H63-I63,J63-I63)*INDEX('2018_commission_structure'!$A$11:$I$14,MATCH(Calculations!$E63,'2018_commission_structure'!$A$11:$A$14,0), MATCH(Calculations!P$1,'2018_commission_structure'!$A$11:$I$11,0)),0)</f>
        <v>0</v>
      </c>
      <c r="Q63" s="7">
        <f>IF($H63&gt;J63,MIN($H63-J63,K63-J63)*INDEX('2018_commission_structure'!$A$11:$I$14,MATCH(Calculations!$E63,'2018_commission_structure'!$A$11:$A$14,0), MATCH(Calculations!Q$1,'2018_commission_structure'!$A$11:$I$11,0)),0)</f>
        <v>0</v>
      </c>
      <c r="R63" s="7">
        <f>IF($H63&gt;K63,MIN($H63-K63,L63-K63)*INDEX('2018_commission_structure'!$A$11:$I$14,MATCH(Calculations!$E63,'2018_commission_structure'!$A$11:$A$14,0), MATCH(Calculations!R$1,'2018_commission_structure'!$A$11:$I$11,0)),0)</f>
        <v>0</v>
      </c>
      <c r="S63" s="7">
        <f>IF(H63&gt;L63,(H63-L63)*INDEX('2018_commission_structure'!$A$11:$I$14,MATCH(Calculations!$E63,'2018_commission_structure'!$A$11:$A$14,0),MATCH(Calculations!S$1,'2018_commission_structure'!$A$11:$I$11,0)),0)</f>
        <v>0</v>
      </c>
      <c r="T63" s="7">
        <f t="shared" si="5"/>
        <v>43308.3</v>
      </c>
      <c r="U63" s="7">
        <f t="shared" si="6"/>
        <v>82226.3</v>
      </c>
      <c r="V63" s="7">
        <f>MIN(H63,I63)*INDEX('2018_commission_structure'!$A$5:$J$8,MATCH(Calculations!$E63,'2018_commission_structure'!$A$5:$A$8,0),MATCH(Calculations!V$1,'2018_commission_structure'!$A$5:$J$5,0))</f>
        <v>51969.96</v>
      </c>
      <c r="W63" s="2">
        <f>IF($H63&gt;I63,MIN($H63-I63,J63-I63)*INDEX('2018_commission_structure'!$A$5:$J$8,MATCH(Calculations!$E63,'2018_commission_structure'!$A$5:$A$8,0),MATCH(Calculations!W$1,'2018_commission_structure'!$A$5:$J$5,0)),0)</f>
        <v>0</v>
      </c>
      <c r="X63" s="2">
        <f>IF($H63&gt;J63,MIN($H63-J63,K63-J63)*INDEX('2018_commission_structure'!$A$5:$J$8,MATCH(Calculations!$E63,'2018_commission_structure'!$A$5:$A$8,0),MATCH(Calculations!X$1,'2018_commission_structure'!$A$5:$J$5,0)),0)</f>
        <v>0</v>
      </c>
      <c r="Y63" s="2">
        <f>IF($H63&gt;K63,MIN($H63-K63,L63-K63)*INDEX('2018_commission_structure'!$A$5:$J$8,MATCH(Calculations!$E63,'2018_commission_structure'!$A$5:$A$8,0),MATCH(Calculations!Y$1,'2018_commission_structure'!$A$5:$J$5,0)),0)</f>
        <v>0</v>
      </c>
      <c r="Z63" s="2">
        <f xml:space="preserve"> IF(H63&gt;L63,(H63-L63)*INDEX('2018_commission_structure'!$A$11:$I$14,MATCH(Calculations!$E63,'2018_commission_structure'!$A$11:$A$14,0),MATCH(Calculations!Z$1,'2018_commission_structure'!$A$11:$I$11,0)),0)</f>
        <v>0</v>
      </c>
      <c r="AA63" s="7">
        <f t="shared" si="7"/>
        <v>51969.96</v>
      </c>
      <c r="AB63" s="7">
        <f t="shared" si="8"/>
        <v>90887.959999999992</v>
      </c>
    </row>
    <row r="64" spans="1:28" x14ac:dyDescent="0.25">
      <c r="A64">
        <v>2149326663</v>
      </c>
      <c r="B64" t="s">
        <v>1702</v>
      </c>
      <c r="C64" t="s">
        <v>1703</v>
      </c>
      <c r="D64" t="str">
        <f>B64&amp;" "&amp;C64</f>
        <v>Sarita Batcheldor</v>
      </c>
      <c r="E64" t="s">
        <v>10</v>
      </c>
      <c r="F64">
        <v>100348</v>
      </c>
      <c r="G64">
        <f>COUNTIF(deals_closed!D:D,Calculations!A64)</f>
        <v>23</v>
      </c>
      <c r="H64" s="2">
        <f>SUMIF(deals_closed!D:D,Calculations!A64,deals_closed!C:C)</f>
        <v>789211</v>
      </c>
      <c r="I64" s="2">
        <f>VLOOKUP(E64,'2018_commission_structure'!$A$11:$I$14,9,FALSE)</f>
        <v>750000</v>
      </c>
      <c r="J64" s="2">
        <f t="shared" si="0"/>
        <v>937500</v>
      </c>
      <c r="K64" s="2">
        <f t="shared" si="1"/>
        <v>1125000</v>
      </c>
      <c r="L64" s="2">
        <f t="shared" si="2"/>
        <v>1500000</v>
      </c>
      <c r="M64" s="6">
        <f t="shared" si="3"/>
        <v>1.0522813333333334</v>
      </c>
      <c r="N64" t="str">
        <f t="shared" si="4"/>
        <v>100-125%</v>
      </c>
      <c r="O64" s="7">
        <f>MIN(I64,H64)*INDEX('2018_commission_structure'!$A$11:$I$14,MATCH(Calculations!$E64,'2018_commission_structure'!$A$11:$A$14,0),MATCH(Calculations!O$1,'2018_commission_structure'!$A$11:$I$11,0))</f>
        <v>112500</v>
      </c>
      <c r="P64" s="7">
        <f>IF($H64&gt;I64,MIN($H64-I64,J64-I64)*INDEX('2018_commission_structure'!$A$11:$I$14,MATCH(Calculations!$E64,'2018_commission_structure'!$A$11:$A$14,0), MATCH(Calculations!P$1,'2018_commission_structure'!$A$11:$I$11,0)),0)</f>
        <v>7450.09</v>
      </c>
      <c r="Q64" s="7">
        <f>IF($H64&gt;J64,MIN($H64-J64,K64-J64)*INDEX('2018_commission_structure'!$A$11:$I$14,MATCH(Calculations!$E64,'2018_commission_structure'!$A$11:$A$14,0), MATCH(Calculations!Q$1,'2018_commission_structure'!$A$11:$I$11,0)),0)</f>
        <v>0</v>
      </c>
      <c r="R64" s="7">
        <f>IF($H64&gt;K64,MIN($H64-K64,L64-K64)*INDEX('2018_commission_structure'!$A$11:$I$14,MATCH(Calculations!$E64,'2018_commission_structure'!$A$11:$A$14,0), MATCH(Calculations!R$1,'2018_commission_structure'!$A$11:$I$11,0)),0)</f>
        <v>0</v>
      </c>
      <c r="S64" s="7">
        <f>IF(H64&gt;L64,(H64-L64)*INDEX('2018_commission_structure'!$A$11:$I$14,MATCH(Calculations!$E64,'2018_commission_structure'!$A$11:$A$14,0),MATCH(Calculations!S$1,'2018_commission_structure'!$A$11:$I$11,0)),0)</f>
        <v>0</v>
      </c>
      <c r="T64" s="7">
        <f t="shared" si="5"/>
        <v>119950.09</v>
      </c>
      <c r="U64" s="7">
        <f t="shared" si="6"/>
        <v>220298.09</v>
      </c>
      <c r="V64" s="7">
        <f>MIN(H64,I64)*INDEX('2018_commission_structure'!$A$5:$J$8,MATCH(Calculations!$E64,'2018_commission_structure'!$A$5:$A$8,0),MATCH(Calculations!V$1,'2018_commission_structure'!$A$5:$J$5,0))</f>
        <v>112500</v>
      </c>
      <c r="W64" s="2">
        <f>IF($H64&gt;I64,MIN($H64-I64,J64-I64)*INDEX('2018_commission_structure'!$A$5:$J$8,MATCH(Calculations!$E64,'2018_commission_structure'!$A$5:$A$8,0),MATCH(Calculations!W$1,'2018_commission_structure'!$A$5:$J$5,0)),0)</f>
        <v>8626.42</v>
      </c>
      <c r="X64" s="2">
        <f>IF($H64&gt;J64,MIN($H64-J64,K64-J64)*INDEX('2018_commission_structure'!$A$5:$J$8,MATCH(Calculations!$E64,'2018_commission_structure'!$A$5:$A$8,0),MATCH(Calculations!X$1,'2018_commission_structure'!$A$5:$J$5,0)),0)</f>
        <v>0</v>
      </c>
      <c r="Y64" s="2">
        <f>IF($H64&gt;K64,MIN($H64-K64,L64-K64)*INDEX('2018_commission_structure'!$A$5:$J$8,MATCH(Calculations!$E64,'2018_commission_structure'!$A$5:$A$8,0),MATCH(Calculations!Y$1,'2018_commission_structure'!$A$5:$J$5,0)),0)</f>
        <v>0</v>
      </c>
      <c r="Z64" s="2">
        <f xml:space="preserve"> IF(H64&gt;L64,(H64-L64)*INDEX('2018_commission_structure'!$A$11:$I$14,MATCH(Calculations!$E64,'2018_commission_structure'!$A$11:$A$14,0),MATCH(Calculations!Z$1,'2018_commission_structure'!$A$11:$I$11,0)),0)</f>
        <v>0</v>
      </c>
      <c r="AA64" s="7">
        <f t="shared" si="7"/>
        <v>121126.42</v>
      </c>
      <c r="AB64" s="7">
        <f t="shared" si="8"/>
        <v>221474.41999999998</v>
      </c>
    </row>
    <row r="65" spans="1:28" x14ac:dyDescent="0.25">
      <c r="A65">
        <v>2510440322</v>
      </c>
      <c r="B65" t="s">
        <v>323</v>
      </c>
      <c r="C65" t="s">
        <v>324</v>
      </c>
      <c r="D65" t="str">
        <f>B65&amp;" "&amp;C65</f>
        <v>Tabbatha Battaille</v>
      </c>
      <c r="E65" t="s">
        <v>29</v>
      </c>
      <c r="F65">
        <v>69480</v>
      </c>
      <c r="G65">
        <f>COUNTIF(deals_closed!D:D,Calculations!A65)</f>
        <v>20</v>
      </c>
      <c r="H65" s="2">
        <f>SUMIF(deals_closed!D:D,Calculations!A65,deals_closed!C:C)</f>
        <v>722942</v>
      </c>
      <c r="I65" s="2">
        <f>VLOOKUP(E65,'2018_commission_structure'!$A$11:$I$14,9,FALSE)</f>
        <v>600000</v>
      </c>
      <c r="J65" s="2">
        <f t="shared" si="0"/>
        <v>750000</v>
      </c>
      <c r="K65" s="2">
        <f t="shared" si="1"/>
        <v>900000</v>
      </c>
      <c r="L65" s="2">
        <f t="shared" si="2"/>
        <v>1200000</v>
      </c>
      <c r="M65" s="6">
        <f t="shared" si="3"/>
        <v>1.2049033333333334</v>
      </c>
      <c r="N65" t="str">
        <f t="shared" si="4"/>
        <v>100-125%</v>
      </c>
      <c r="O65" s="7">
        <f>MIN(I65,H65)*INDEX('2018_commission_structure'!$A$11:$I$14,MATCH(Calculations!$E65,'2018_commission_structure'!$A$11:$A$14,0),MATCH(Calculations!O$1,'2018_commission_structure'!$A$11:$I$11,0))</f>
        <v>78000</v>
      </c>
      <c r="P65" s="7">
        <f>IF($H65&gt;I65,MIN($H65-I65,J65-I65)*INDEX('2018_commission_structure'!$A$11:$I$14,MATCH(Calculations!$E65,'2018_commission_structure'!$A$11:$A$14,0), MATCH(Calculations!P$1,'2018_commission_structure'!$A$11:$I$11,0)),0)</f>
        <v>20900.140000000003</v>
      </c>
      <c r="Q65" s="7">
        <f>IF($H65&gt;J65,MIN($H65-J65,K65-J65)*INDEX('2018_commission_structure'!$A$11:$I$14,MATCH(Calculations!$E65,'2018_commission_structure'!$A$11:$A$14,0), MATCH(Calculations!Q$1,'2018_commission_structure'!$A$11:$I$11,0)),0)</f>
        <v>0</v>
      </c>
      <c r="R65" s="7">
        <f>IF($H65&gt;K65,MIN($H65-K65,L65-K65)*INDEX('2018_commission_structure'!$A$11:$I$14,MATCH(Calculations!$E65,'2018_commission_structure'!$A$11:$A$14,0), MATCH(Calculations!R$1,'2018_commission_structure'!$A$11:$I$11,0)),0)</f>
        <v>0</v>
      </c>
      <c r="S65" s="7">
        <f>IF(H65&gt;L65,(H65-L65)*INDEX('2018_commission_structure'!$A$11:$I$14,MATCH(Calculations!$E65,'2018_commission_structure'!$A$11:$A$14,0),MATCH(Calculations!S$1,'2018_commission_structure'!$A$11:$I$11,0)),0)</f>
        <v>0</v>
      </c>
      <c r="T65" s="7">
        <f t="shared" si="5"/>
        <v>98900.14</v>
      </c>
      <c r="U65" s="7">
        <f t="shared" si="6"/>
        <v>168380.14</v>
      </c>
      <c r="V65" s="7">
        <f>MIN(H65,I65)*INDEX('2018_commission_structure'!$A$5:$J$8,MATCH(Calculations!$E65,'2018_commission_structure'!$A$5:$A$8,0),MATCH(Calculations!V$1,'2018_commission_structure'!$A$5:$J$5,0))</f>
        <v>90000</v>
      </c>
      <c r="W65" s="2">
        <f>IF($H65&gt;I65,MIN($H65-I65,J65-I65)*INDEX('2018_commission_structure'!$A$5:$J$8,MATCH(Calculations!$E65,'2018_commission_structure'!$A$5:$A$8,0),MATCH(Calculations!W$1,'2018_commission_structure'!$A$5:$J$5,0)),0)</f>
        <v>22129.559999999998</v>
      </c>
      <c r="X65" s="2">
        <f>IF($H65&gt;J65,MIN($H65-J65,K65-J65)*INDEX('2018_commission_structure'!$A$5:$J$8,MATCH(Calculations!$E65,'2018_commission_structure'!$A$5:$A$8,0),MATCH(Calculations!X$1,'2018_commission_structure'!$A$5:$J$5,0)),0)</f>
        <v>0</v>
      </c>
      <c r="Y65" s="2">
        <f>IF($H65&gt;K65,MIN($H65-K65,L65-K65)*INDEX('2018_commission_structure'!$A$5:$J$8,MATCH(Calculations!$E65,'2018_commission_structure'!$A$5:$A$8,0),MATCH(Calculations!Y$1,'2018_commission_structure'!$A$5:$J$5,0)),0)</f>
        <v>0</v>
      </c>
      <c r="Z65" s="2">
        <f xml:space="preserve"> IF(H65&gt;L65,(H65-L65)*INDEX('2018_commission_structure'!$A$11:$I$14,MATCH(Calculations!$E65,'2018_commission_structure'!$A$11:$A$14,0),MATCH(Calculations!Z$1,'2018_commission_structure'!$A$11:$I$11,0)),0)</f>
        <v>0</v>
      </c>
      <c r="AA65" s="7">
        <f t="shared" si="7"/>
        <v>112129.56</v>
      </c>
      <c r="AB65" s="7">
        <f t="shared" si="8"/>
        <v>181609.56</v>
      </c>
    </row>
    <row r="66" spans="1:28" x14ac:dyDescent="0.25">
      <c r="A66">
        <v>8128449354</v>
      </c>
      <c r="B66" t="s">
        <v>50</v>
      </c>
      <c r="C66" t="s">
        <v>51</v>
      </c>
      <c r="D66" t="str">
        <f>B66&amp;" "&amp;C66</f>
        <v>Adelice Baudinet</v>
      </c>
      <c r="E66" t="s">
        <v>10</v>
      </c>
      <c r="F66">
        <v>119330</v>
      </c>
      <c r="G66">
        <f>COUNTIF(deals_closed!D:D,Calculations!A66)</f>
        <v>20</v>
      </c>
      <c r="H66" s="2">
        <f>SUMIF(deals_closed!D:D,Calculations!A66,deals_closed!C:C)</f>
        <v>770020</v>
      </c>
      <c r="I66" s="2">
        <f>VLOOKUP(E66,'2018_commission_structure'!$A$11:$I$14,9,FALSE)</f>
        <v>750000</v>
      </c>
      <c r="J66" s="2">
        <f t="shared" ref="J66:J129" si="9">I66*1.25</f>
        <v>937500</v>
      </c>
      <c r="K66" s="2">
        <f t="shared" ref="K66:K129" si="10">I66*1.5</f>
        <v>1125000</v>
      </c>
      <c r="L66" s="2">
        <f t="shared" ref="L66:L129" si="11">I66*2</f>
        <v>1500000</v>
      </c>
      <c r="M66" s="6">
        <f t="shared" ref="M66:M129" si="12">H66/I66</f>
        <v>1.0266933333333332</v>
      </c>
      <c r="N66" t="str">
        <f t="shared" ref="N66:N129" si="13">IF(M66&lt;=1, "0-100%", IF(M66&lt;=1.25, "100-125%", IF(M66&lt;=1.5, "125-150%", IF(M66&lt;=2, "150-200%", "&gt;200%"))))</f>
        <v>100-125%</v>
      </c>
      <c r="O66" s="7">
        <f>MIN(I66,H66)*INDEX('2018_commission_structure'!$A$11:$I$14,MATCH(Calculations!$E66,'2018_commission_structure'!$A$11:$A$14,0),MATCH(Calculations!O$1,'2018_commission_structure'!$A$11:$I$11,0))</f>
        <v>112500</v>
      </c>
      <c r="P66" s="7">
        <f>IF($H66&gt;I66,MIN($H66-I66,J66-I66)*INDEX('2018_commission_structure'!$A$11:$I$14,MATCH(Calculations!$E66,'2018_commission_structure'!$A$11:$A$14,0), MATCH(Calculations!P$1,'2018_commission_structure'!$A$11:$I$11,0)),0)</f>
        <v>3803.8</v>
      </c>
      <c r="Q66" s="7">
        <f>IF($H66&gt;J66,MIN($H66-J66,K66-J66)*INDEX('2018_commission_structure'!$A$11:$I$14,MATCH(Calculations!$E66,'2018_commission_structure'!$A$11:$A$14,0), MATCH(Calculations!Q$1,'2018_commission_structure'!$A$11:$I$11,0)),0)</f>
        <v>0</v>
      </c>
      <c r="R66" s="7">
        <f>IF($H66&gt;K66,MIN($H66-K66,L66-K66)*INDEX('2018_commission_structure'!$A$11:$I$14,MATCH(Calculations!$E66,'2018_commission_structure'!$A$11:$A$14,0), MATCH(Calculations!R$1,'2018_commission_structure'!$A$11:$I$11,0)),0)</f>
        <v>0</v>
      </c>
      <c r="S66" s="7">
        <f>IF(H66&gt;L66,(H66-L66)*INDEX('2018_commission_structure'!$A$11:$I$14,MATCH(Calculations!$E66,'2018_commission_structure'!$A$11:$A$14,0),MATCH(Calculations!S$1,'2018_commission_structure'!$A$11:$I$11,0)),0)</f>
        <v>0</v>
      </c>
      <c r="T66" s="7">
        <f t="shared" ref="T66:T129" si="14">SUM(O66:S66)</f>
        <v>116303.8</v>
      </c>
      <c r="U66" s="7">
        <f t="shared" ref="U66:U129" si="15">T66+F66</f>
        <v>235633.8</v>
      </c>
      <c r="V66" s="7">
        <f>MIN(H66,I66)*INDEX('2018_commission_structure'!$A$5:$J$8,MATCH(Calculations!$E66,'2018_commission_structure'!$A$5:$A$8,0),MATCH(Calculations!V$1,'2018_commission_structure'!$A$5:$J$5,0))</f>
        <v>112500</v>
      </c>
      <c r="W66" s="2">
        <f>IF($H66&gt;I66,MIN($H66-I66,J66-I66)*INDEX('2018_commission_structure'!$A$5:$J$8,MATCH(Calculations!$E66,'2018_commission_structure'!$A$5:$A$8,0),MATCH(Calculations!W$1,'2018_commission_structure'!$A$5:$J$5,0)),0)</f>
        <v>4404.3999999999996</v>
      </c>
      <c r="X66" s="2">
        <f>IF($H66&gt;J66,MIN($H66-J66,K66-J66)*INDEX('2018_commission_structure'!$A$5:$J$8,MATCH(Calculations!$E66,'2018_commission_structure'!$A$5:$A$8,0),MATCH(Calculations!X$1,'2018_commission_structure'!$A$5:$J$5,0)),0)</f>
        <v>0</v>
      </c>
      <c r="Y66" s="2">
        <f>IF($H66&gt;K66,MIN($H66-K66,L66-K66)*INDEX('2018_commission_structure'!$A$5:$J$8,MATCH(Calculations!$E66,'2018_commission_structure'!$A$5:$A$8,0),MATCH(Calculations!Y$1,'2018_commission_structure'!$A$5:$J$5,0)),0)</f>
        <v>0</v>
      </c>
      <c r="Z66" s="2">
        <f xml:space="preserve"> IF(H66&gt;L66,(H66-L66)*INDEX('2018_commission_structure'!$A$11:$I$14,MATCH(Calculations!$E66,'2018_commission_structure'!$A$11:$A$14,0),MATCH(Calculations!Z$1,'2018_commission_structure'!$A$11:$I$11,0)),0)</f>
        <v>0</v>
      </c>
      <c r="AA66" s="7">
        <f t="shared" si="7"/>
        <v>116904.4</v>
      </c>
      <c r="AB66" s="7">
        <f t="shared" si="8"/>
        <v>236234.4</v>
      </c>
    </row>
    <row r="67" spans="1:28" x14ac:dyDescent="0.25">
      <c r="A67">
        <v>3507341514</v>
      </c>
      <c r="B67" t="s">
        <v>1504</v>
      </c>
      <c r="C67" t="s">
        <v>1505</v>
      </c>
      <c r="D67" t="str">
        <f>B67&amp;" "&amp;C67</f>
        <v>Rouvin Bavister</v>
      </c>
      <c r="E67" t="s">
        <v>10</v>
      </c>
      <c r="F67">
        <v>89245</v>
      </c>
      <c r="G67">
        <f>COUNTIF(deals_closed!D:D,Calculations!A67)</f>
        <v>17</v>
      </c>
      <c r="H67" s="2">
        <f>SUMIF(deals_closed!D:D,Calculations!A67,deals_closed!C:C)</f>
        <v>596808</v>
      </c>
      <c r="I67" s="2">
        <f>VLOOKUP(E67,'2018_commission_structure'!$A$11:$I$14,9,FALSE)</f>
        <v>750000</v>
      </c>
      <c r="J67" s="2">
        <f t="shared" si="9"/>
        <v>937500</v>
      </c>
      <c r="K67" s="2">
        <f t="shared" si="10"/>
        <v>1125000</v>
      </c>
      <c r="L67" s="2">
        <f t="shared" si="11"/>
        <v>1500000</v>
      </c>
      <c r="M67" s="6">
        <f t="shared" si="12"/>
        <v>0.79574400000000001</v>
      </c>
      <c r="N67" t="str">
        <f t="shared" si="13"/>
        <v>0-100%</v>
      </c>
      <c r="O67" s="7">
        <f>MIN(I67,H67)*INDEX('2018_commission_structure'!$A$11:$I$14,MATCH(Calculations!$E67,'2018_commission_structure'!$A$11:$A$14,0),MATCH(Calculations!O$1,'2018_commission_structure'!$A$11:$I$11,0))</f>
        <v>89521.2</v>
      </c>
      <c r="P67" s="7">
        <f>IF($H67&gt;I67,MIN($H67-I67,J67-I67)*INDEX('2018_commission_structure'!$A$11:$I$14,MATCH(Calculations!$E67,'2018_commission_structure'!$A$11:$A$14,0), MATCH(Calculations!P$1,'2018_commission_structure'!$A$11:$I$11,0)),0)</f>
        <v>0</v>
      </c>
      <c r="Q67" s="7">
        <f>IF($H67&gt;J67,MIN($H67-J67,K67-J67)*INDEX('2018_commission_structure'!$A$11:$I$14,MATCH(Calculations!$E67,'2018_commission_structure'!$A$11:$A$14,0), MATCH(Calculations!Q$1,'2018_commission_structure'!$A$11:$I$11,0)),0)</f>
        <v>0</v>
      </c>
      <c r="R67" s="7">
        <f>IF($H67&gt;K67,MIN($H67-K67,L67-K67)*INDEX('2018_commission_structure'!$A$11:$I$14,MATCH(Calculations!$E67,'2018_commission_structure'!$A$11:$A$14,0), MATCH(Calculations!R$1,'2018_commission_structure'!$A$11:$I$11,0)),0)</f>
        <v>0</v>
      </c>
      <c r="S67" s="7">
        <f>IF(H67&gt;L67,(H67-L67)*INDEX('2018_commission_structure'!$A$11:$I$14,MATCH(Calculations!$E67,'2018_commission_structure'!$A$11:$A$14,0),MATCH(Calculations!S$1,'2018_commission_structure'!$A$11:$I$11,0)),0)</f>
        <v>0</v>
      </c>
      <c r="T67" s="7">
        <f t="shared" si="14"/>
        <v>89521.2</v>
      </c>
      <c r="U67" s="7">
        <f t="shared" si="15"/>
        <v>178766.2</v>
      </c>
      <c r="V67" s="7">
        <f>MIN(H67,I67)*INDEX('2018_commission_structure'!$A$5:$J$8,MATCH(Calculations!$E67,'2018_commission_structure'!$A$5:$A$8,0),MATCH(Calculations!V$1,'2018_commission_structure'!$A$5:$J$5,0))</f>
        <v>89521.2</v>
      </c>
      <c r="W67" s="2">
        <f>IF($H67&gt;I67,MIN($H67-I67,J67-I67)*INDEX('2018_commission_structure'!$A$5:$J$8,MATCH(Calculations!$E67,'2018_commission_structure'!$A$5:$A$8,0),MATCH(Calculations!W$1,'2018_commission_structure'!$A$5:$J$5,0)),0)</f>
        <v>0</v>
      </c>
      <c r="X67" s="2">
        <f>IF($H67&gt;J67,MIN($H67-J67,K67-J67)*INDEX('2018_commission_structure'!$A$5:$J$8,MATCH(Calculations!$E67,'2018_commission_structure'!$A$5:$A$8,0),MATCH(Calculations!X$1,'2018_commission_structure'!$A$5:$J$5,0)),0)</f>
        <v>0</v>
      </c>
      <c r="Y67" s="2">
        <f>IF($H67&gt;K67,MIN($H67-K67,L67-K67)*INDEX('2018_commission_structure'!$A$5:$J$8,MATCH(Calculations!$E67,'2018_commission_structure'!$A$5:$A$8,0),MATCH(Calculations!Y$1,'2018_commission_structure'!$A$5:$J$5,0)),0)</f>
        <v>0</v>
      </c>
      <c r="Z67" s="2">
        <f xml:space="preserve"> IF(H67&gt;L67,(H67-L67)*INDEX('2018_commission_structure'!$A$11:$I$14,MATCH(Calculations!$E67,'2018_commission_structure'!$A$11:$A$14,0),MATCH(Calculations!Z$1,'2018_commission_structure'!$A$11:$I$11,0)),0)</f>
        <v>0</v>
      </c>
      <c r="AA67" s="7">
        <f t="shared" ref="AA67:AA130" si="16">SUM(V67:Z67)</f>
        <v>89521.2</v>
      </c>
      <c r="AB67" s="7">
        <f t="shared" ref="AB67:AB130" si="17">AA67+F67</f>
        <v>178766.2</v>
      </c>
    </row>
    <row r="68" spans="1:28" x14ac:dyDescent="0.25">
      <c r="A68">
        <v>274599287</v>
      </c>
      <c r="B68" t="s">
        <v>248</v>
      </c>
      <c r="C68" t="s">
        <v>249</v>
      </c>
      <c r="D68" t="str">
        <f>B68&amp;" "&amp;C68</f>
        <v>Osmond Bayfield</v>
      </c>
      <c r="E68" t="s">
        <v>29</v>
      </c>
      <c r="F68">
        <v>79938</v>
      </c>
      <c r="G68">
        <f>COUNTIF(deals_closed!D:D,Calculations!A68)</f>
        <v>22</v>
      </c>
      <c r="H68" s="2">
        <f>SUMIF(deals_closed!D:D,Calculations!A68,deals_closed!C:C)</f>
        <v>876505</v>
      </c>
      <c r="I68" s="2">
        <f>VLOOKUP(E68,'2018_commission_structure'!$A$11:$I$14,9,FALSE)</f>
        <v>600000</v>
      </c>
      <c r="J68" s="2">
        <f t="shared" si="9"/>
        <v>750000</v>
      </c>
      <c r="K68" s="2">
        <f t="shared" si="10"/>
        <v>900000</v>
      </c>
      <c r="L68" s="2">
        <f t="shared" si="11"/>
        <v>1200000</v>
      </c>
      <c r="M68" s="6">
        <f t="shared" si="12"/>
        <v>1.4608416666666666</v>
      </c>
      <c r="N68" t="str">
        <f t="shared" si="13"/>
        <v>125-150%</v>
      </c>
      <c r="O68" s="7">
        <f>MIN(I68,H68)*INDEX('2018_commission_structure'!$A$11:$I$14,MATCH(Calculations!$E68,'2018_commission_structure'!$A$11:$A$14,0),MATCH(Calculations!O$1,'2018_commission_structure'!$A$11:$I$11,0))</f>
        <v>78000</v>
      </c>
      <c r="P68" s="7">
        <f>IF($H68&gt;I68,MIN($H68-I68,J68-I68)*INDEX('2018_commission_structure'!$A$11:$I$14,MATCH(Calculations!$E68,'2018_commission_structure'!$A$11:$A$14,0), MATCH(Calculations!P$1,'2018_commission_structure'!$A$11:$I$11,0)),0)</f>
        <v>25500.000000000004</v>
      </c>
      <c r="Q68" s="7">
        <f>IF($H68&gt;J68,MIN($H68-J68,K68-J68)*INDEX('2018_commission_structure'!$A$11:$I$14,MATCH(Calculations!$E68,'2018_commission_structure'!$A$11:$A$14,0), MATCH(Calculations!Q$1,'2018_commission_structure'!$A$11:$I$11,0)),0)</f>
        <v>26566.05</v>
      </c>
      <c r="R68" s="7">
        <f>IF($H68&gt;K68,MIN($H68-K68,L68-K68)*INDEX('2018_commission_structure'!$A$11:$I$14,MATCH(Calculations!$E68,'2018_commission_structure'!$A$11:$A$14,0), MATCH(Calculations!R$1,'2018_commission_structure'!$A$11:$I$11,0)),0)</f>
        <v>0</v>
      </c>
      <c r="S68" s="7">
        <f>IF(H68&gt;L68,(H68-L68)*INDEX('2018_commission_structure'!$A$11:$I$14,MATCH(Calculations!$E68,'2018_commission_structure'!$A$11:$A$14,0),MATCH(Calculations!S$1,'2018_commission_structure'!$A$11:$I$11,0)),0)</f>
        <v>0</v>
      </c>
      <c r="T68" s="7">
        <f t="shared" si="14"/>
        <v>130066.05</v>
      </c>
      <c r="U68" s="7">
        <f t="shared" si="15"/>
        <v>210004.05</v>
      </c>
      <c r="V68" s="7">
        <f>MIN(H68,I68)*INDEX('2018_commission_structure'!$A$5:$J$8,MATCH(Calculations!$E68,'2018_commission_structure'!$A$5:$A$8,0),MATCH(Calculations!V$1,'2018_commission_structure'!$A$5:$J$5,0))</f>
        <v>90000</v>
      </c>
      <c r="W68" s="2">
        <f>IF($H68&gt;I68,MIN($H68-I68,J68-I68)*INDEX('2018_commission_structure'!$A$5:$J$8,MATCH(Calculations!$E68,'2018_commission_structure'!$A$5:$A$8,0),MATCH(Calculations!W$1,'2018_commission_structure'!$A$5:$J$5,0)),0)</f>
        <v>27000</v>
      </c>
      <c r="X68" s="2">
        <f>IF($H68&gt;J68,MIN($H68-J68,K68-J68)*INDEX('2018_commission_structure'!$A$5:$J$8,MATCH(Calculations!$E68,'2018_commission_structure'!$A$5:$A$8,0),MATCH(Calculations!X$1,'2018_commission_structure'!$A$5:$J$5,0)),0)</f>
        <v>31626.25</v>
      </c>
      <c r="Y68" s="2">
        <f>IF($H68&gt;K68,MIN($H68-K68,L68-K68)*INDEX('2018_commission_structure'!$A$5:$J$8,MATCH(Calculations!$E68,'2018_commission_structure'!$A$5:$A$8,0),MATCH(Calculations!Y$1,'2018_commission_structure'!$A$5:$J$5,0)),0)</f>
        <v>0</v>
      </c>
      <c r="Z68" s="2">
        <f xml:space="preserve"> IF(H68&gt;L68,(H68-L68)*INDEX('2018_commission_structure'!$A$11:$I$14,MATCH(Calculations!$E68,'2018_commission_structure'!$A$11:$A$14,0),MATCH(Calculations!Z$1,'2018_commission_structure'!$A$11:$I$11,0)),0)</f>
        <v>0</v>
      </c>
      <c r="AA68" s="7">
        <f t="shared" si="16"/>
        <v>148626.25</v>
      </c>
      <c r="AB68" s="7">
        <f t="shared" si="17"/>
        <v>228564.25</v>
      </c>
    </row>
    <row r="69" spans="1:28" x14ac:dyDescent="0.25">
      <c r="A69">
        <v>1364767856</v>
      </c>
      <c r="B69" t="s">
        <v>1904</v>
      </c>
      <c r="C69" t="s">
        <v>1905</v>
      </c>
      <c r="D69" t="str">
        <f>B69&amp;" "&amp;C69</f>
        <v>Sterling Bebbington</v>
      </c>
      <c r="E69" t="s">
        <v>7</v>
      </c>
      <c r="F69">
        <v>59415</v>
      </c>
      <c r="G69">
        <f>COUNTIF(deals_closed!D:D,Calculations!A69)</f>
        <v>23</v>
      </c>
      <c r="H69" s="2">
        <f>SUMIF(deals_closed!D:D,Calculations!A69,deals_closed!C:C)</f>
        <v>708390</v>
      </c>
      <c r="I69" s="2">
        <f>VLOOKUP(E69,'2018_commission_structure'!$A$11:$I$14,9,FALSE)</f>
        <v>500000</v>
      </c>
      <c r="J69" s="2">
        <f t="shared" si="9"/>
        <v>625000</v>
      </c>
      <c r="K69" s="2">
        <f t="shared" si="10"/>
        <v>750000</v>
      </c>
      <c r="L69" s="2">
        <f t="shared" si="11"/>
        <v>1000000</v>
      </c>
      <c r="M69" s="6">
        <f t="shared" si="12"/>
        <v>1.4167799999999999</v>
      </c>
      <c r="N69" t="str">
        <f t="shared" si="13"/>
        <v>125-150%</v>
      </c>
      <c r="O69" s="7">
        <f>MIN(I69,H69)*INDEX('2018_commission_structure'!$A$11:$I$14,MATCH(Calculations!$E69,'2018_commission_structure'!$A$11:$A$14,0),MATCH(Calculations!O$1,'2018_commission_structure'!$A$11:$I$11,0))</f>
        <v>50000</v>
      </c>
      <c r="P69" s="7">
        <f>IF($H69&gt;I69,MIN($H69-I69,J69-I69)*INDEX('2018_commission_structure'!$A$11:$I$14,MATCH(Calculations!$E69,'2018_commission_structure'!$A$11:$A$14,0), MATCH(Calculations!P$1,'2018_commission_structure'!$A$11:$I$11,0)),0)</f>
        <v>18750</v>
      </c>
      <c r="Q69" s="7">
        <f>IF($H69&gt;J69,MIN($H69-J69,K69-J69)*INDEX('2018_commission_structure'!$A$11:$I$14,MATCH(Calculations!$E69,'2018_commission_structure'!$A$11:$A$14,0), MATCH(Calculations!Q$1,'2018_commission_structure'!$A$11:$I$11,0)),0)</f>
        <v>15010.199999999999</v>
      </c>
      <c r="R69" s="7">
        <f>IF($H69&gt;K69,MIN($H69-K69,L69-K69)*INDEX('2018_commission_structure'!$A$11:$I$14,MATCH(Calculations!$E69,'2018_commission_structure'!$A$11:$A$14,0), MATCH(Calculations!R$1,'2018_commission_structure'!$A$11:$I$11,0)),0)</f>
        <v>0</v>
      </c>
      <c r="S69" s="7">
        <f>IF(H69&gt;L69,(H69-L69)*INDEX('2018_commission_structure'!$A$11:$I$14,MATCH(Calculations!$E69,'2018_commission_structure'!$A$11:$A$14,0),MATCH(Calculations!S$1,'2018_commission_structure'!$A$11:$I$11,0)),0)</f>
        <v>0</v>
      </c>
      <c r="T69" s="7">
        <f t="shared" si="14"/>
        <v>83760.2</v>
      </c>
      <c r="U69" s="7">
        <f t="shared" si="15"/>
        <v>143175.20000000001</v>
      </c>
      <c r="V69" s="7">
        <f>MIN(H69,I69)*INDEX('2018_commission_structure'!$A$5:$J$8,MATCH(Calculations!$E69,'2018_commission_structure'!$A$5:$A$8,0),MATCH(Calculations!V$1,'2018_commission_structure'!$A$5:$J$5,0))</f>
        <v>60000</v>
      </c>
      <c r="W69" s="2">
        <f>IF($H69&gt;I69,MIN($H69-I69,J69-I69)*INDEX('2018_commission_structure'!$A$5:$J$8,MATCH(Calculations!$E69,'2018_commission_structure'!$A$5:$A$8,0),MATCH(Calculations!W$1,'2018_commission_structure'!$A$5:$J$5,0)),0)</f>
        <v>21250</v>
      </c>
      <c r="X69" s="2">
        <f>IF($H69&gt;J69,MIN($H69-J69,K69-J69)*INDEX('2018_commission_structure'!$A$5:$J$8,MATCH(Calculations!$E69,'2018_commission_structure'!$A$5:$A$8,0),MATCH(Calculations!X$1,'2018_commission_structure'!$A$5:$J$5,0)),0)</f>
        <v>16678</v>
      </c>
      <c r="Y69" s="2">
        <f>IF($H69&gt;K69,MIN($H69-K69,L69-K69)*INDEX('2018_commission_structure'!$A$5:$J$8,MATCH(Calculations!$E69,'2018_commission_structure'!$A$5:$A$8,0),MATCH(Calculations!Y$1,'2018_commission_structure'!$A$5:$J$5,0)),0)</f>
        <v>0</v>
      </c>
      <c r="Z69" s="2">
        <f xml:space="preserve"> IF(H69&gt;L69,(H69-L69)*INDEX('2018_commission_structure'!$A$11:$I$14,MATCH(Calculations!$E69,'2018_commission_structure'!$A$11:$A$14,0),MATCH(Calculations!Z$1,'2018_commission_structure'!$A$11:$I$11,0)),0)</f>
        <v>0</v>
      </c>
      <c r="AA69" s="7">
        <f t="shared" si="16"/>
        <v>97928</v>
      </c>
      <c r="AB69" s="7">
        <f t="shared" si="17"/>
        <v>157343</v>
      </c>
    </row>
    <row r="70" spans="1:28" x14ac:dyDescent="0.25">
      <c r="A70">
        <v>1895483948</v>
      </c>
      <c r="B70" t="s">
        <v>385</v>
      </c>
      <c r="C70" t="s">
        <v>386</v>
      </c>
      <c r="D70" t="str">
        <f>B70&amp;" "&amp;C70</f>
        <v>Raquel Beelby</v>
      </c>
      <c r="E70" t="s">
        <v>10</v>
      </c>
      <c r="F70">
        <v>110414</v>
      </c>
      <c r="G70">
        <f>COUNTIF(deals_closed!D:D,Calculations!A70)</f>
        <v>21</v>
      </c>
      <c r="H70" s="2">
        <f>SUMIF(deals_closed!D:D,Calculations!A70,deals_closed!C:C)</f>
        <v>777563</v>
      </c>
      <c r="I70" s="2">
        <f>VLOOKUP(E70,'2018_commission_structure'!$A$11:$I$14,9,FALSE)</f>
        <v>750000</v>
      </c>
      <c r="J70" s="2">
        <f t="shared" si="9"/>
        <v>937500</v>
      </c>
      <c r="K70" s="2">
        <f t="shared" si="10"/>
        <v>1125000</v>
      </c>
      <c r="L70" s="2">
        <f t="shared" si="11"/>
        <v>1500000</v>
      </c>
      <c r="M70" s="6">
        <f t="shared" si="12"/>
        <v>1.0367506666666666</v>
      </c>
      <c r="N70" t="str">
        <f t="shared" si="13"/>
        <v>100-125%</v>
      </c>
      <c r="O70" s="7">
        <f>MIN(I70,H70)*INDEX('2018_commission_structure'!$A$11:$I$14,MATCH(Calculations!$E70,'2018_commission_structure'!$A$11:$A$14,0),MATCH(Calculations!O$1,'2018_commission_structure'!$A$11:$I$11,0))</f>
        <v>112500</v>
      </c>
      <c r="P70" s="7">
        <f>IF($H70&gt;I70,MIN($H70-I70,J70-I70)*INDEX('2018_commission_structure'!$A$11:$I$14,MATCH(Calculations!$E70,'2018_commission_structure'!$A$11:$A$14,0), MATCH(Calculations!P$1,'2018_commission_structure'!$A$11:$I$11,0)),0)</f>
        <v>5236.97</v>
      </c>
      <c r="Q70" s="7">
        <f>IF($H70&gt;J70,MIN($H70-J70,K70-J70)*INDEX('2018_commission_structure'!$A$11:$I$14,MATCH(Calculations!$E70,'2018_commission_structure'!$A$11:$A$14,0), MATCH(Calculations!Q$1,'2018_commission_structure'!$A$11:$I$11,0)),0)</f>
        <v>0</v>
      </c>
      <c r="R70" s="7">
        <f>IF($H70&gt;K70,MIN($H70-K70,L70-K70)*INDEX('2018_commission_structure'!$A$11:$I$14,MATCH(Calculations!$E70,'2018_commission_structure'!$A$11:$A$14,0), MATCH(Calculations!R$1,'2018_commission_structure'!$A$11:$I$11,0)),0)</f>
        <v>0</v>
      </c>
      <c r="S70" s="7">
        <f>IF(H70&gt;L70,(H70-L70)*INDEX('2018_commission_structure'!$A$11:$I$14,MATCH(Calculations!$E70,'2018_commission_structure'!$A$11:$A$14,0),MATCH(Calculations!S$1,'2018_commission_structure'!$A$11:$I$11,0)),0)</f>
        <v>0</v>
      </c>
      <c r="T70" s="7">
        <f t="shared" si="14"/>
        <v>117736.97</v>
      </c>
      <c r="U70" s="7">
        <f t="shared" si="15"/>
        <v>228150.97</v>
      </c>
      <c r="V70" s="7">
        <f>MIN(H70,I70)*INDEX('2018_commission_structure'!$A$5:$J$8,MATCH(Calculations!$E70,'2018_commission_structure'!$A$5:$A$8,0),MATCH(Calculations!V$1,'2018_commission_structure'!$A$5:$J$5,0))</f>
        <v>112500</v>
      </c>
      <c r="W70" s="2">
        <f>IF($H70&gt;I70,MIN($H70-I70,J70-I70)*INDEX('2018_commission_structure'!$A$5:$J$8,MATCH(Calculations!$E70,'2018_commission_structure'!$A$5:$A$8,0),MATCH(Calculations!W$1,'2018_commission_structure'!$A$5:$J$5,0)),0)</f>
        <v>6063.86</v>
      </c>
      <c r="X70" s="2">
        <f>IF($H70&gt;J70,MIN($H70-J70,K70-J70)*INDEX('2018_commission_structure'!$A$5:$J$8,MATCH(Calculations!$E70,'2018_commission_structure'!$A$5:$A$8,0),MATCH(Calculations!X$1,'2018_commission_structure'!$A$5:$J$5,0)),0)</f>
        <v>0</v>
      </c>
      <c r="Y70" s="2">
        <f>IF($H70&gt;K70,MIN($H70-K70,L70-K70)*INDEX('2018_commission_structure'!$A$5:$J$8,MATCH(Calculations!$E70,'2018_commission_structure'!$A$5:$A$8,0),MATCH(Calculations!Y$1,'2018_commission_structure'!$A$5:$J$5,0)),0)</f>
        <v>0</v>
      </c>
      <c r="Z70" s="2">
        <f xml:space="preserve"> IF(H70&gt;L70,(H70-L70)*INDEX('2018_commission_structure'!$A$11:$I$14,MATCH(Calculations!$E70,'2018_commission_structure'!$A$11:$A$14,0),MATCH(Calculations!Z$1,'2018_commission_structure'!$A$11:$I$11,0)),0)</f>
        <v>0</v>
      </c>
      <c r="AA70" s="7">
        <f t="shared" si="16"/>
        <v>118563.86</v>
      </c>
      <c r="AB70" s="7">
        <f t="shared" si="17"/>
        <v>228977.86</v>
      </c>
    </row>
    <row r="71" spans="1:28" x14ac:dyDescent="0.25">
      <c r="A71">
        <v>5203144281</v>
      </c>
      <c r="B71" t="s">
        <v>480</v>
      </c>
      <c r="C71" t="s">
        <v>481</v>
      </c>
      <c r="D71" t="str">
        <f>B71&amp;" "&amp;C71</f>
        <v>Kalli Beeze</v>
      </c>
      <c r="E71" t="s">
        <v>10</v>
      </c>
      <c r="F71">
        <v>99005</v>
      </c>
      <c r="G71">
        <f>COUNTIF(deals_closed!D:D,Calculations!A71)</f>
        <v>14</v>
      </c>
      <c r="H71" s="2">
        <f>SUMIF(deals_closed!D:D,Calculations!A71,deals_closed!C:C)</f>
        <v>462920</v>
      </c>
      <c r="I71" s="2">
        <f>VLOOKUP(E71,'2018_commission_structure'!$A$11:$I$14,9,FALSE)</f>
        <v>750000</v>
      </c>
      <c r="J71" s="2">
        <f t="shared" si="9"/>
        <v>937500</v>
      </c>
      <c r="K71" s="2">
        <f t="shared" si="10"/>
        <v>1125000</v>
      </c>
      <c r="L71" s="2">
        <f t="shared" si="11"/>
        <v>1500000</v>
      </c>
      <c r="M71" s="6">
        <f t="shared" si="12"/>
        <v>0.6172266666666667</v>
      </c>
      <c r="N71" t="str">
        <f t="shared" si="13"/>
        <v>0-100%</v>
      </c>
      <c r="O71" s="7">
        <f>MIN(I71,H71)*INDEX('2018_commission_structure'!$A$11:$I$14,MATCH(Calculations!$E71,'2018_commission_structure'!$A$11:$A$14,0),MATCH(Calculations!O$1,'2018_commission_structure'!$A$11:$I$11,0))</f>
        <v>69438</v>
      </c>
      <c r="P71" s="7">
        <f>IF($H71&gt;I71,MIN($H71-I71,J71-I71)*INDEX('2018_commission_structure'!$A$11:$I$14,MATCH(Calculations!$E71,'2018_commission_structure'!$A$11:$A$14,0), MATCH(Calculations!P$1,'2018_commission_structure'!$A$11:$I$11,0)),0)</f>
        <v>0</v>
      </c>
      <c r="Q71" s="7">
        <f>IF($H71&gt;J71,MIN($H71-J71,K71-J71)*INDEX('2018_commission_structure'!$A$11:$I$14,MATCH(Calculations!$E71,'2018_commission_structure'!$A$11:$A$14,0), MATCH(Calculations!Q$1,'2018_commission_structure'!$A$11:$I$11,0)),0)</f>
        <v>0</v>
      </c>
      <c r="R71" s="7">
        <f>IF($H71&gt;K71,MIN($H71-K71,L71-K71)*INDEX('2018_commission_structure'!$A$11:$I$14,MATCH(Calculations!$E71,'2018_commission_structure'!$A$11:$A$14,0), MATCH(Calculations!R$1,'2018_commission_structure'!$A$11:$I$11,0)),0)</f>
        <v>0</v>
      </c>
      <c r="S71" s="7">
        <f>IF(H71&gt;L71,(H71-L71)*INDEX('2018_commission_structure'!$A$11:$I$14,MATCH(Calculations!$E71,'2018_commission_structure'!$A$11:$A$14,0),MATCH(Calculations!S$1,'2018_commission_structure'!$A$11:$I$11,0)),0)</f>
        <v>0</v>
      </c>
      <c r="T71" s="7">
        <f t="shared" si="14"/>
        <v>69438</v>
      </c>
      <c r="U71" s="7">
        <f t="shared" si="15"/>
        <v>168443</v>
      </c>
      <c r="V71" s="7">
        <f>MIN(H71,I71)*INDEX('2018_commission_structure'!$A$5:$J$8,MATCH(Calculations!$E71,'2018_commission_structure'!$A$5:$A$8,0),MATCH(Calculations!V$1,'2018_commission_structure'!$A$5:$J$5,0))</f>
        <v>69438</v>
      </c>
      <c r="W71" s="2">
        <f>IF($H71&gt;I71,MIN($H71-I71,J71-I71)*INDEX('2018_commission_structure'!$A$5:$J$8,MATCH(Calculations!$E71,'2018_commission_structure'!$A$5:$A$8,0),MATCH(Calculations!W$1,'2018_commission_structure'!$A$5:$J$5,0)),0)</f>
        <v>0</v>
      </c>
      <c r="X71" s="2">
        <f>IF($H71&gt;J71,MIN($H71-J71,K71-J71)*INDEX('2018_commission_structure'!$A$5:$J$8,MATCH(Calculations!$E71,'2018_commission_structure'!$A$5:$A$8,0),MATCH(Calculations!X$1,'2018_commission_structure'!$A$5:$J$5,0)),0)</f>
        <v>0</v>
      </c>
      <c r="Y71" s="2">
        <f>IF($H71&gt;K71,MIN($H71-K71,L71-K71)*INDEX('2018_commission_structure'!$A$5:$J$8,MATCH(Calculations!$E71,'2018_commission_structure'!$A$5:$A$8,0),MATCH(Calculations!Y$1,'2018_commission_structure'!$A$5:$J$5,0)),0)</f>
        <v>0</v>
      </c>
      <c r="Z71" s="2">
        <f xml:space="preserve"> IF(H71&gt;L71,(H71-L71)*INDEX('2018_commission_structure'!$A$11:$I$14,MATCH(Calculations!$E71,'2018_commission_structure'!$A$11:$A$14,0),MATCH(Calculations!Z$1,'2018_commission_structure'!$A$11:$I$11,0)),0)</f>
        <v>0</v>
      </c>
      <c r="AA71" s="7">
        <f t="shared" si="16"/>
        <v>69438</v>
      </c>
      <c r="AB71" s="7">
        <f t="shared" si="17"/>
        <v>168443</v>
      </c>
    </row>
    <row r="72" spans="1:28" x14ac:dyDescent="0.25">
      <c r="A72">
        <v>8757371024</v>
      </c>
      <c r="B72" t="s">
        <v>153</v>
      </c>
      <c r="C72" t="s">
        <v>573</v>
      </c>
      <c r="D72" t="str">
        <f>B72&amp;" "&amp;C72</f>
        <v>Denney Behr</v>
      </c>
      <c r="E72" t="s">
        <v>29</v>
      </c>
      <c r="F72">
        <v>61475</v>
      </c>
      <c r="G72">
        <f>COUNTIF(deals_closed!D:D,Calculations!A72)</f>
        <v>15</v>
      </c>
      <c r="H72" s="2">
        <f>SUMIF(deals_closed!D:D,Calculations!A72,deals_closed!C:C)</f>
        <v>450892</v>
      </c>
      <c r="I72" s="2">
        <f>VLOOKUP(E72,'2018_commission_structure'!$A$11:$I$14,9,FALSE)</f>
        <v>600000</v>
      </c>
      <c r="J72" s="2">
        <f t="shared" si="9"/>
        <v>750000</v>
      </c>
      <c r="K72" s="2">
        <f t="shared" si="10"/>
        <v>900000</v>
      </c>
      <c r="L72" s="2">
        <f t="shared" si="11"/>
        <v>1200000</v>
      </c>
      <c r="M72" s="6">
        <f t="shared" si="12"/>
        <v>0.75148666666666664</v>
      </c>
      <c r="N72" t="str">
        <f t="shared" si="13"/>
        <v>0-100%</v>
      </c>
      <c r="O72" s="7">
        <f>MIN(I72,H72)*INDEX('2018_commission_structure'!$A$11:$I$14,MATCH(Calculations!$E72,'2018_commission_structure'!$A$11:$A$14,0),MATCH(Calculations!O$1,'2018_commission_structure'!$A$11:$I$11,0))</f>
        <v>58615.96</v>
      </c>
      <c r="P72" s="7">
        <f>IF($H72&gt;I72,MIN($H72-I72,J72-I72)*INDEX('2018_commission_structure'!$A$11:$I$14,MATCH(Calculations!$E72,'2018_commission_structure'!$A$11:$A$14,0), MATCH(Calculations!P$1,'2018_commission_structure'!$A$11:$I$11,0)),0)</f>
        <v>0</v>
      </c>
      <c r="Q72" s="7">
        <f>IF($H72&gt;J72,MIN($H72-J72,K72-J72)*INDEX('2018_commission_structure'!$A$11:$I$14,MATCH(Calculations!$E72,'2018_commission_structure'!$A$11:$A$14,0), MATCH(Calculations!Q$1,'2018_commission_structure'!$A$11:$I$11,0)),0)</f>
        <v>0</v>
      </c>
      <c r="R72" s="7">
        <f>IF($H72&gt;K72,MIN($H72-K72,L72-K72)*INDEX('2018_commission_structure'!$A$11:$I$14,MATCH(Calculations!$E72,'2018_commission_structure'!$A$11:$A$14,0), MATCH(Calculations!R$1,'2018_commission_structure'!$A$11:$I$11,0)),0)</f>
        <v>0</v>
      </c>
      <c r="S72" s="7">
        <f>IF(H72&gt;L72,(H72-L72)*INDEX('2018_commission_structure'!$A$11:$I$14,MATCH(Calculations!$E72,'2018_commission_structure'!$A$11:$A$14,0),MATCH(Calculations!S$1,'2018_commission_structure'!$A$11:$I$11,0)),0)</f>
        <v>0</v>
      </c>
      <c r="T72" s="7">
        <f t="shared" si="14"/>
        <v>58615.96</v>
      </c>
      <c r="U72" s="7">
        <f t="shared" si="15"/>
        <v>120090.95999999999</v>
      </c>
      <c r="V72" s="7">
        <f>MIN(H72,I72)*INDEX('2018_commission_structure'!$A$5:$J$8,MATCH(Calculations!$E72,'2018_commission_structure'!$A$5:$A$8,0),MATCH(Calculations!V$1,'2018_commission_structure'!$A$5:$J$5,0))</f>
        <v>67633.8</v>
      </c>
      <c r="W72" s="2">
        <f>IF($H72&gt;I72,MIN($H72-I72,J72-I72)*INDEX('2018_commission_structure'!$A$5:$J$8,MATCH(Calculations!$E72,'2018_commission_structure'!$A$5:$A$8,0),MATCH(Calculations!W$1,'2018_commission_structure'!$A$5:$J$5,0)),0)</f>
        <v>0</v>
      </c>
      <c r="X72" s="2">
        <f>IF($H72&gt;J72,MIN($H72-J72,K72-J72)*INDEX('2018_commission_structure'!$A$5:$J$8,MATCH(Calculations!$E72,'2018_commission_structure'!$A$5:$A$8,0),MATCH(Calculations!X$1,'2018_commission_structure'!$A$5:$J$5,0)),0)</f>
        <v>0</v>
      </c>
      <c r="Y72" s="2">
        <f>IF($H72&gt;K72,MIN($H72-K72,L72-K72)*INDEX('2018_commission_structure'!$A$5:$J$8,MATCH(Calculations!$E72,'2018_commission_structure'!$A$5:$A$8,0),MATCH(Calculations!Y$1,'2018_commission_structure'!$A$5:$J$5,0)),0)</f>
        <v>0</v>
      </c>
      <c r="Z72" s="2">
        <f xml:space="preserve"> IF(H72&gt;L72,(H72-L72)*INDEX('2018_commission_structure'!$A$11:$I$14,MATCH(Calculations!$E72,'2018_commission_structure'!$A$11:$A$14,0),MATCH(Calculations!Z$1,'2018_commission_structure'!$A$11:$I$11,0)),0)</f>
        <v>0</v>
      </c>
      <c r="AA72" s="7">
        <f t="shared" si="16"/>
        <v>67633.8</v>
      </c>
      <c r="AB72" s="7">
        <f t="shared" si="17"/>
        <v>129108.8</v>
      </c>
    </row>
    <row r="73" spans="1:28" x14ac:dyDescent="0.25">
      <c r="A73">
        <v>2353272215</v>
      </c>
      <c r="B73" t="s">
        <v>1314</v>
      </c>
      <c r="C73" t="s">
        <v>1315</v>
      </c>
      <c r="D73" t="str">
        <f>B73&amp;" "&amp;C73</f>
        <v>Maury Belshaw</v>
      </c>
      <c r="E73" t="s">
        <v>29</v>
      </c>
      <c r="F73">
        <v>70609</v>
      </c>
      <c r="G73">
        <f>COUNTIF(deals_closed!D:D,Calculations!A73)</f>
        <v>26</v>
      </c>
      <c r="H73" s="2">
        <f>SUMIF(deals_closed!D:D,Calculations!A73,deals_closed!C:C)</f>
        <v>1023789</v>
      </c>
      <c r="I73" s="2">
        <f>VLOOKUP(E73,'2018_commission_structure'!$A$11:$I$14,9,FALSE)</f>
        <v>600000</v>
      </c>
      <c r="J73" s="2">
        <f t="shared" si="9"/>
        <v>750000</v>
      </c>
      <c r="K73" s="2">
        <f t="shared" si="10"/>
        <v>900000</v>
      </c>
      <c r="L73" s="2">
        <f t="shared" si="11"/>
        <v>1200000</v>
      </c>
      <c r="M73" s="6">
        <f t="shared" si="12"/>
        <v>1.706315</v>
      </c>
      <c r="N73" t="str">
        <f t="shared" si="13"/>
        <v>150-200%</v>
      </c>
      <c r="O73" s="7">
        <f>MIN(I73,H73)*INDEX('2018_commission_structure'!$A$11:$I$14,MATCH(Calculations!$E73,'2018_commission_structure'!$A$11:$A$14,0),MATCH(Calculations!O$1,'2018_commission_structure'!$A$11:$I$11,0))</f>
        <v>78000</v>
      </c>
      <c r="P73" s="7">
        <f>IF($H73&gt;I73,MIN($H73-I73,J73-I73)*INDEX('2018_commission_structure'!$A$11:$I$14,MATCH(Calculations!$E73,'2018_commission_structure'!$A$11:$A$14,0), MATCH(Calculations!P$1,'2018_commission_structure'!$A$11:$I$11,0)),0)</f>
        <v>25500.000000000004</v>
      </c>
      <c r="Q73" s="7">
        <f>IF($H73&gt;J73,MIN($H73-J73,K73-J73)*INDEX('2018_commission_structure'!$A$11:$I$14,MATCH(Calculations!$E73,'2018_commission_structure'!$A$11:$A$14,0), MATCH(Calculations!Q$1,'2018_commission_structure'!$A$11:$I$11,0)),0)</f>
        <v>31500</v>
      </c>
      <c r="R73" s="7">
        <f>IF($H73&gt;K73,MIN($H73-K73,L73-K73)*INDEX('2018_commission_structure'!$A$11:$I$14,MATCH(Calculations!$E73,'2018_commission_structure'!$A$11:$A$14,0), MATCH(Calculations!R$1,'2018_commission_structure'!$A$11:$I$11,0)),0)</f>
        <v>32185.14</v>
      </c>
      <c r="S73" s="7">
        <f>IF(H73&gt;L73,(H73-L73)*INDEX('2018_commission_structure'!$A$11:$I$14,MATCH(Calculations!$E73,'2018_commission_structure'!$A$11:$A$14,0),MATCH(Calculations!S$1,'2018_commission_structure'!$A$11:$I$11,0)),0)</f>
        <v>0</v>
      </c>
      <c r="T73" s="7">
        <f t="shared" si="14"/>
        <v>167185.14000000001</v>
      </c>
      <c r="U73" s="7">
        <f t="shared" si="15"/>
        <v>237794.14</v>
      </c>
      <c r="V73" s="7">
        <f>MIN(H73,I73)*INDEX('2018_commission_structure'!$A$5:$J$8,MATCH(Calculations!$E73,'2018_commission_structure'!$A$5:$A$8,0),MATCH(Calculations!V$1,'2018_commission_structure'!$A$5:$J$5,0))</f>
        <v>90000</v>
      </c>
      <c r="W73" s="2">
        <f>IF($H73&gt;I73,MIN($H73-I73,J73-I73)*INDEX('2018_commission_structure'!$A$5:$J$8,MATCH(Calculations!$E73,'2018_commission_structure'!$A$5:$A$8,0),MATCH(Calculations!W$1,'2018_commission_structure'!$A$5:$J$5,0)),0)</f>
        <v>27000</v>
      </c>
      <c r="X73" s="2">
        <f>IF($H73&gt;J73,MIN($H73-J73,K73-J73)*INDEX('2018_commission_structure'!$A$5:$J$8,MATCH(Calculations!$E73,'2018_commission_structure'!$A$5:$A$8,0),MATCH(Calculations!X$1,'2018_commission_structure'!$A$5:$J$5,0)),0)</f>
        <v>37500</v>
      </c>
      <c r="Y73" s="2">
        <f>IF($H73&gt;K73,MIN($H73-K73,L73-K73)*INDEX('2018_commission_structure'!$A$5:$J$8,MATCH(Calculations!$E73,'2018_commission_structure'!$A$5:$A$8,0),MATCH(Calculations!Y$1,'2018_commission_structure'!$A$5:$J$5,0)),0)</f>
        <v>37136.699999999997</v>
      </c>
      <c r="Z73" s="2">
        <f xml:space="preserve"> IF(H73&gt;L73,(H73-L73)*INDEX('2018_commission_structure'!$A$11:$I$14,MATCH(Calculations!$E73,'2018_commission_structure'!$A$11:$A$14,0),MATCH(Calculations!Z$1,'2018_commission_structure'!$A$11:$I$11,0)),0)</f>
        <v>0</v>
      </c>
      <c r="AA73" s="7">
        <f t="shared" si="16"/>
        <v>191636.7</v>
      </c>
      <c r="AB73" s="7">
        <f t="shared" si="17"/>
        <v>262245.7</v>
      </c>
    </row>
    <row r="74" spans="1:28" x14ac:dyDescent="0.25">
      <c r="A74">
        <v>3409869514</v>
      </c>
      <c r="B74" t="s">
        <v>903</v>
      </c>
      <c r="C74" t="s">
        <v>904</v>
      </c>
      <c r="D74" t="str">
        <f>B74&amp;" "&amp;C74</f>
        <v>Lil Benion</v>
      </c>
      <c r="E74" t="s">
        <v>7</v>
      </c>
      <c r="F74">
        <v>47831</v>
      </c>
      <c r="G74">
        <f>COUNTIF(deals_closed!D:D,Calculations!A74)</f>
        <v>23</v>
      </c>
      <c r="H74" s="2">
        <f>SUMIF(deals_closed!D:D,Calculations!A74,deals_closed!C:C)</f>
        <v>818109</v>
      </c>
      <c r="I74" s="2">
        <f>VLOOKUP(E74,'2018_commission_structure'!$A$11:$I$14,9,FALSE)</f>
        <v>500000</v>
      </c>
      <c r="J74" s="2">
        <f t="shared" si="9"/>
        <v>625000</v>
      </c>
      <c r="K74" s="2">
        <f t="shared" si="10"/>
        <v>750000</v>
      </c>
      <c r="L74" s="2">
        <f t="shared" si="11"/>
        <v>1000000</v>
      </c>
      <c r="M74" s="6">
        <f t="shared" si="12"/>
        <v>1.636218</v>
      </c>
      <c r="N74" t="str">
        <f t="shared" si="13"/>
        <v>150-200%</v>
      </c>
      <c r="O74" s="7">
        <f>MIN(I74,H74)*INDEX('2018_commission_structure'!$A$11:$I$14,MATCH(Calculations!$E74,'2018_commission_structure'!$A$11:$A$14,0),MATCH(Calculations!O$1,'2018_commission_structure'!$A$11:$I$11,0))</f>
        <v>50000</v>
      </c>
      <c r="P74" s="7">
        <f>IF($H74&gt;I74,MIN($H74-I74,J74-I74)*INDEX('2018_commission_structure'!$A$11:$I$14,MATCH(Calculations!$E74,'2018_commission_structure'!$A$11:$A$14,0), MATCH(Calculations!P$1,'2018_commission_structure'!$A$11:$I$11,0)),0)</f>
        <v>18750</v>
      </c>
      <c r="Q74" s="7">
        <f>IF($H74&gt;J74,MIN($H74-J74,K74-J74)*INDEX('2018_commission_structure'!$A$11:$I$14,MATCH(Calculations!$E74,'2018_commission_structure'!$A$11:$A$14,0), MATCH(Calculations!Q$1,'2018_commission_structure'!$A$11:$I$11,0)),0)</f>
        <v>22500</v>
      </c>
      <c r="R74" s="7">
        <f>IF($H74&gt;K74,MIN($H74-K74,L74-K74)*INDEX('2018_commission_structure'!$A$11:$I$14,MATCH(Calculations!$E74,'2018_commission_structure'!$A$11:$A$14,0), MATCH(Calculations!R$1,'2018_commission_structure'!$A$11:$I$11,0)),0)</f>
        <v>14983.98</v>
      </c>
      <c r="S74" s="7">
        <f>IF(H74&gt;L74,(H74-L74)*INDEX('2018_commission_structure'!$A$11:$I$14,MATCH(Calculations!$E74,'2018_commission_structure'!$A$11:$A$14,0),MATCH(Calculations!S$1,'2018_commission_structure'!$A$11:$I$11,0)),0)</f>
        <v>0</v>
      </c>
      <c r="T74" s="7">
        <f t="shared" si="14"/>
        <v>106233.98</v>
      </c>
      <c r="U74" s="7">
        <f t="shared" si="15"/>
        <v>154064.97999999998</v>
      </c>
      <c r="V74" s="7">
        <f>MIN(H74,I74)*INDEX('2018_commission_structure'!$A$5:$J$8,MATCH(Calculations!$E74,'2018_commission_structure'!$A$5:$A$8,0),MATCH(Calculations!V$1,'2018_commission_structure'!$A$5:$J$5,0))</f>
        <v>60000</v>
      </c>
      <c r="W74" s="2">
        <f>IF($H74&gt;I74,MIN($H74-I74,J74-I74)*INDEX('2018_commission_structure'!$A$5:$J$8,MATCH(Calculations!$E74,'2018_commission_structure'!$A$5:$A$8,0),MATCH(Calculations!W$1,'2018_commission_structure'!$A$5:$J$5,0)),0)</f>
        <v>21250</v>
      </c>
      <c r="X74" s="2">
        <f>IF($H74&gt;J74,MIN($H74-J74,K74-J74)*INDEX('2018_commission_structure'!$A$5:$J$8,MATCH(Calculations!$E74,'2018_commission_structure'!$A$5:$A$8,0),MATCH(Calculations!X$1,'2018_commission_structure'!$A$5:$J$5,0)),0)</f>
        <v>25000</v>
      </c>
      <c r="Y74" s="2">
        <f>IF($H74&gt;K74,MIN($H74-K74,L74-K74)*INDEX('2018_commission_structure'!$A$5:$J$8,MATCH(Calculations!$E74,'2018_commission_structure'!$A$5:$A$8,0),MATCH(Calculations!Y$1,'2018_commission_structure'!$A$5:$J$5,0)),0)</f>
        <v>14983.98</v>
      </c>
      <c r="Z74" s="2">
        <f xml:space="preserve"> IF(H74&gt;L74,(H74-L74)*INDEX('2018_commission_structure'!$A$11:$I$14,MATCH(Calculations!$E74,'2018_commission_structure'!$A$11:$A$14,0),MATCH(Calculations!Z$1,'2018_commission_structure'!$A$11:$I$11,0)),0)</f>
        <v>0</v>
      </c>
      <c r="AA74" s="7">
        <f t="shared" si="16"/>
        <v>121233.98</v>
      </c>
      <c r="AB74" s="7">
        <f t="shared" si="17"/>
        <v>169064.97999999998</v>
      </c>
    </row>
    <row r="75" spans="1:28" x14ac:dyDescent="0.25">
      <c r="A75">
        <v>6789690301</v>
      </c>
      <c r="B75" t="s">
        <v>189</v>
      </c>
      <c r="C75" t="s">
        <v>190</v>
      </c>
      <c r="D75" t="str">
        <f>B75&amp;" "&amp;C75</f>
        <v>Carey Bennellick</v>
      </c>
      <c r="E75" t="s">
        <v>10</v>
      </c>
      <c r="F75">
        <v>110711</v>
      </c>
      <c r="G75">
        <f>COUNTIF(deals_closed!D:D,Calculations!A75)</f>
        <v>21</v>
      </c>
      <c r="H75" s="2">
        <f>SUMIF(deals_closed!D:D,Calculations!A75,deals_closed!C:C)</f>
        <v>760918</v>
      </c>
      <c r="I75" s="2">
        <f>VLOOKUP(E75,'2018_commission_structure'!$A$11:$I$14,9,FALSE)</f>
        <v>750000</v>
      </c>
      <c r="J75" s="2">
        <f t="shared" si="9"/>
        <v>937500</v>
      </c>
      <c r="K75" s="2">
        <f t="shared" si="10"/>
        <v>1125000</v>
      </c>
      <c r="L75" s="2">
        <f t="shared" si="11"/>
        <v>1500000</v>
      </c>
      <c r="M75" s="6">
        <f t="shared" si="12"/>
        <v>1.0145573333333333</v>
      </c>
      <c r="N75" t="str">
        <f t="shared" si="13"/>
        <v>100-125%</v>
      </c>
      <c r="O75" s="7">
        <f>MIN(I75,H75)*INDEX('2018_commission_structure'!$A$11:$I$14,MATCH(Calculations!$E75,'2018_commission_structure'!$A$11:$A$14,0),MATCH(Calculations!O$1,'2018_commission_structure'!$A$11:$I$11,0))</f>
        <v>112500</v>
      </c>
      <c r="P75" s="7">
        <f>IF($H75&gt;I75,MIN($H75-I75,J75-I75)*INDEX('2018_commission_structure'!$A$11:$I$14,MATCH(Calculations!$E75,'2018_commission_structure'!$A$11:$A$14,0), MATCH(Calculations!P$1,'2018_commission_structure'!$A$11:$I$11,0)),0)</f>
        <v>2074.42</v>
      </c>
      <c r="Q75" s="7">
        <f>IF($H75&gt;J75,MIN($H75-J75,K75-J75)*INDEX('2018_commission_structure'!$A$11:$I$14,MATCH(Calculations!$E75,'2018_commission_structure'!$A$11:$A$14,0), MATCH(Calculations!Q$1,'2018_commission_structure'!$A$11:$I$11,0)),0)</f>
        <v>0</v>
      </c>
      <c r="R75" s="7">
        <f>IF($H75&gt;K75,MIN($H75-K75,L75-K75)*INDEX('2018_commission_structure'!$A$11:$I$14,MATCH(Calculations!$E75,'2018_commission_structure'!$A$11:$A$14,0), MATCH(Calculations!R$1,'2018_commission_structure'!$A$11:$I$11,0)),0)</f>
        <v>0</v>
      </c>
      <c r="S75" s="7">
        <f>IF(H75&gt;L75,(H75-L75)*INDEX('2018_commission_structure'!$A$11:$I$14,MATCH(Calculations!$E75,'2018_commission_structure'!$A$11:$A$14,0),MATCH(Calculations!S$1,'2018_commission_structure'!$A$11:$I$11,0)),0)</f>
        <v>0</v>
      </c>
      <c r="T75" s="7">
        <f t="shared" si="14"/>
        <v>114574.42</v>
      </c>
      <c r="U75" s="7">
        <f t="shared" si="15"/>
        <v>225285.41999999998</v>
      </c>
      <c r="V75" s="7">
        <f>MIN(H75,I75)*INDEX('2018_commission_structure'!$A$5:$J$8,MATCH(Calculations!$E75,'2018_commission_structure'!$A$5:$A$8,0),MATCH(Calculations!V$1,'2018_commission_structure'!$A$5:$J$5,0))</f>
        <v>112500</v>
      </c>
      <c r="W75" s="2">
        <f>IF($H75&gt;I75,MIN($H75-I75,J75-I75)*INDEX('2018_commission_structure'!$A$5:$J$8,MATCH(Calculations!$E75,'2018_commission_structure'!$A$5:$A$8,0),MATCH(Calculations!W$1,'2018_commission_structure'!$A$5:$J$5,0)),0)</f>
        <v>2401.96</v>
      </c>
      <c r="X75" s="2">
        <f>IF($H75&gt;J75,MIN($H75-J75,K75-J75)*INDEX('2018_commission_structure'!$A$5:$J$8,MATCH(Calculations!$E75,'2018_commission_structure'!$A$5:$A$8,0),MATCH(Calculations!X$1,'2018_commission_structure'!$A$5:$J$5,0)),0)</f>
        <v>0</v>
      </c>
      <c r="Y75" s="2">
        <f>IF($H75&gt;K75,MIN($H75-K75,L75-K75)*INDEX('2018_commission_structure'!$A$5:$J$8,MATCH(Calculations!$E75,'2018_commission_structure'!$A$5:$A$8,0),MATCH(Calculations!Y$1,'2018_commission_structure'!$A$5:$J$5,0)),0)</f>
        <v>0</v>
      </c>
      <c r="Z75" s="2">
        <f xml:space="preserve"> IF(H75&gt;L75,(H75-L75)*INDEX('2018_commission_structure'!$A$11:$I$14,MATCH(Calculations!$E75,'2018_commission_structure'!$A$11:$A$14,0),MATCH(Calculations!Z$1,'2018_commission_structure'!$A$11:$I$11,0)),0)</f>
        <v>0</v>
      </c>
      <c r="AA75" s="7">
        <f t="shared" si="16"/>
        <v>114901.96</v>
      </c>
      <c r="AB75" s="7">
        <f t="shared" si="17"/>
        <v>225612.96000000002</v>
      </c>
    </row>
    <row r="76" spans="1:28" x14ac:dyDescent="0.25">
      <c r="A76">
        <v>4487905370</v>
      </c>
      <c r="B76" t="s">
        <v>1125</v>
      </c>
      <c r="C76" t="s">
        <v>1126</v>
      </c>
      <c r="D76" t="str">
        <f>B76&amp;" "&amp;C76</f>
        <v>Chastity Benninger</v>
      </c>
      <c r="E76" t="s">
        <v>7</v>
      </c>
      <c r="F76">
        <v>63935</v>
      </c>
      <c r="G76">
        <f>COUNTIF(deals_closed!D:D,Calculations!A76)</f>
        <v>21</v>
      </c>
      <c r="H76" s="2">
        <f>SUMIF(deals_closed!D:D,Calculations!A76,deals_closed!C:C)</f>
        <v>624674</v>
      </c>
      <c r="I76" s="2">
        <f>VLOOKUP(E76,'2018_commission_structure'!$A$11:$I$14,9,FALSE)</f>
        <v>500000</v>
      </c>
      <c r="J76" s="2">
        <f t="shared" si="9"/>
        <v>625000</v>
      </c>
      <c r="K76" s="2">
        <f t="shared" si="10"/>
        <v>750000</v>
      </c>
      <c r="L76" s="2">
        <f t="shared" si="11"/>
        <v>1000000</v>
      </c>
      <c r="M76" s="6">
        <f t="shared" si="12"/>
        <v>1.2493479999999999</v>
      </c>
      <c r="N76" t="str">
        <f t="shared" si="13"/>
        <v>100-125%</v>
      </c>
      <c r="O76" s="7">
        <f>MIN(I76,H76)*INDEX('2018_commission_structure'!$A$11:$I$14,MATCH(Calculations!$E76,'2018_commission_structure'!$A$11:$A$14,0),MATCH(Calculations!O$1,'2018_commission_structure'!$A$11:$I$11,0))</f>
        <v>50000</v>
      </c>
      <c r="P76" s="7">
        <f>IF($H76&gt;I76,MIN($H76-I76,J76-I76)*INDEX('2018_commission_structure'!$A$11:$I$14,MATCH(Calculations!$E76,'2018_commission_structure'!$A$11:$A$14,0), MATCH(Calculations!P$1,'2018_commission_structure'!$A$11:$I$11,0)),0)</f>
        <v>18701.099999999999</v>
      </c>
      <c r="Q76" s="7">
        <f>IF($H76&gt;J76,MIN($H76-J76,K76-J76)*INDEX('2018_commission_structure'!$A$11:$I$14,MATCH(Calculations!$E76,'2018_commission_structure'!$A$11:$A$14,0), MATCH(Calculations!Q$1,'2018_commission_structure'!$A$11:$I$11,0)),0)</f>
        <v>0</v>
      </c>
      <c r="R76" s="7">
        <f>IF($H76&gt;K76,MIN($H76-K76,L76-K76)*INDEX('2018_commission_structure'!$A$11:$I$14,MATCH(Calculations!$E76,'2018_commission_structure'!$A$11:$A$14,0), MATCH(Calculations!R$1,'2018_commission_structure'!$A$11:$I$11,0)),0)</f>
        <v>0</v>
      </c>
      <c r="S76" s="7">
        <f>IF(H76&gt;L76,(H76-L76)*INDEX('2018_commission_structure'!$A$11:$I$14,MATCH(Calculations!$E76,'2018_commission_structure'!$A$11:$A$14,0),MATCH(Calculations!S$1,'2018_commission_structure'!$A$11:$I$11,0)),0)</f>
        <v>0</v>
      </c>
      <c r="T76" s="7">
        <f t="shared" si="14"/>
        <v>68701.100000000006</v>
      </c>
      <c r="U76" s="7">
        <f t="shared" si="15"/>
        <v>132636.1</v>
      </c>
      <c r="V76" s="7">
        <f>MIN(H76,I76)*INDEX('2018_commission_structure'!$A$5:$J$8,MATCH(Calculations!$E76,'2018_commission_structure'!$A$5:$A$8,0),MATCH(Calculations!V$1,'2018_commission_structure'!$A$5:$J$5,0))</f>
        <v>60000</v>
      </c>
      <c r="W76" s="2">
        <f>IF($H76&gt;I76,MIN($H76-I76,J76-I76)*INDEX('2018_commission_structure'!$A$5:$J$8,MATCH(Calculations!$E76,'2018_commission_structure'!$A$5:$A$8,0),MATCH(Calculations!W$1,'2018_commission_structure'!$A$5:$J$5,0)),0)</f>
        <v>21194.58</v>
      </c>
      <c r="X76" s="2">
        <f>IF($H76&gt;J76,MIN($H76-J76,K76-J76)*INDEX('2018_commission_structure'!$A$5:$J$8,MATCH(Calculations!$E76,'2018_commission_structure'!$A$5:$A$8,0),MATCH(Calculations!X$1,'2018_commission_structure'!$A$5:$J$5,0)),0)</f>
        <v>0</v>
      </c>
      <c r="Y76" s="2">
        <f>IF($H76&gt;K76,MIN($H76-K76,L76-K76)*INDEX('2018_commission_structure'!$A$5:$J$8,MATCH(Calculations!$E76,'2018_commission_structure'!$A$5:$A$8,0),MATCH(Calculations!Y$1,'2018_commission_structure'!$A$5:$J$5,0)),0)</f>
        <v>0</v>
      </c>
      <c r="Z76" s="2">
        <f xml:space="preserve"> IF(H76&gt;L76,(H76-L76)*INDEX('2018_commission_structure'!$A$11:$I$14,MATCH(Calculations!$E76,'2018_commission_structure'!$A$11:$A$14,0),MATCH(Calculations!Z$1,'2018_commission_structure'!$A$11:$I$11,0)),0)</f>
        <v>0</v>
      </c>
      <c r="AA76" s="7">
        <f t="shared" si="16"/>
        <v>81194.58</v>
      </c>
      <c r="AB76" s="7">
        <f t="shared" si="17"/>
        <v>145129.58000000002</v>
      </c>
    </row>
    <row r="77" spans="1:28" x14ac:dyDescent="0.25">
      <c r="A77">
        <v>4175195971</v>
      </c>
      <c r="B77" t="s">
        <v>535</v>
      </c>
      <c r="C77" t="s">
        <v>536</v>
      </c>
      <c r="D77" t="str">
        <f>B77&amp;" "&amp;C77</f>
        <v>Nickolaus Bernardeau</v>
      </c>
      <c r="E77" t="s">
        <v>7</v>
      </c>
      <c r="F77">
        <v>57811</v>
      </c>
      <c r="G77">
        <f>COUNTIF(deals_closed!D:D,Calculations!A77)</f>
        <v>14</v>
      </c>
      <c r="H77" s="2">
        <f>SUMIF(deals_closed!D:D,Calculations!A77,deals_closed!C:C)</f>
        <v>414266</v>
      </c>
      <c r="I77" s="2">
        <f>VLOOKUP(E77,'2018_commission_structure'!$A$11:$I$14,9,FALSE)</f>
        <v>500000</v>
      </c>
      <c r="J77" s="2">
        <f t="shared" si="9"/>
        <v>625000</v>
      </c>
      <c r="K77" s="2">
        <f t="shared" si="10"/>
        <v>750000</v>
      </c>
      <c r="L77" s="2">
        <f t="shared" si="11"/>
        <v>1000000</v>
      </c>
      <c r="M77" s="6">
        <f t="shared" si="12"/>
        <v>0.82853200000000005</v>
      </c>
      <c r="N77" t="str">
        <f t="shared" si="13"/>
        <v>0-100%</v>
      </c>
      <c r="O77" s="7">
        <f>MIN(I77,H77)*INDEX('2018_commission_structure'!$A$11:$I$14,MATCH(Calculations!$E77,'2018_commission_structure'!$A$11:$A$14,0),MATCH(Calculations!O$1,'2018_commission_structure'!$A$11:$I$11,0))</f>
        <v>41426.600000000006</v>
      </c>
      <c r="P77" s="7">
        <f>IF($H77&gt;I77,MIN($H77-I77,J77-I77)*INDEX('2018_commission_structure'!$A$11:$I$14,MATCH(Calculations!$E77,'2018_commission_structure'!$A$11:$A$14,0), MATCH(Calculations!P$1,'2018_commission_structure'!$A$11:$I$11,0)),0)</f>
        <v>0</v>
      </c>
      <c r="Q77" s="7">
        <f>IF($H77&gt;J77,MIN($H77-J77,K77-J77)*INDEX('2018_commission_structure'!$A$11:$I$14,MATCH(Calculations!$E77,'2018_commission_structure'!$A$11:$A$14,0), MATCH(Calculations!Q$1,'2018_commission_structure'!$A$11:$I$11,0)),0)</f>
        <v>0</v>
      </c>
      <c r="R77" s="7">
        <f>IF($H77&gt;K77,MIN($H77-K77,L77-K77)*INDEX('2018_commission_structure'!$A$11:$I$14,MATCH(Calculations!$E77,'2018_commission_structure'!$A$11:$A$14,0), MATCH(Calculations!R$1,'2018_commission_structure'!$A$11:$I$11,0)),0)</f>
        <v>0</v>
      </c>
      <c r="S77" s="7">
        <f>IF(H77&gt;L77,(H77-L77)*INDEX('2018_commission_structure'!$A$11:$I$14,MATCH(Calculations!$E77,'2018_commission_structure'!$A$11:$A$14,0),MATCH(Calculations!S$1,'2018_commission_structure'!$A$11:$I$11,0)),0)</f>
        <v>0</v>
      </c>
      <c r="T77" s="7">
        <f t="shared" si="14"/>
        <v>41426.600000000006</v>
      </c>
      <c r="U77" s="7">
        <f t="shared" si="15"/>
        <v>99237.6</v>
      </c>
      <c r="V77" s="7">
        <f>MIN(H77,I77)*INDEX('2018_commission_structure'!$A$5:$J$8,MATCH(Calculations!$E77,'2018_commission_structure'!$A$5:$A$8,0),MATCH(Calculations!V$1,'2018_commission_structure'!$A$5:$J$5,0))</f>
        <v>49711.92</v>
      </c>
      <c r="W77" s="2">
        <f>IF($H77&gt;I77,MIN($H77-I77,J77-I77)*INDEX('2018_commission_structure'!$A$5:$J$8,MATCH(Calculations!$E77,'2018_commission_structure'!$A$5:$A$8,0),MATCH(Calculations!W$1,'2018_commission_structure'!$A$5:$J$5,0)),0)</f>
        <v>0</v>
      </c>
      <c r="X77" s="2">
        <f>IF($H77&gt;J77,MIN($H77-J77,K77-J77)*INDEX('2018_commission_structure'!$A$5:$J$8,MATCH(Calculations!$E77,'2018_commission_structure'!$A$5:$A$8,0),MATCH(Calculations!X$1,'2018_commission_structure'!$A$5:$J$5,0)),0)</f>
        <v>0</v>
      </c>
      <c r="Y77" s="2">
        <f>IF($H77&gt;K77,MIN($H77-K77,L77-K77)*INDEX('2018_commission_structure'!$A$5:$J$8,MATCH(Calculations!$E77,'2018_commission_structure'!$A$5:$A$8,0),MATCH(Calculations!Y$1,'2018_commission_structure'!$A$5:$J$5,0)),0)</f>
        <v>0</v>
      </c>
      <c r="Z77" s="2">
        <f xml:space="preserve"> IF(H77&gt;L77,(H77-L77)*INDEX('2018_commission_structure'!$A$11:$I$14,MATCH(Calculations!$E77,'2018_commission_structure'!$A$11:$A$14,0),MATCH(Calculations!Z$1,'2018_commission_structure'!$A$11:$I$11,0)),0)</f>
        <v>0</v>
      </c>
      <c r="AA77" s="7">
        <f t="shared" si="16"/>
        <v>49711.92</v>
      </c>
      <c r="AB77" s="7">
        <f t="shared" si="17"/>
        <v>107522.92</v>
      </c>
    </row>
    <row r="78" spans="1:28" x14ac:dyDescent="0.25">
      <c r="A78">
        <v>3219601650</v>
      </c>
      <c r="B78" t="s">
        <v>143</v>
      </c>
      <c r="C78" t="s">
        <v>144</v>
      </c>
      <c r="D78" t="str">
        <f>B78&amp;" "&amp;C78</f>
        <v>Culley Bernardotti</v>
      </c>
      <c r="E78" t="s">
        <v>29</v>
      </c>
      <c r="F78">
        <v>55807</v>
      </c>
      <c r="G78">
        <f>COUNTIF(deals_closed!D:D,Calculations!A78)</f>
        <v>28</v>
      </c>
      <c r="H78" s="2">
        <f>SUMIF(deals_closed!D:D,Calculations!A78,deals_closed!C:C)</f>
        <v>1006770</v>
      </c>
      <c r="I78" s="2">
        <f>VLOOKUP(E78,'2018_commission_structure'!$A$11:$I$14,9,FALSE)</f>
        <v>600000</v>
      </c>
      <c r="J78" s="2">
        <f t="shared" si="9"/>
        <v>750000</v>
      </c>
      <c r="K78" s="2">
        <f t="shared" si="10"/>
        <v>900000</v>
      </c>
      <c r="L78" s="2">
        <f t="shared" si="11"/>
        <v>1200000</v>
      </c>
      <c r="M78" s="6">
        <f t="shared" si="12"/>
        <v>1.6779500000000001</v>
      </c>
      <c r="N78" t="str">
        <f t="shared" si="13"/>
        <v>150-200%</v>
      </c>
      <c r="O78" s="7">
        <f>MIN(I78,H78)*INDEX('2018_commission_structure'!$A$11:$I$14,MATCH(Calculations!$E78,'2018_commission_structure'!$A$11:$A$14,0),MATCH(Calculations!O$1,'2018_commission_structure'!$A$11:$I$11,0))</f>
        <v>78000</v>
      </c>
      <c r="P78" s="7">
        <f>IF($H78&gt;I78,MIN($H78-I78,J78-I78)*INDEX('2018_commission_structure'!$A$11:$I$14,MATCH(Calculations!$E78,'2018_commission_structure'!$A$11:$A$14,0), MATCH(Calculations!P$1,'2018_commission_structure'!$A$11:$I$11,0)),0)</f>
        <v>25500.000000000004</v>
      </c>
      <c r="Q78" s="7">
        <f>IF($H78&gt;J78,MIN($H78-J78,K78-J78)*INDEX('2018_commission_structure'!$A$11:$I$14,MATCH(Calculations!$E78,'2018_commission_structure'!$A$11:$A$14,0), MATCH(Calculations!Q$1,'2018_commission_structure'!$A$11:$I$11,0)),0)</f>
        <v>31500</v>
      </c>
      <c r="R78" s="7">
        <f>IF($H78&gt;K78,MIN($H78-K78,L78-K78)*INDEX('2018_commission_structure'!$A$11:$I$14,MATCH(Calculations!$E78,'2018_commission_structure'!$A$11:$A$14,0), MATCH(Calculations!R$1,'2018_commission_structure'!$A$11:$I$11,0)),0)</f>
        <v>27760.2</v>
      </c>
      <c r="S78" s="7">
        <f>IF(H78&gt;L78,(H78-L78)*INDEX('2018_commission_structure'!$A$11:$I$14,MATCH(Calculations!$E78,'2018_commission_structure'!$A$11:$A$14,0),MATCH(Calculations!S$1,'2018_commission_structure'!$A$11:$I$11,0)),0)</f>
        <v>0</v>
      </c>
      <c r="T78" s="7">
        <f t="shared" si="14"/>
        <v>162760.20000000001</v>
      </c>
      <c r="U78" s="7">
        <f t="shared" si="15"/>
        <v>218567.2</v>
      </c>
      <c r="V78" s="7">
        <f>MIN(H78,I78)*INDEX('2018_commission_structure'!$A$5:$J$8,MATCH(Calculations!$E78,'2018_commission_structure'!$A$5:$A$8,0),MATCH(Calculations!V$1,'2018_commission_structure'!$A$5:$J$5,0))</f>
        <v>90000</v>
      </c>
      <c r="W78" s="2">
        <f>IF($H78&gt;I78,MIN($H78-I78,J78-I78)*INDEX('2018_commission_structure'!$A$5:$J$8,MATCH(Calculations!$E78,'2018_commission_structure'!$A$5:$A$8,0),MATCH(Calculations!W$1,'2018_commission_structure'!$A$5:$J$5,0)),0)</f>
        <v>27000</v>
      </c>
      <c r="X78" s="2">
        <f>IF($H78&gt;J78,MIN($H78-J78,K78-J78)*INDEX('2018_commission_structure'!$A$5:$J$8,MATCH(Calculations!$E78,'2018_commission_structure'!$A$5:$A$8,0),MATCH(Calculations!X$1,'2018_commission_structure'!$A$5:$J$5,0)),0)</f>
        <v>37500</v>
      </c>
      <c r="Y78" s="2">
        <f>IF($H78&gt;K78,MIN($H78-K78,L78-K78)*INDEX('2018_commission_structure'!$A$5:$J$8,MATCH(Calculations!$E78,'2018_commission_structure'!$A$5:$A$8,0),MATCH(Calculations!Y$1,'2018_commission_structure'!$A$5:$J$5,0)),0)</f>
        <v>32031</v>
      </c>
      <c r="Z78" s="2">
        <f xml:space="preserve"> IF(H78&gt;L78,(H78-L78)*INDEX('2018_commission_structure'!$A$11:$I$14,MATCH(Calculations!$E78,'2018_commission_structure'!$A$11:$A$14,0),MATCH(Calculations!Z$1,'2018_commission_structure'!$A$11:$I$11,0)),0)</f>
        <v>0</v>
      </c>
      <c r="AA78" s="7">
        <f t="shared" si="16"/>
        <v>186531</v>
      </c>
      <c r="AB78" s="7">
        <f t="shared" si="17"/>
        <v>242338</v>
      </c>
    </row>
    <row r="79" spans="1:28" x14ac:dyDescent="0.25">
      <c r="A79">
        <v>3933021111</v>
      </c>
      <c r="B79" t="s">
        <v>1827</v>
      </c>
      <c r="C79" t="s">
        <v>1828</v>
      </c>
      <c r="D79" t="str">
        <f>B79&amp;" "&amp;C79</f>
        <v>Susi Berndsen</v>
      </c>
      <c r="E79" t="s">
        <v>10</v>
      </c>
      <c r="F79">
        <v>119316</v>
      </c>
      <c r="G79">
        <f>COUNTIF(deals_closed!D:D,Calculations!A79)</f>
        <v>23</v>
      </c>
      <c r="H79" s="2">
        <f>SUMIF(deals_closed!D:D,Calculations!A79,deals_closed!C:C)</f>
        <v>801961</v>
      </c>
      <c r="I79" s="2">
        <f>VLOOKUP(E79,'2018_commission_structure'!$A$11:$I$14,9,FALSE)</f>
        <v>750000</v>
      </c>
      <c r="J79" s="2">
        <f t="shared" si="9"/>
        <v>937500</v>
      </c>
      <c r="K79" s="2">
        <f t="shared" si="10"/>
        <v>1125000</v>
      </c>
      <c r="L79" s="2">
        <f t="shared" si="11"/>
        <v>1500000</v>
      </c>
      <c r="M79" s="6">
        <f t="shared" si="12"/>
        <v>1.0692813333333333</v>
      </c>
      <c r="N79" t="str">
        <f t="shared" si="13"/>
        <v>100-125%</v>
      </c>
      <c r="O79" s="7">
        <f>MIN(I79,H79)*INDEX('2018_commission_structure'!$A$11:$I$14,MATCH(Calculations!$E79,'2018_commission_structure'!$A$11:$A$14,0),MATCH(Calculations!O$1,'2018_commission_structure'!$A$11:$I$11,0))</f>
        <v>112500</v>
      </c>
      <c r="P79" s="7">
        <f>IF($H79&gt;I79,MIN($H79-I79,J79-I79)*INDEX('2018_commission_structure'!$A$11:$I$14,MATCH(Calculations!$E79,'2018_commission_structure'!$A$11:$A$14,0), MATCH(Calculations!P$1,'2018_commission_structure'!$A$11:$I$11,0)),0)</f>
        <v>9872.59</v>
      </c>
      <c r="Q79" s="7">
        <f>IF($H79&gt;J79,MIN($H79-J79,K79-J79)*INDEX('2018_commission_structure'!$A$11:$I$14,MATCH(Calculations!$E79,'2018_commission_structure'!$A$11:$A$14,0), MATCH(Calculations!Q$1,'2018_commission_structure'!$A$11:$I$11,0)),0)</f>
        <v>0</v>
      </c>
      <c r="R79" s="7">
        <f>IF($H79&gt;K79,MIN($H79-K79,L79-K79)*INDEX('2018_commission_structure'!$A$11:$I$14,MATCH(Calculations!$E79,'2018_commission_structure'!$A$11:$A$14,0), MATCH(Calculations!R$1,'2018_commission_structure'!$A$11:$I$11,0)),0)</f>
        <v>0</v>
      </c>
      <c r="S79" s="7">
        <f>IF(H79&gt;L79,(H79-L79)*INDEX('2018_commission_structure'!$A$11:$I$14,MATCH(Calculations!$E79,'2018_commission_structure'!$A$11:$A$14,0),MATCH(Calculations!S$1,'2018_commission_structure'!$A$11:$I$11,0)),0)</f>
        <v>0</v>
      </c>
      <c r="T79" s="7">
        <f t="shared" si="14"/>
        <v>122372.59</v>
      </c>
      <c r="U79" s="7">
        <f t="shared" si="15"/>
        <v>241688.59</v>
      </c>
      <c r="V79" s="7">
        <f>MIN(H79,I79)*INDEX('2018_commission_structure'!$A$5:$J$8,MATCH(Calculations!$E79,'2018_commission_structure'!$A$5:$A$8,0),MATCH(Calculations!V$1,'2018_commission_structure'!$A$5:$J$5,0))</f>
        <v>112500</v>
      </c>
      <c r="W79" s="2">
        <f>IF($H79&gt;I79,MIN($H79-I79,J79-I79)*INDEX('2018_commission_structure'!$A$5:$J$8,MATCH(Calculations!$E79,'2018_commission_structure'!$A$5:$A$8,0),MATCH(Calculations!W$1,'2018_commission_structure'!$A$5:$J$5,0)),0)</f>
        <v>11431.42</v>
      </c>
      <c r="X79" s="2">
        <f>IF($H79&gt;J79,MIN($H79-J79,K79-J79)*INDEX('2018_commission_structure'!$A$5:$J$8,MATCH(Calculations!$E79,'2018_commission_structure'!$A$5:$A$8,0),MATCH(Calculations!X$1,'2018_commission_structure'!$A$5:$J$5,0)),0)</f>
        <v>0</v>
      </c>
      <c r="Y79" s="2">
        <f>IF($H79&gt;K79,MIN($H79-K79,L79-K79)*INDEX('2018_commission_structure'!$A$5:$J$8,MATCH(Calculations!$E79,'2018_commission_structure'!$A$5:$A$8,0),MATCH(Calculations!Y$1,'2018_commission_structure'!$A$5:$J$5,0)),0)</f>
        <v>0</v>
      </c>
      <c r="Z79" s="2">
        <f xml:space="preserve"> IF(H79&gt;L79,(H79-L79)*INDEX('2018_commission_structure'!$A$11:$I$14,MATCH(Calculations!$E79,'2018_commission_structure'!$A$11:$A$14,0),MATCH(Calculations!Z$1,'2018_commission_structure'!$A$11:$I$11,0)),0)</f>
        <v>0</v>
      </c>
      <c r="AA79" s="7">
        <f t="shared" si="16"/>
        <v>123931.42</v>
      </c>
      <c r="AB79" s="7">
        <f t="shared" si="17"/>
        <v>243247.41999999998</v>
      </c>
    </row>
    <row r="80" spans="1:28" x14ac:dyDescent="0.25">
      <c r="A80">
        <v>2748937082</v>
      </c>
      <c r="B80" t="s">
        <v>836</v>
      </c>
      <c r="C80" t="s">
        <v>837</v>
      </c>
      <c r="D80" t="str">
        <f>B80&amp;" "&amp;C80</f>
        <v>Albertine Berntssen</v>
      </c>
      <c r="E80" t="s">
        <v>10</v>
      </c>
      <c r="F80">
        <v>106511</v>
      </c>
      <c r="G80">
        <f>COUNTIF(deals_closed!D:D,Calculations!A80)</f>
        <v>20</v>
      </c>
      <c r="H80" s="2">
        <f>SUMIF(deals_closed!D:D,Calculations!A80,deals_closed!C:C)</f>
        <v>668998</v>
      </c>
      <c r="I80" s="2">
        <f>VLOOKUP(E80,'2018_commission_structure'!$A$11:$I$14,9,FALSE)</f>
        <v>750000</v>
      </c>
      <c r="J80" s="2">
        <f t="shared" si="9"/>
        <v>937500</v>
      </c>
      <c r="K80" s="2">
        <f t="shared" si="10"/>
        <v>1125000</v>
      </c>
      <c r="L80" s="2">
        <f t="shared" si="11"/>
        <v>1500000</v>
      </c>
      <c r="M80" s="6">
        <f t="shared" si="12"/>
        <v>0.89199733333333331</v>
      </c>
      <c r="N80" t="str">
        <f t="shared" si="13"/>
        <v>0-100%</v>
      </c>
      <c r="O80" s="7">
        <f>MIN(I80,H80)*INDEX('2018_commission_structure'!$A$11:$I$14,MATCH(Calculations!$E80,'2018_commission_structure'!$A$11:$A$14,0),MATCH(Calculations!O$1,'2018_commission_structure'!$A$11:$I$11,0))</f>
        <v>100349.7</v>
      </c>
      <c r="P80" s="7">
        <f>IF($H80&gt;I80,MIN($H80-I80,J80-I80)*INDEX('2018_commission_structure'!$A$11:$I$14,MATCH(Calculations!$E80,'2018_commission_structure'!$A$11:$A$14,0), MATCH(Calculations!P$1,'2018_commission_structure'!$A$11:$I$11,0)),0)</f>
        <v>0</v>
      </c>
      <c r="Q80" s="7">
        <f>IF($H80&gt;J80,MIN($H80-J80,K80-J80)*INDEX('2018_commission_structure'!$A$11:$I$14,MATCH(Calculations!$E80,'2018_commission_structure'!$A$11:$A$14,0), MATCH(Calculations!Q$1,'2018_commission_structure'!$A$11:$I$11,0)),0)</f>
        <v>0</v>
      </c>
      <c r="R80" s="7">
        <f>IF($H80&gt;K80,MIN($H80-K80,L80-K80)*INDEX('2018_commission_structure'!$A$11:$I$14,MATCH(Calculations!$E80,'2018_commission_structure'!$A$11:$A$14,0), MATCH(Calculations!R$1,'2018_commission_structure'!$A$11:$I$11,0)),0)</f>
        <v>0</v>
      </c>
      <c r="S80" s="7">
        <f>IF(H80&gt;L80,(H80-L80)*INDEX('2018_commission_structure'!$A$11:$I$14,MATCH(Calculations!$E80,'2018_commission_structure'!$A$11:$A$14,0),MATCH(Calculations!S$1,'2018_commission_structure'!$A$11:$I$11,0)),0)</f>
        <v>0</v>
      </c>
      <c r="T80" s="7">
        <f t="shared" si="14"/>
        <v>100349.7</v>
      </c>
      <c r="U80" s="7">
        <f t="shared" si="15"/>
        <v>206860.7</v>
      </c>
      <c r="V80" s="7">
        <f>MIN(H80,I80)*INDEX('2018_commission_structure'!$A$5:$J$8,MATCH(Calculations!$E80,'2018_commission_structure'!$A$5:$A$8,0),MATCH(Calculations!V$1,'2018_commission_structure'!$A$5:$J$5,0))</f>
        <v>100349.7</v>
      </c>
      <c r="W80" s="2">
        <f>IF($H80&gt;I80,MIN($H80-I80,J80-I80)*INDEX('2018_commission_structure'!$A$5:$J$8,MATCH(Calculations!$E80,'2018_commission_structure'!$A$5:$A$8,0),MATCH(Calculations!W$1,'2018_commission_structure'!$A$5:$J$5,0)),0)</f>
        <v>0</v>
      </c>
      <c r="X80" s="2">
        <f>IF($H80&gt;J80,MIN($H80-J80,K80-J80)*INDEX('2018_commission_structure'!$A$5:$J$8,MATCH(Calculations!$E80,'2018_commission_structure'!$A$5:$A$8,0),MATCH(Calculations!X$1,'2018_commission_structure'!$A$5:$J$5,0)),0)</f>
        <v>0</v>
      </c>
      <c r="Y80" s="2">
        <f>IF($H80&gt;K80,MIN($H80-K80,L80-K80)*INDEX('2018_commission_structure'!$A$5:$J$8,MATCH(Calculations!$E80,'2018_commission_structure'!$A$5:$A$8,0),MATCH(Calculations!Y$1,'2018_commission_structure'!$A$5:$J$5,0)),0)</f>
        <v>0</v>
      </c>
      <c r="Z80" s="2">
        <f xml:space="preserve"> IF(H80&gt;L80,(H80-L80)*INDEX('2018_commission_structure'!$A$11:$I$14,MATCH(Calculations!$E80,'2018_commission_structure'!$A$11:$A$14,0),MATCH(Calculations!Z$1,'2018_commission_structure'!$A$11:$I$11,0)),0)</f>
        <v>0</v>
      </c>
      <c r="AA80" s="7">
        <f t="shared" si="16"/>
        <v>100349.7</v>
      </c>
      <c r="AB80" s="7">
        <f t="shared" si="17"/>
        <v>206860.7</v>
      </c>
    </row>
    <row r="81" spans="1:28" x14ac:dyDescent="0.25">
      <c r="A81">
        <v>4185019157</v>
      </c>
      <c r="B81" t="s">
        <v>175</v>
      </c>
      <c r="C81" t="s">
        <v>176</v>
      </c>
      <c r="D81" t="str">
        <f>B81&amp;" "&amp;C81</f>
        <v>Loree Bertelet</v>
      </c>
      <c r="E81" t="s">
        <v>7</v>
      </c>
      <c r="F81">
        <v>52111</v>
      </c>
      <c r="G81">
        <f>COUNTIF(deals_closed!D:D,Calculations!A81)</f>
        <v>26</v>
      </c>
      <c r="H81" s="2">
        <f>SUMIF(deals_closed!D:D,Calculations!A81,deals_closed!C:C)</f>
        <v>1001970</v>
      </c>
      <c r="I81" s="2">
        <f>VLOOKUP(E81,'2018_commission_structure'!$A$11:$I$14,9,FALSE)</f>
        <v>500000</v>
      </c>
      <c r="J81" s="2">
        <f t="shared" si="9"/>
        <v>625000</v>
      </c>
      <c r="K81" s="2">
        <f t="shared" si="10"/>
        <v>750000</v>
      </c>
      <c r="L81" s="2">
        <f t="shared" si="11"/>
        <v>1000000</v>
      </c>
      <c r="M81" s="6">
        <f t="shared" si="12"/>
        <v>2.0039400000000001</v>
      </c>
      <c r="N81" t="str">
        <f t="shared" si="13"/>
        <v>&gt;200%</v>
      </c>
      <c r="O81" s="7">
        <f>MIN(I81,H81)*INDEX('2018_commission_structure'!$A$11:$I$14,MATCH(Calculations!$E81,'2018_commission_structure'!$A$11:$A$14,0),MATCH(Calculations!O$1,'2018_commission_structure'!$A$11:$I$11,0))</f>
        <v>50000</v>
      </c>
      <c r="P81" s="7">
        <f>IF($H81&gt;I81,MIN($H81-I81,J81-I81)*INDEX('2018_commission_structure'!$A$11:$I$14,MATCH(Calculations!$E81,'2018_commission_structure'!$A$11:$A$14,0), MATCH(Calculations!P$1,'2018_commission_structure'!$A$11:$I$11,0)),0)</f>
        <v>18750</v>
      </c>
      <c r="Q81" s="7">
        <f>IF($H81&gt;J81,MIN($H81-J81,K81-J81)*INDEX('2018_commission_structure'!$A$11:$I$14,MATCH(Calculations!$E81,'2018_commission_structure'!$A$11:$A$14,0), MATCH(Calculations!Q$1,'2018_commission_structure'!$A$11:$I$11,0)),0)</f>
        <v>22500</v>
      </c>
      <c r="R81" s="7">
        <f>IF($H81&gt;K81,MIN($H81-K81,L81-K81)*INDEX('2018_commission_structure'!$A$11:$I$14,MATCH(Calculations!$E81,'2018_commission_structure'!$A$11:$A$14,0), MATCH(Calculations!R$1,'2018_commission_structure'!$A$11:$I$11,0)),0)</f>
        <v>55000</v>
      </c>
      <c r="S81" s="7">
        <f>IF(H81&gt;L81,(H81-L81)*INDEX('2018_commission_structure'!$A$11:$I$14,MATCH(Calculations!$E81,'2018_commission_structure'!$A$11:$A$14,0),MATCH(Calculations!S$1,'2018_commission_structure'!$A$11:$I$11,0)),0)</f>
        <v>197</v>
      </c>
      <c r="T81" s="7">
        <f t="shared" si="14"/>
        <v>146447</v>
      </c>
      <c r="U81" s="7">
        <f t="shared" si="15"/>
        <v>198558</v>
      </c>
      <c r="V81" s="7">
        <f>MIN(H81,I81)*INDEX('2018_commission_structure'!$A$5:$J$8,MATCH(Calculations!$E81,'2018_commission_structure'!$A$5:$A$8,0),MATCH(Calculations!V$1,'2018_commission_structure'!$A$5:$J$5,0))</f>
        <v>60000</v>
      </c>
      <c r="W81" s="2">
        <f>IF($H81&gt;I81,MIN($H81-I81,J81-I81)*INDEX('2018_commission_structure'!$A$5:$J$8,MATCH(Calculations!$E81,'2018_commission_structure'!$A$5:$A$8,0),MATCH(Calculations!W$1,'2018_commission_structure'!$A$5:$J$5,0)),0)</f>
        <v>21250</v>
      </c>
      <c r="X81" s="2">
        <f>IF($H81&gt;J81,MIN($H81-J81,K81-J81)*INDEX('2018_commission_structure'!$A$5:$J$8,MATCH(Calculations!$E81,'2018_commission_structure'!$A$5:$A$8,0),MATCH(Calculations!X$1,'2018_commission_structure'!$A$5:$J$5,0)),0)</f>
        <v>25000</v>
      </c>
      <c r="Y81" s="2">
        <f>IF($H81&gt;K81,MIN($H81-K81,L81-K81)*INDEX('2018_commission_structure'!$A$5:$J$8,MATCH(Calculations!$E81,'2018_commission_structure'!$A$5:$A$8,0),MATCH(Calculations!Y$1,'2018_commission_structure'!$A$5:$J$5,0)),0)</f>
        <v>55000</v>
      </c>
      <c r="Z81" s="2">
        <f xml:space="preserve"> IF(H81&gt;L81,(H81-L81)*INDEX('2018_commission_structure'!$A$11:$I$14,MATCH(Calculations!$E81,'2018_commission_structure'!$A$11:$A$14,0),MATCH(Calculations!Z$1,'2018_commission_structure'!$A$11:$I$11,0)),0)</f>
        <v>197</v>
      </c>
      <c r="AA81" s="7">
        <f t="shared" si="16"/>
        <v>161447</v>
      </c>
      <c r="AB81" s="7">
        <f t="shared" si="17"/>
        <v>213558</v>
      </c>
    </row>
    <row r="82" spans="1:28" x14ac:dyDescent="0.25">
      <c r="A82">
        <v>5623896162</v>
      </c>
      <c r="B82" t="s">
        <v>440</v>
      </c>
      <c r="C82" t="s">
        <v>441</v>
      </c>
      <c r="D82" t="str">
        <f>B82&amp;" "&amp;C82</f>
        <v>Eulalie Bianco</v>
      </c>
      <c r="E82" t="s">
        <v>29</v>
      </c>
      <c r="F82">
        <v>74626</v>
      </c>
      <c r="G82">
        <f>COUNTIF(deals_closed!D:D,Calculations!A82)</f>
        <v>17</v>
      </c>
      <c r="H82" s="2">
        <f>SUMIF(deals_closed!D:D,Calculations!A82,deals_closed!C:C)</f>
        <v>456453</v>
      </c>
      <c r="I82" s="2">
        <f>VLOOKUP(E82,'2018_commission_structure'!$A$11:$I$14,9,FALSE)</f>
        <v>600000</v>
      </c>
      <c r="J82" s="2">
        <f t="shared" si="9"/>
        <v>750000</v>
      </c>
      <c r="K82" s="2">
        <f t="shared" si="10"/>
        <v>900000</v>
      </c>
      <c r="L82" s="2">
        <f t="shared" si="11"/>
        <v>1200000</v>
      </c>
      <c r="M82" s="6">
        <f t="shared" si="12"/>
        <v>0.76075499999999996</v>
      </c>
      <c r="N82" t="str">
        <f t="shared" si="13"/>
        <v>0-100%</v>
      </c>
      <c r="O82" s="7">
        <f>MIN(I82,H82)*INDEX('2018_commission_structure'!$A$11:$I$14,MATCH(Calculations!$E82,'2018_commission_structure'!$A$11:$A$14,0),MATCH(Calculations!O$1,'2018_commission_structure'!$A$11:$I$11,0))</f>
        <v>59338.89</v>
      </c>
      <c r="P82" s="7">
        <f>IF($H82&gt;I82,MIN($H82-I82,J82-I82)*INDEX('2018_commission_structure'!$A$11:$I$14,MATCH(Calculations!$E82,'2018_commission_structure'!$A$11:$A$14,0), MATCH(Calculations!P$1,'2018_commission_structure'!$A$11:$I$11,0)),0)</f>
        <v>0</v>
      </c>
      <c r="Q82" s="7">
        <f>IF($H82&gt;J82,MIN($H82-J82,K82-J82)*INDEX('2018_commission_structure'!$A$11:$I$14,MATCH(Calculations!$E82,'2018_commission_structure'!$A$11:$A$14,0), MATCH(Calculations!Q$1,'2018_commission_structure'!$A$11:$I$11,0)),0)</f>
        <v>0</v>
      </c>
      <c r="R82" s="7">
        <f>IF($H82&gt;K82,MIN($H82-K82,L82-K82)*INDEX('2018_commission_structure'!$A$11:$I$14,MATCH(Calculations!$E82,'2018_commission_structure'!$A$11:$A$14,0), MATCH(Calculations!R$1,'2018_commission_structure'!$A$11:$I$11,0)),0)</f>
        <v>0</v>
      </c>
      <c r="S82" s="7">
        <f>IF(H82&gt;L82,(H82-L82)*INDEX('2018_commission_structure'!$A$11:$I$14,MATCH(Calculations!$E82,'2018_commission_structure'!$A$11:$A$14,0),MATCH(Calculations!S$1,'2018_commission_structure'!$A$11:$I$11,0)),0)</f>
        <v>0</v>
      </c>
      <c r="T82" s="7">
        <f t="shared" si="14"/>
        <v>59338.89</v>
      </c>
      <c r="U82" s="7">
        <f t="shared" si="15"/>
        <v>133964.89000000001</v>
      </c>
      <c r="V82" s="7">
        <f>MIN(H82,I82)*INDEX('2018_commission_structure'!$A$5:$J$8,MATCH(Calculations!$E82,'2018_commission_structure'!$A$5:$A$8,0),MATCH(Calculations!V$1,'2018_commission_structure'!$A$5:$J$5,0))</f>
        <v>68467.95</v>
      </c>
      <c r="W82" s="2">
        <f>IF($H82&gt;I82,MIN($H82-I82,J82-I82)*INDEX('2018_commission_structure'!$A$5:$J$8,MATCH(Calculations!$E82,'2018_commission_structure'!$A$5:$A$8,0),MATCH(Calculations!W$1,'2018_commission_structure'!$A$5:$J$5,0)),0)</f>
        <v>0</v>
      </c>
      <c r="X82" s="2">
        <f>IF($H82&gt;J82,MIN($H82-J82,K82-J82)*INDEX('2018_commission_structure'!$A$5:$J$8,MATCH(Calculations!$E82,'2018_commission_structure'!$A$5:$A$8,0),MATCH(Calculations!X$1,'2018_commission_structure'!$A$5:$J$5,0)),0)</f>
        <v>0</v>
      </c>
      <c r="Y82" s="2">
        <f>IF($H82&gt;K82,MIN($H82-K82,L82-K82)*INDEX('2018_commission_structure'!$A$5:$J$8,MATCH(Calculations!$E82,'2018_commission_structure'!$A$5:$A$8,0),MATCH(Calculations!Y$1,'2018_commission_structure'!$A$5:$J$5,0)),0)</f>
        <v>0</v>
      </c>
      <c r="Z82" s="2">
        <f xml:space="preserve"> IF(H82&gt;L82,(H82-L82)*INDEX('2018_commission_structure'!$A$11:$I$14,MATCH(Calculations!$E82,'2018_commission_structure'!$A$11:$A$14,0),MATCH(Calculations!Z$1,'2018_commission_structure'!$A$11:$I$11,0)),0)</f>
        <v>0</v>
      </c>
      <c r="AA82" s="7">
        <f t="shared" si="16"/>
        <v>68467.95</v>
      </c>
      <c r="AB82" s="7">
        <f t="shared" si="17"/>
        <v>143093.95000000001</v>
      </c>
    </row>
    <row r="83" spans="1:28" x14ac:dyDescent="0.25">
      <c r="A83">
        <v>6820956614</v>
      </c>
      <c r="B83" t="s">
        <v>1833</v>
      </c>
      <c r="C83" t="s">
        <v>1834</v>
      </c>
      <c r="D83" t="str">
        <f>B83&amp;" "&amp;C83</f>
        <v>Gina Biggadyke</v>
      </c>
      <c r="E83" t="s">
        <v>29</v>
      </c>
      <c r="F83">
        <v>65490</v>
      </c>
      <c r="G83">
        <f>COUNTIF(deals_closed!D:D,Calculations!A83)</f>
        <v>15</v>
      </c>
      <c r="H83" s="2">
        <f>SUMIF(deals_closed!D:D,Calculations!A83,deals_closed!C:C)</f>
        <v>534301</v>
      </c>
      <c r="I83" s="2">
        <f>VLOOKUP(E83,'2018_commission_structure'!$A$11:$I$14,9,FALSE)</f>
        <v>600000</v>
      </c>
      <c r="J83" s="2">
        <f t="shared" si="9"/>
        <v>750000</v>
      </c>
      <c r="K83" s="2">
        <f t="shared" si="10"/>
        <v>900000</v>
      </c>
      <c r="L83" s="2">
        <f t="shared" si="11"/>
        <v>1200000</v>
      </c>
      <c r="M83" s="6">
        <f t="shared" si="12"/>
        <v>0.89050166666666664</v>
      </c>
      <c r="N83" t="str">
        <f t="shared" si="13"/>
        <v>0-100%</v>
      </c>
      <c r="O83" s="7">
        <f>MIN(I83,H83)*INDEX('2018_commission_structure'!$A$11:$I$14,MATCH(Calculations!$E83,'2018_commission_structure'!$A$11:$A$14,0),MATCH(Calculations!O$1,'2018_commission_structure'!$A$11:$I$11,0))</f>
        <v>69459.13</v>
      </c>
      <c r="P83" s="7">
        <f>IF($H83&gt;I83,MIN($H83-I83,J83-I83)*INDEX('2018_commission_structure'!$A$11:$I$14,MATCH(Calculations!$E83,'2018_commission_structure'!$A$11:$A$14,0), MATCH(Calculations!P$1,'2018_commission_structure'!$A$11:$I$11,0)),0)</f>
        <v>0</v>
      </c>
      <c r="Q83" s="7">
        <f>IF($H83&gt;J83,MIN($H83-J83,K83-J83)*INDEX('2018_commission_structure'!$A$11:$I$14,MATCH(Calculations!$E83,'2018_commission_structure'!$A$11:$A$14,0), MATCH(Calculations!Q$1,'2018_commission_structure'!$A$11:$I$11,0)),0)</f>
        <v>0</v>
      </c>
      <c r="R83" s="7">
        <f>IF($H83&gt;K83,MIN($H83-K83,L83-K83)*INDEX('2018_commission_structure'!$A$11:$I$14,MATCH(Calculations!$E83,'2018_commission_structure'!$A$11:$A$14,0), MATCH(Calculations!R$1,'2018_commission_structure'!$A$11:$I$11,0)),0)</f>
        <v>0</v>
      </c>
      <c r="S83" s="7">
        <f>IF(H83&gt;L83,(H83-L83)*INDEX('2018_commission_structure'!$A$11:$I$14,MATCH(Calculations!$E83,'2018_commission_structure'!$A$11:$A$14,0),MATCH(Calculations!S$1,'2018_commission_structure'!$A$11:$I$11,0)),0)</f>
        <v>0</v>
      </c>
      <c r="T83" s="7">
        <f t="shared" si="14"/>
        <v>69459.13</v>
      </c>
      <c r="U83" s="7">
        <f t="shared" si="15"/>
        <v>134949.13</v>
      </c>
      <c r="V83" s="7">
        <f>MIN(H83,I83)*INDEX('2018_commission_structure'!$A$5:$J$8,MATCH(Calculations!$E83,'2018_commission_structure'!$A$5:$A$8,0),MATCH(Calculations!V$1,'2018_commission_structure'!$A$5:$J$5,0))</f>
        <v>80145.149999999994</v>
      </c>
      <c r="W83" s="2">
        <f>IF($H83&gt;I83,MIN($H83-I83,J83-I83)*INDEX('2018_commission_structure'!$A$5:$J$8,MATCH(Calculations!$E83,'2018_commission_structure'!$A$5:$A$8,0),MATCH(Calculations!W$1,'2018_commission_structure'!$A$5:$J$5,0)),0)</f>
        <v>0</v>
      </c>
      <c r="X83" s="2">
        <f>IF($H83&gt;J83,MIN($H83-J83,K83-J83)*INDEX('2018_commission_structure'!$A$5:$J$8,MATCH(Calculations!$E83,'2018_commission_structure'!$A$5:$A$8,0),MATCH(Calculations!X$1,'2018_commission_structure'!$A$5:$J$5,0)),0)</f>
        <v>0</v>
      </c>
      <c r="Y83" s="2">
        <f>IF($H83&gt;K83,MIN($H83-K83,L83-K83)*INDEX('2018_commission_structure'!$A$5:$J$8,MATCH(Calculations!$E83,'2018_commission_structure'!$A$5:$A$8,0),MATCH(Calculations!Y$1,'2018_commission_structure'!$A$5:$J$5,0)),0)</f>
        <v>0</v>
      </c>
      <c r="Z83" s="2">
        <f xml:space="preserve"> IF(H83&gt;L83,(H83-L83)*INDEX('2018_commission_structure'!$A$11:$I$14,MATCH(Calculations!$E83,'2018_commission_structure'!$A$11:$A$14,0),MATCH(Calculations!Z$1,'2018_commission_structure'!$A$11:$I$11,0)),0)</f>
        <v>0</v>
      </c>
      <c r="AA83" s="7">
        <f t="shared" si="16"/>
        <v>80145.149999999994</v>
      </c>
      <c r="AB83" s="7">
        <f t="shared" si="17"/>
        <v>145635.15</v>
      </c>
    </row>
    <row r="84" spans="1:28" x14ac:dyDescent="0.25">
      <c r="A84">
        <v>6227038881</v>
      </c>
      <c r="B84" t="s">
        <v>1613</v>
      </c>
      <c r="C84" t="s">
        <v>1614</v>
      </c>
      <c r="D84" t="str">
        <f>B84&amp;" "&amp;C84</f>
        <v>Rudd Bigland</v>
      </c>
      <c r="E84" t="s">
        <v>10</v>
      </c>
      <c r="F84">
        <v>124085</v>
      </c>
      <c r="G84">
        <f>COUNTIF(deals_closed!D:D,Calculations!A84)</f>
        <v>24</v>
      </c>
      <c r="H84" s="2">
        <f>SUMIF(deals_closed!D:D,Calculations!A84,deals_closed!C:C)</f>
        <v>751155</v>
      </c>
      <c r="I84" s="2">
        <f>VLOOKUP(E84,'2018_commission_structure'!$A$11:$I$14,9,FALSE)</f>
        <v>750000</v>
      </c>
      <c r="J84" s="2">
        <f t="shared" si="9"/>
        <v>937500</v>
      </c>
      <c r="K84" s="2">
        <f t="shared" si="10"/>
        <v>1125000</v>
      </c>
      <c r="L84" s="2">
        <f t="shared" si="11"/>
        <v>1500000</v>
      </c>
      <c r="M84" s="6">
        <f t="shared" si="12"/>
        <v>1.0015400000000001</v>
      </c>
      <c r="N84" t="str">
        <f t="shared" si="13"/>
        <v>100-125%</v>
      </c>
      <c r="O84" s="7">
        <f>MIN(I84,H84)*INDEX('2018_commission_structure'!$A$11:$I$14,MATCH(Calculations!$E84,'2018_commission_structure'!$A$11:$A$14,0),MATCH(Calculations!O$1,'2018_commission_structure'!$A$11:$I$11,0))</f>
        <v>112500</v>
      </c>
      <c r="P84" s="7">
        <f>IF($H84&gt;I84,MIN($H84-I84,J84-I84)*INDEX('2018_commission_structure'!$A$11:$I$14,MATCH(Calculations!$E84,'2018_commission_structure'!$A$11:$A$14,0), MATCH(Calculations!P$1,'2018_commission_structure'!$A$11:$I$11,0)),0)</f>
        <v>219.45</v>
      </c>
      <c r="Q84" s="7">
        <f>IF($H84&gt;J84,MIN($H84-J84,K84-J84)*INDEX('2018_commission_structure'!$A$11:$I$14,MATCH(Calculations!$E84,'2018_commission_structure'!$A$11:$A$14,0), MATCH(Calculations!Q$1,'2018_commission_structure'!$A$11:$I$11,0)),0)</f>
        <v>0</v>
      </c>
      <c r="R84" s="7">
        <f>IF($H84&gt;K84,MIN($H84-K84,L84-K84)*INDEX('2018_commission_structure'!$A$11:$I$14,MATCH(Calculations!$E84,'2018_commission_structure'!$A$11:$A$14,0), MATCH(Calculations!R$1,'2018_commission_structure'!$A$11:$I$11,0)),0)</f>
        <v>0</v>
      </c>
      <c r="S84" s="7">
        <f>IF(H84&gt;L84,(H84-L84)*INDEX('2018_commission_structure'!$A$11:$I$14,MATCH(Calculations!$E84,'2018_commission_structure'!$A$11:$A$14,0),MATCH(Calculations!S$1,'2018_commission_structure'!$A$11:$I$11,0)),0)</f>
        <v>0</v>
      </c>
      <c r="T84" s="7">
        <f t="shared" si="14"/>
        <v>112719.45</v>
      </c>
      <c r="U84" s="7">
        <f t="shared" si="15"/>
        <v>236804.45</v>
      </c>
      <c r="V84" s="7">
        <f>MIN(H84,I84)*INDEX('2018_commission_structure'!$A$5:$J$8,MATCH(Calculations!$E84,'2018_commission_structure'!$A$5:$A$8,0),MATCH(Calculations!V$1,'2018_commission_structure'!$A$5:$J$5,0))</f>
        <v>112500</v>
      </c>
      <c r="W84" s="2">
        <f>IF($H84&gt;I84,MIN($H84-I84,J84-I84)*INDEX('2018_commission_structure'!$A$5:$J$8,MATCH(Calculations!$E84,'2018_commission_structure'!$A$5:$A$8,0),MATCH(Calculations!W$1,'2018_commission_structure'!$A$5:$J$5,0)),0)</f>
        <v>254.1</v>
      </c>
      <c r="X84" s="2">
        <f>IF($H84&gt;J84,MIN($H84-J84,K84-J84)*INDEX('2018_commission_structure'!$A$5:$J$8,MATCH(Calculations!$E84,'2018_commission_structure'!$A$5:$A$8,0),MATCH(Calculations!X$1,'2018_commission_structure'!$A$5:$J$5,0)),0)</f>
        <v>0</v>
      </c>
      <c r="Y84" s="2">
        <f>IF($H84&gt;K84,MIN($H84-K84,L84-K84)*INDEX('2018_commission_structure'!$A$5:$J$8,MATCH(Calculations!$E84,'2018_commission_structure'!$A$5:$A$8,0),MATCH(Calculations!Y$1,'2018_commission_structure'!$A$5:$J$5,0)),0)</f>
        <v>0</v>
      </c>
      <c r="Z84" s="2">
        <f xml:space="preserve"> IF(H84&gt;L84,(H84-L84)*INDEX('2018_commission_structure'!$A$11:$I$14,MATCH(Calculations!$E84,'2018_commission_structure'!$A$11:$A$14,0),MATCH(Calculations!Z$1,'2018_commission_structure'!$A$11:$I$11,0)),0)</f>
        <v>0</v>
      </c>
      <c r="AA84" s="7">
        <f t="shared" si="16"/>
        <v>112754.1</v>
      </c>
      <c r="AB84" s="7">
        <f t="shared" si="17"/>
        <v>236839.1</v>
      </c>
    </row>
    <row r="85" spans="1:28" x14ac:dyDescent="0.25">
      <c r="A85">
        <v>965285472</v>
      </c>
      <c r="B85" t="s">
        <v>864</v>
      </c>
      <c r="C85" t="s">
        <v>865</v>
      </c>
      <c r="D85" t="str">
        <f>B85&amp;" "&amp;C85</f>
        <v>Stephannie Birt</v>
      </c>
      <c r="E85" t="s">
        <v>10</v>
      </c>
      <c r="F85">
        <v>90828</v>
      </c>
      <c r="G85">
        <f>COUNTIF(deals_closed!D:D,Calculations!A85)</f>
        <v>23</v>
      </c>
      <c r="H85" s="2">
        <f>SUMIF(deals_closed!D:D,Calculations!A85,deals_closed!C:C)</f>
        <v>806073</v>
      </c>
      <c r="I85" s="2">
        <f>VLOOKUP(E85,'2018_commission_structure'!$A$11:$I$14,9,FALSE)</f>
        <v>750000</v>
      </c>
      <c r="J85" s="2">
        <f t="shared" si="9"/>
        <v>937500</v>
      </c>
      <c r="K85" s="2">
        <f t="shared" si="10"/>
        <v>1125000</v>
      </c>
      <c r="L85" s="2">
        <f t="shared" si="11"/>
        <v>1500000</v>
      </c>
      <c r="M85" s="6">
        <f t="shared" si="12"/>
        <v>1.0747640000000001</v>
      </c>
      <c r="N85" t="str">
        <f t="shared" si="13"/>
        <v>100-125%</v>
      </c>
      <c r="O85" s="7">
        <f>MIN(I85,H85)*INDEX('2018_commission_structure'!$A$11:$I$14,MATCH(Calculations!$E85,'2018_commission_structure'!$A$11:$A$14,0),MATCH(Calculations!O$1,'2018_commission_structure'!$A$11:$I$11,0))</f>
        <v>112500</v>
      </c>
      <c r="P85" s="7">
        <f>IF($H85&gt;I85,MIN($H85-I85,J85-I85)*INDEX('2018_commission_structure'!$A$11:$I$14,MATCH(Calculations!$E85,'2018_commission_structure'!$A$11:$A$14,0), MATCH(Calculations!P$1,'2018_commission_structure'!$A$11:$I$11,0)),0)</f>
        <v>10653.87</v>
      </c>
      <c r="Q85" s="7">
        <f>IF($H85&gt;J85,MIN($H85-J85,K85-J85)*INDEX('2018_commission_structure'!$A$11:$I$14,MATCH(Calculations!$E85,'2018_commission_structure'!$A$11:$A$14,0), MATCH(Calculations!Q$1,'2018_commission_structure'!$A$11:$I$11,0)),0)</f>
        <v>0</v>
      </c>
      <c r="R85" s="7">
        <f>IF($H85&gt;K85,MIN($H85-K85,L85-K85)*INDEX('2018_commission_structure'!$A$11:$I$14,MATCH(Calculations!$E85,'2018_commission_structure'!$A$11:$A$14,0), MATCH(Calculations!R$1,'2018_commission_structure'!$A$11:$I$11,0)),0)</f>
        <v>0</v>
      </c>
      <c r="S85" s="7">
        <f>IF(H85&gt;L85,(H85-L85)*INDEX('2018_commission_structure'!$A$11:$I$14,MATCH(Calculations!$E85,'2018_commission_structure'!$A$11:$A$14,0),MATCH(Calculations!S$1,'2018_commission_structure'!$A$11:$I$11,0)),0)</f>
        <v>0</v>
      </c>
      <c r="T85" s="7">
        <f t="shared" si="14"/>
        <v>123153.87</v>
      </c>
      <c r="U85" s="7">
        <f t="shared" si="15"/>
        <v>213981.87</v>
      </c>
      <c r="V85" s="7">
        <f>MIN(H85,I85)*INDEX('2018_commission_structure'!$A$5:$J$8,MATCH(Calculations!$E85,'2018_commission_structure'!$A$5:$A$8,0),MATCH(Calculations!V$1,'2018_commission_structure'!$A$5:$J$5,0))</f>
        <v>112500</v>
      </c>
      <c r="W85" s="2">
        <f>IF($H85&gt;I85,MIN($H85-I85,J85-I85)*INDEX('2018_commission_structure'!$A$5:$J$8,MATCH(Calculations!$E85,'2018_commission_structure'!$A$5:$A$8,0),MATCH(Calculations!W$1,'2018_commission_structure'!$A$5:$J$5,0)),0)</f>
        <v>12336.06</v>
      </c>
      <c r="X85" s="2">
        <f>IF($H85&gt;J85,MIN($H85-J85,K85-J85)*INDEX('2018_commission_structure'!$A$5:$J$8,MATCH(Calculations!$E85,'2018_commission_structure'!$A$5:$A$8,0),MATCH(Calculations!X$1,'2018_commission_structure'!$A$5:$J$5,0)),0)</f>
        <v>0</v>
      </c>
      <c r="Y85" s="2">
        <f>IF($H85&gt;K85,MIN($H85-K85,L85-K85)*INDEX('2018_commission_structure'!$A$5:$J$8,MATCH(Calculations!$E85,'2018_commission_structure'!$A$5:$A$8,0),MATCH(Calculations!Y$1,'2018_commission_structure'!$A$5:$J$5,0)),0)</f>
        <v>0</v>
      </c>
      <c r="Z85" s="2">
        <f xml:space="preserve"> IF(H85&gt;L85,(H85-L85)*INDEX('2018_commission_structure'!$A$11:$I$14,MATCH(Calculations!$E85,'2018_commission_structure'!$A$11:$A$14,0),MATCH(Calculations!Z$1,'2018_commission_structure'!$A$11:$I$11,0)),0)</f>
        <v>0</v>
      </c>
      <c r="AA85" s="7">
        <f t="shared" si="16"/>
        <v>124836.06</v>
      </c>
      <c r="AB85" s="7">
        <f t="shared" si="17"/>
        <v>215664.06</v>
      </c>
    </row>
    <row r="86" spans="1:28" x14ac:dyDescent="0.25">
      <c r="A86">
        <v>4815280800</v>
      </c>
      <c r="B86" t="s">
        <v>222</v>
      </c>
      <c r="C86" t="s">
        <v>1170</v>
      </c>
      <c r="D86" t="str">
        <f>B86&amp;" "&amp;C86</f>
        <v>Emanuele Blackden</v>
      </c>
      <c r="E86" t="s">
        <v>7</v>
      </c>
      <c r="F86">
        <v>38701</v>
      </c>
      <c r="G86">
        <f>COUNTIF(deals_closed!D:D,Calculations!A86)</f>
        <v>18</v>
      </c>
      <c r="H86" s="2">
        <f>SUMIF(deals_closed!D:D,Calculations!A86,deals_closed!C:C)</f>
        <v>589906</v>
      </c>
      <c r="I86" s="2">
        <f>VLOOKUP(E86,'2018_commission_structure'!$A$11:$I$14,9,FALSE)</f>
        <v>500000</v>
      </c>
      <c r="J86" s="2">
        <f t="shared" si="9"/>
        <v>625000</v>
      </c>
      <c r="K86" s="2">
        <f t="shared" si="10"/>
        <v>750000</v>
      </c>
      <c r="L86" s="2">
        <f t="shared" si="11"/>
        <v>1000000</v>
      </c>
      <c r="M86" s="6">
        <f t="shared" si="12"/>
        <v>1.1798120000000001</v>
      </c>
      <c r="N86" t="str">
        <f t="shared" si="13"/>
        <v>100-125%</v>
      </c>
      <c r="O86" s="7">
        <f>MIN(I86,H86)*INDEX('2018_commission_structure'!$A$11:$I$14,MATCH(Calculations!$E86,'2018_commission_structure'!$A$11:$A$14,0),MATCH(Calculations!O$1,'2018_commission_structure'!$A$11:$I$11,0))</f>
        <v>50000</v>
      </c>
      <c r="P86" s="7">
        <f>IF($H86&gt;I86,MIN($H86-I86,J86-I86)*INDEX('2018_commission_structure'!$A$11:$I$14,MATCH(Calculations!$E86,'2018_commission_structure'!$A$11:$A$14,0), MATCH(Calculations!P$1,'2018_commission_structure'!$A$11:$I$11,0)),0)</f>
        <v>13485.9</v>
      </c>
      <c r="Q86" s="7">
        <f>IF($H86&gt;J86,MIN($H86-J86,K86-J86)*INDEX('2018_commission_structure'!$A$11:$I$14,MATCH(Calculations!$E86,'2018_commission_structure'!$A$11:$A$14,0), MATCH(Calculations!Q$1,'2018_commission_structure'!$A$11:$I$11,0)),0)</f>
        <v>0</v>
      </c>
      <c r="R86" s="7">
        <f>IF($H86&gt;K86,MIN($H86-K86,L86-K86)*INDEX('2018_commission_structure'!$A$11:$I$14,MATCH(Calculations!$E86,'2018_commission_structure'!$A$11:$A$14,0), MATCH(Calculations!R$1,'2018_commission_structure'!$A$11:$I$11,0)),0)</f>
        <v>0</v>
      </c>
      <c r="S86" s="7">
        <f>IF(H86&gt;L86,(H86-L86)*INDEX('2018_commission_structure'!$A$11:$I$14,MATCH(Calculations!$E86,'2018_commission_structure'!$A$11:$A$14,0),MATCH(Calculations!S$1,'2018_commission_structure'!$A$11:$I$11,0)),0)</f>
        <v>0</v>
      </c>
      <c r="T86" s="7">
        <f t="shared" si="14"/>
        <v>63485.9</v>
      </c>
      <c r="U86" s="7">
        <f t="shared" si="15"/>
        <v>102186.9</v>
      </c>
      <c r="V86" s="7">
        <f>MIN(H86,I86)*INDEX('2018_commission_structure'!$A$5:$J$8,MATCH(Calculations!$E86,'2018_commission_structure'!$A$5:$A$8,0),MATCH(Calculations!V$1,'2018_commission_structure'!$A$5:$J$5,0))</f>
        <v>60000</v>
      </c>
      <c r="W86" s="2">
        <f>IF($H86&gt;I86,MIN($H86-I86,J86-I86)*INDEX('2018_commission_structure'!$A$5:$J$8,MATCH(Calculations!$E86,'2018_commission_structure'!$A$5:$A$8,0),MATCH(Calculations!W$1,'2018_commission_structure'!$A$5:$J$5,0)),0)</f>
        <v>15284.02</v>
      </c>
      <c r="X86" s="2">
        <f>IF($H86&gt;J86,MIN($H86-J86,K86-J86)*INDEX('2018_commission_structure'!$A$5:$J$8,MATCH(Calculations!$E86,'2018_commission_structure'!$A$5:$A$8,0),MATCH(Calculations!X$1,'2018_commission_structure'!$A$5:$J$5,0)),0)</f>
        <v>0</v>
      </c>
      <c r="Y86" s="2">
        <f>IF($H86&gt;K86,MIN($H86-K86,L86-K86)*INDEX('2018_commission_structure'!$A$5:$J$8,MATCH(Calculations!$E86,'2018_commission_structure'!$A$5:$A$8,0),MATCH(Calculations!Y$1,'2018_commission_structure'!$A$5:$J$5,0)),0)</f>
        <v>0</v>
      </c>
      <c r="Z86" s="2">
        <f xml:space="preserve"> IF(H86&gt;L86,(H86-L86)*INDEX('2018_commission_structure'!$A$11:$I$14,MATCH(Calculations!$E86,'2018_commission_structure'!$A$11:$A$14,0),MATCH(Calculations!Z$1,'2018_commission_structure'!$A$11:$I$11,0)),0)</f>
        <v>0</v>
      </c>
      <c r="AA86" s="7">
        <f t="shared" si="16"/>
        <v>75284.02</v>
      </c>
      <c r="AB86" s="7">
        <f t="shared" si="17"/>
        <v>113985.02</v>
      </c>
    </row>
    <row r="87" spans="1:28" x14ac:dyDescent="0.25">
      <c r="A87">
        <v>7140803102</v>
      </c>
      <c r="B87" t="s">
        <v>866</v>
      </c>
      <c r="C87" t="s">
        <v>867</v>
      </c>
      <c r="D87" t="str">
        <f>B87&amp;" "&amp;C87</f>
        <v>Kippy Blaver</v>
      </c>
      <c r="E87" t="s">
        <v>7</v>
      </c>
      <c r="F87">
        <v>33901</v>
      </c>
      <c r="G87">
        <f>COUNTIF(deals_closed!D:D,Calculations!A87)</f>
        <v>16</v>
      </c>
      <c r="H87" s="2">
        <f>SUMIF(deals_closed!D:D,Calculations!A87,deals_closed!C:C)</f>
        <v>501329</v>
      </c>
      <c r="I87" s="2">
        <f>VLOOKUP(E87,'2018_commission_structure'!$A$11:$I$14,9,FALSE)</f>
        <v>500000</v>
      </c>
      <c r="J87" s="2">
        <f t="shared" si="9"/>
        <v>625000</v>
      </c>
      <c r="K87" s="2">
        <f t="shared" si="10"/>
        <v>750000</v>
      </c>
      <c r="L87" s="2">
        <f t="shared" si="11"/>
        <v>1000000</v>
      </c>
      <c r="M87" s="6">
        <f t="shared" si="12"/>
        <v>1.002658</v>
      </c>
      <c r="N87" t="str">
        <f t="shared" si="13"/>
        <v>100-125%</v>
      </c>
      <c r="O87" s="7">
        <f>MIN(I87,H87)*INDEX('2018_commission_structure'!$A$11:$I$14,MATCH(Calculations!$E87,'2018_commission_structure'!$A$11:$A$14,0),MATCH(Calculations!O$1,'2018_commission_structure'!$A$11:$I$11,0))</f>
        <v>50000</v>
      </c>
      <c r="P87" s="7">
        <f>IF($H87&gt;I87,MIN($H87-I87,J87-I87)*INDEX('2018_commission_structure'!$A$11:$I$14,MATCH(Calculations!$E87,'2018_commission_structure'!$A$11:$A$14,0), MATCH(Calculations!P$1,'2018_commission_structure'!$A$11:$I$11,0)),0)</f>
        <v>199.35</v>
      </c>
      <c r="Q87" s="7">
        <f>IF($H87&gt;J87,MIN($H87-J87,K87-J87)*INDEX('2018_commission_structure'!$A$11:$I$14,MATCH(Calculations!$E87,'2018_commission_structure'!$A$11:$A$14,0), MATCH(Calculations!Q$1,'2018_commission_structure'!$A$11:$I$11,0)),0)</f>
        <v>0</v>
      </c>
      <c r="R87" s="7">
        <f>IF($H87&gt;K87,MIN($H87-K87,L87-K87)*INDEX('2018_commission_structure'!$A$11:$I$14,MATCH(Calculations!$E87,'2018_commission_structure'!$A$11:$A$14,0), MATCH(Calculations!R$1,'2018_commission_structure'!$A$11:$I$11,0)),0)</f>
        <v>0</v>
      </c>
      <c r="S87" s="7">
        <f>IF(H87&gt;L87,(H87-L87)*INDEX('2018_commission_structure'!$A$11:$I$14,MATCH(Calculations!$E87,'2018_commission_structure'!$A$11:$A$14,0),MATCH(Calculations!S$1,'2018_commission_structure'!$A$11:$I$11,0)),0)</f>
        <v>0</v>
      </c>
      <c r="T87" s="7">
        <f t="shared" si="14"/>
        <v>50199.35</v>
      </c>
      <c r="U87" s="7">
        <f t="shared" si="15"/>
        <v>84100.35</v>
      </c>
      <c r="V87" s="7">
        <f>MIN(H87,I87)*INDEX('2018_commission_structure'!$A$5:$J$8,MATCH(Calculations!$E87,'2018_commission_structure'!$A$5:$A$8,0),MATCH(Calculations!V$1,'2018_commission_structure'!$A$5:$J$5,0))</f>
        <v>60000</v>
      </c>
      <c r="W87" s="2">
        <f>IF($H87&gt;I87,MIN($H87-I87,J87-I87)*INDEX('2018_commission_structure'!$A$5:$J$8,MATCH(Calculations!$E87,'2018_commission_structure'!$A$5:$A$8,0),MATCH(Calculations!W$1,'2018_commission_structure'!$A$5:$J$5,0)),0)</f>
        <v>225.93</v>
      </c>
      <c r="X87" s="2">
        <f>IF($H87&gt;J87,MIN($H87-J87,K87-J87)*INDEX('2018_commission_structure'!$A$5:$J$8,MATCH(Calculations!$E87,'2018_commission_structure'!$A$5:$A$8,0),MATCH(Calculations!X$1,'2018_commission_structure'!$A$5:$J$5,0)),0)</f>
        <v>0</v>
      </c>
      <c r="Y87" s="2">
        <f>IF($H87&gt;K87,MIN($H87-K87,L87-K87)*INDEX('2018_commission_structure'!$A$5:$J$8,MATCH(Calculations!$E87,'2018_commission_structure'!$A$5:$A$8,0),MATCH(Calculations!Y$1,'2018_commission_structure'!$A$5:$J$5,0)),0)</f>
        <v>0</v>
      </c>
      <c r="Z87" s="2">
        <f xml:space="preserve"> IF(H87&gt;L87,(H87-L87)*INDEX('2018_commission_structure'!$A$11:$I$14,MATCH(Calculations!$E87,'2018_commission_structure'!$A$11:$A$14,0),MATCH(Calculations!Z$1,'2018_commission_structure'!$A$11:$I$11,0)),0)</f>
        <v>0</v>
      </c>
      <c r="AA87" s="7">
        <f t="shared" si="16"/>
        <v>60225.93</v>
      </c>
      <c r="AB87" s="7">
        <f t="shared" si="17"/>
        <v>94126.93</v>
      </c>
    </row>
    <row r="88" spans="1:28" x14ac:dyDescent="0.25">
      <c r="A88">
        <v>87033755</v>
      </c>
      <c r="B88" t="s">
        <v>714</v>
      </c>
      <c r="C88" t="s">
        <v>715</v>
      </c>
      <c r="D88" t="str">
        <f>B88&amp;" "&amp;C88</f>
        <v>Vite Blethyn</v>
      </c>
      <c r="E88" t="s">
        <v>7</v>
      </c>
      <c r="F88">
        <v>51861</v>
      </c>
      <c r="G88">
        <f>COUNTIF(deals_closed!D:D,Calculations!A88)</f>
        <v>14</v>
      </c>
      <c r="H88" s="2">
        <f>SUMIF(deals_closed!D:D,Calculations!A88,deals_closed!C:C)</f>
        <v>475694</v>
      </c>
      <c r="I88" s="2">
        <f>VLOOKUP(E88,'2018_commission_structure'!$A$11:$I$14,9,FALSE)</f>
        <v>500000</v>
      </c>
      <c r="J88" s="2">
        <f t="shared" si="9"/>
        <v>625000</v>
      </c>
      <c r="K88" s="2">
        <f t="shared" si="10"/>
        <v>750000</v>
      </c>
      <c r="L88" s="2">
        <f t="shared" si="11"/>
        <v>1000000</v>
      </c>
      <c r="M88" s="6">
        <f t="shared" si="12"/>
        <v>0.95138800000000001</v>
      </c>
      <c r="N88" t="str">
        <f t="shared" si="13"/>
        <v>0-100%</v>
      </c>
      <c r="O88" s="7">
        <f>MIN(I88,H88)*INDEX('2018_commission_structure'!$A$11:$I$14,MATCH(Calculations!$E88,'2018_commission_structure'!$A$11:$A$14,0),MATCH(Calculations!O$1,'2018_commission_structure'!$A$11:$I$11,0))</f>
        <v>47569.4</v>
      </c>
      <c r="P88" s="7">
        <f>IF($H88&gt;I88,MIN($H88-I88,J88-I88)*INDEX('2018_commission_structure'!$A$11:$I$14,MATCH(Calculations!$E88,'2018_commission_structure'!$A$11:$A$14,0), MATCH(Calculations!P$1,'2018_commission_structure'!$A$11:$I$11,0)),0)</f>
        <v>0</v>
      </c>
      <c r="Q88" s="7">
        <f>IF($H88&gt;J88,MIN($H88-J88,K88-J88)*INDEX('2018_commission_structure'!$A$11:$I$14,MATCH(Calculations!$E88,'2018_commission_structure'!$A$11:$A$14,0), MATCH(Calculations!Q$1,'2018_commission_structure'!$A$11:$I$11,0)),0)</f>
        <v>0</v>
      </c>
      <c r="R88" s="7">
        <f>IF($H88&gt;K88,MIN($H88-K88,L88-K88)*INDEX('2018_commission_structure'!$A$11:$I$14,MATCH(Calculations!$E88,'2018_commission_structure'!$A$11:$A$14,0), MATCH(Calculations!R$1,'2018_commission_structure'!$A$11:$I$11,0)),0)</f>
        <v>0</v>
      </c>
      <c r="S88" s="7">
        <f>IF(H88&gt;L88,(H88-L88)*INDEX('2018_commission_structure'!$A$11:$I$14,MATCH(Calculations!$E88,'2018_commission_structure'!$A$11:$A$14,0),MATCH(Calculations!S$1,'2018_commission_structure'!$A$11:$I$11,0)),0)</f>
        <v>0</v>
      </c>
      <c r="T88" s="7">
        <f t="shared" si="14"/>
        <v>47569.4</v>
      </c>
      <c r="U88" s="7">
        <f t="shared" si="15"/>
        <v>99430.399999999994</v>
      </c>
      <c r="V88" s="7">
        <f>MIN(H88,I88)*INDEX('2018_commission_structure'!$A$5:$J$8,MATCH(Calculations!$E88,'2018_commission_structure'!$A$5:$A$8,0),MATCH(Calculations!V$1,'2018_commission_structure'!$A$5:$J$5,0))</f>
        <v>57083.28</v>
      </c>
      <c r="W88" s="2">
        <f>IF($H88&gt;I88,MIN($H88-I88,J88-I88)*INDEX('2018_commission_structure'!$A$5:$J$8,MATCH(Calculations!$E88,'2018_commission_structure'!$A$5:$A$8,0),MATCH(Calculations!W$1,'2018_commission_structure'!$A$5:$J$5,0)),0)</f>
        <v>0</v>
      </c>
      <c r="X88" s="2">
        <f>IF($H88&gt;J88,MIN($H88-J88,K88-J88)*INDEX('2018_commission_structure'!$A$5:$J$8,MATCH(Calculations!$E88,'2018_commission_structure'!$A$5:$A$8,0),MATCH(Calculations!X$1,'2018_commission_structure'!$A$5:$J$5,0)),0)</f>
        <v>0</v>
      </c>
      <c r="Y88" s="2">
        <f>IF($H88&gt;K88,MIN($H88-K88,L88-K88)*INDEX('2018_commission_structure'!$A$5:$J$8,MATCH(Calculations!$E88,'2018_commission_structure'!$A$5:$A$8,0),MATCH(Calculations!Y$1,'2018_commission_structure'!$A$5:$J$5,0)),0)</f>
        <v>0</v>
      </c>
      <c r="Z88" s="2">
        <f xml:space="preserve"> IF(H88&gt;L88,(H88-L88)*INDEX('2018_commission_structure'!$A$11:$I$14,MATCH(Calculations!$E88,'2018_commission_structure'!$A$11:$A$14,0),MATCH(Calculations!Z$1,'2018_commission_structure'!$A$11:$I$11,0)),0)</f>
        <v>0</v>
      </c>
      <c r="AA88" s="7">
        <f t="shared" si="16"/>
        <v>57083.28</v>
      </c>
      <c r="AB88" s="7">
        <f t="shared" si="17"/>
        <v>108944.28</v>
      </c>
    </row>
    <row r="89" spans="1:28" x14ac:dyDescent="0.25">
      <c r="A89">
        <v>7074056774</v>
      </c>
      <c r="B89" t="s">
        <v>74</v>
      </c>
      <c r="C89" t="s">
        <v>75</v>
      </c>
      <c r="D89" t="str">
        <f>B89&amp;" "&amp;C89</f>
        <v>Arlette Blinder</v>
      </c>
      <c r="E89" t="s">
        <v>10</v>
      </c>
      <c r="F89">
        <v>98182</v>
      </c>
      <c r="G89">
        <f>COUNTIF(deals_closed!D:D,Calculations!A89)</f>
        <v>15</v>
      </c>
      <c r="H89" s="2">
        <f>SUMIF(deals_closed!D:D,Calculations!A89,deals_closed!C:C)</f>
        <v>540083</v>
      </c>
      <c r="I89" s="2">
        <f>VLOOKUP(E89,'2018_commission_structure'!$A$11:$I$14,9,FALSE)</f>
        <v>750000</v>
      </c>
      <c r="J89" s="2">
        <f t="shared" si="9"/>
        <v>937500</v>
      </c>
      <c r="K89" s="2">
        <f t="shared" si="10"/>
        <v>1125000</v>
      </c>
      <c r="L89" s="2">
        <f t="shared" si="11"/>
        <v>1500000</v>
      </c>
      <c r="M89" s="6">
        <f t="shared" si="12"/>
        <v>0.72011066666666668</v>
      </c>
      <c r="N89" t="str">
        <f t="shared" si="13"/>
        <v>0-100%</v>
      </c>
      <c r="O89" s="7">
        <f>MIN(I89,H89)*INDEX('2018_commission_structure'!$A$11:$I$14,MATCH(Calculations!$E89,'2018_commission_structure'!$A$11:$A$14,0),MATCH(Calculations!O$1,'2018_commission_structure'!$A$11:$I$11,0))</f>
        <v>81012.45</v>
      </c>
      <c r="P89" s="7">
        <f>IF($H89&gt;I89,MIN($H89-I89,J89-I89)*INDEX('2018_commission_structure'!$A$11:$I$14,MATCH(Calculations!$E89,'2018_commission_structure'!$A$11:$A$14,0), MATCH(Calculations!P$1,'2018_commission_structure'!$A$11:$I$11,0)),0)</f>
        <v>0</v>
      </c>
      <c r="Q89" s="7">
        <f>IF($H89&gt;J89,MIN($H89-J89,K89-J89)*INDEX('2018_commission_structure'!$A$11:$I$14,MATCH(Calculations!$E89,'2018_commission_structure'!$A$11:$A$14,0), MATCH(Calculations!Q$1,'2018_commission_structure'!$A$11:$I$11,0)),0)</f>
        <v>0</v>
      </c>
      <c r="R89" s="7">
        <f>IF($H89&gt;K89,MIN($H89-K89,L89-K89)*INDEX('2018_commission_structure'!$A$11:$I$14,MATCH(Calculations!$E89,'2018_commission_structure'!$A$11:$A$14,0), MATCH(Calculations!R$1,'2018_commission_structure'!$A$11:$I$11,0)),0)</f>
        <v>0</v>
      </c>
      <c r="S89" s="7">
        <f>IF(H89&gt;L89,(H89-L89)*INDEX('2018_commission_structure'!$A$11:$I$14,MATCH(Calculations!$E89,'2018_commission_structure'!$A$11:$A$14,0),MATCH(Calculations!S$1,'2018_commission_structure'!$A$11:$I$11,0)),0)</f>
        <v>0</v>
      </c>
      <c r="T89" s="7">
        <f t="shared" si="14"/>
        <v>81012.45</v>
      </c>
      <c r="U89" s="7">
        <f t="shared" si="15"/>
        <v>179194.45</v>
      </c>
      <c r="V89" s="7">
        <f>MIN(H89,I89)*INDEX('2018_commission_structure'!$A$5:$J$8,MATCH(Calculations!$E89,'2018_commission_structure'!$A$5:$A$8,0),MATCH(Calculations!V$1,'2018_commission_structure'!$A$5:$J$5,0))</f>
        <v>81012.45</v>
      </c>
      <c r="W89" s="2">
        <f>IF($H89&gt;I89,MIN($H89-I89,J89-I89)*INDEX('2018_commission_structure'!$A$5:$J$8,MATCH(Calculations!$E89,'2018_commission_structure'!$A$5:$A$8,0),MATCH(Calculations!W$1,'2018_commission_structure'!$A$5:$J$5,0)),0)</f>
        <v>0</v>
      </c>
      <c r="X89" s="2">
        <f>IF($H89&gt;J89,MIN($H89-J89,K89-J89)*INDEX('2018_commission_structure'!$A$5:$J$8,MATCH(Calculations!$E89,'2018_commission_structure'!$A$5:$A$8,0),MATCH(Calculations!X$1,'2018_commission_structure'!$A$5:$J$5,0)),0)</f>
        <v>0</v>
      </c>
      <c r="Y89" s="2">
        <f>IF($H89&gt;K89,MIN($H89-K89,L89-K89)*INDEX('2018_commission_structure'!$A$5:$J$8,MATCH(Calculations!$E89,'2018_commission_structure'!$A$5:$A$8,0),MATCH(Calculations!Y$1,'2018_commission_structure'!$A$5:$J$5,0)),0)</f>
        <v>0</v>
      </c>
      <c r="Z89" s="2">
        <f xml:space="preserve"> IF(H89&gt;L89,(H89-L89)*INDEX('2018_commission_structure'!$A$11:$I$14,MATCH(Calculations!$E89,'2018_commission_structure'!$A$11:$A$14,0),MATCH(Calculations!Z$1,'2018_commission_structure'!$A$11:$I$11,0)),0)</f>
        <v>0</v>
      </c>
      <c r="AA89" s="7">
        <f t="shared" si="16"/>
        <v>81012.45</v>
      </c>
      <c r="AB89" s="7">
        <f t="shared" si="17"/>
        <v>179194.45</v>
      </c>
    </row>
    <row r="90" spans="1:28" x14ac:dyDescent="0.25">
      <c r="A90">
        <v>6106380341</v>
      </c>
      <c r="B90" t="s">
        <v>1874</v>
      </c>
      <c r="C90" t="s">
        <v>1875</v>
      </c>
      <c r="D90" t="str">
        <f>B90&amp;" "&amp;C90</f>
        <v>Bernelle Blint</v>
      </c>
      <c r="E90" t="s">
        <v>29</v>
      </c>
      <c r="F90">
        <v>57050</v>
      </c>
      <c r="G90">
        <f>COUNTIF(deals_closed!D:D,Calculations!A90)</f>
        <v>14</v>
      </c>
      <c r="H90" s="2">
        <f>SUMIF(deals_closed!D:D,Calculations!A90,deals_closed!C:C)</f>
        <v>412896</v>
      </c>
      <c r="I90" s="2">
        <f>VLOOKUP(E90,'2018_commission_structure'!$A$11:$I$14,9,FALSE)</f>
        <v>600000</v>
      </c>
      <c r="J90" s="2">
        <f t="shared" si="9"/>
        <v>750000</v>
      </c>
      <c r="K90" s="2">
        <f t="shared" si="10"/>
        <v>900000</v>
      </c>
      <c r="L90" s="2">
        <f t="shared" si="11"/>
        <v>1200000</v>
      </c>
      <c r="M90" s="6">
        <f t="shared" si="12"/>
        <v>0.68815999999999999</v>
      </c>
      <c r="N90" t="str">
        <f t="shared" si="13"/>
        <v>0-100%</v>
      </c>
      <c r="O90" s="7">
        <f>MIN(I90,H90)*INDEX('2018_commission_structure'!$A$11:$I$14,MATCH(Calculations!$E90,'2018_commission_structure'!$A$11:$A$14,0),MATCH(Calculations!O$1,'2018_commission_structure'!$A$11:$I$11,0))</f>
        <v>53676.480000000003</v>
      </c>
      <c r="P90" s="7">
        <f>IF($H90&gt;I90,MIN($H90-I90,J90-I90)*INDEX('2018_commission_structure'!$A$11:$I$14,MATCH(Calculations!$E90,'2018_commission_structure'!$A$11:$A$14,0), MATCH(Calculations!P$1,'2018_commission_structure'!$A$11:$I$11,0)),0)</f>
        <v>0</v>
      </c>
      <c r="Q90" s="7">
        <f>IF($H90&gt;J90,MIN($H90-J90,K90-J90)*INDEX('2018_commission_structure'!$A$11:$I$14,MATCH(Calculations!$E90,'2018_commission_structure'!$A$11:$A$14,0), MATCH(Calculations!Q$1,'2018_commission_structure'!$A$11:$I$11,0)),0)</f>
        <v>0</v>
      </c>
      <c r="R90" s="7">
        <f>IF($H90&gt;K90,MIN($H90-K90,L90-K90)*INDEX('2018_commission_structure'!$A$11:$I$14,MATCH(Calculations!$E90,'2018_commission_structure'!$A$11:$A$14,0), MATCH(Calculations!R$1,'2018_commission_structure'!$A$11:$I$11,0)),0)</f>
        <v>0</v>
      </c>
      <c r="S90" s="7">
        <f>IF(H90&gt;L90,(H90-L90)*INDEX('2018_commission_structure'!$A$11:$I$14,MATCH(Calculations!$E90,'2018_commission_structure'!$A$11:$A$14,0),MATCH(Calculations!S$1,'2018_commission_structure'!$A$11:$I$11,0)),0)</f>
        <v>0</v>
      </c>
      <c r="T90" s="7">
        <f t="shared" si="14"/>
        <v>53676.480000000003</v>
      </c>
      <c r="U90" s="7">
        <f t="shared" si="15"/>
        <v>110726.48000000001</v>
      </c>
      <c r="V90" s="7">
        <f>MIN(H90,I90)*INDEX('2018_commission_structure'!$A$5:$J$8,MATCH(Calculations!$E90,'2018_commission_structure'!$A$5:$A$8,0),MATCH(Calculations!V$1,'2018_commission_structure'!$A$5:$J$5,0))</f>
        <v>61934.399999999994</v>
      </c>
      <c r="W90" s="2">
        <f>IF($H90&gt;I90,MIN($H90-I90,J90-I90)*INDEX('2018_commission_structure'!$A$5:$J$8,MATCH(Calculations!$E90,'2018_commission_structure'!$A$5:$A$8,0),MATCH(Calculations!W$1,'2018_commission_structure'!$A$5:$J$5,0)),0)</f>
        <v>0</v>
      </c>
      <c r="X90" s="2">
        <f>IF($H90&gt;J90,MIN($H90-J90,K90-J90)*INDEX('2018_commission_structure'!$A$5:$J$8,MATCH(Calculations!$E90,'2018_commission_structure'!$A$5:$A$8,0),MATCH(Calculations!X$1,'2018_commission_structure'!$A$5:$J$5,0)),0)</f>
        <v>0</v>
      </c>
      <c r="Y90" s="2">
        <f>IF($H90&gt;K90,MIN($H90-K90,L90-K90)*INDEX('2018_commission_structure'!$A$5:$J$8,MATCH(Calculations!$E90,'2018_commission_structure'!$A$5:$A$8,0),MATCH(Calculations!Y$1,'2018_commission_structure'!$A$5:$J$5,0)),0)</f>
        <v>0</v>
      </c>
      <c r="Z90" s="2">
        <f xml:space="preserve"> IF(H90&gt;L90,(H90-L90)*INDEX('2018_commission_structure'!$A$11:$I$14,MATCH(Calculations!$E90,'2018_commission_structure'!$A$11:$A$14,0),MATCH(Calculations!Z$1,'2018_commission_structure'!$A$11:$I$11,0)),0)</f>
        <v>0</v>
      </c>
      <c r="AA90" s="7">
        <f t="shared" si="16"/>
        <v>61934.399999999994</v>
      </c>
      <c r="AB90" s="7">
        <f t="shared" si="17"/>
        <v>118984.4</v>
      </c>
    </row>
    <row r="91" spans="1:28" x14ac:dyDescent="0.25">
      <c r="A91">
        <v>116428384</v>
      </c>
      <c r="B91" t="s">
        <v>1502</v>
      </c>
      <c r="C91" t="s">
        <v>1503</v>
      </c>
      <c r="D91" t="str">
        <f>B91&amp;" "&amp;C91</f>
        <v>Leicester Blonden</v>
      </c>
      <c r="E91" t="s">
        <v>7</v>
      </c>
      <c r="F91">
        <v>49600</v>
      </c>
      <c r="G91">
        <f>COUNTIF(deals_closed!D:D,Calculations!A91)</f>
        <v>15</v>
      </c>
      <c r="H91" s="2">
        <f>SUMIF(deals_closed!D:D,Calculations!A91,deals_closed!C:C)</f>
        <v>552282</v>
      </c>
      <c r="I91" s="2">
        <f>VLOOKUP(E91,'2018_commission_structure'!$A$11:$I$14,9,FALSE)</f>
        <v>500000</v>
      </c>
      <c r="J91" s="2">
        <f t="shared" si="9"/>
        <v>625000</v>
      </c>
      <c r="K91" s="2">
        <f t="shared" si="10"/>
        <v>750000</v>
      </c>
      <c r="L91" s="2">
        <f t="shared" si="11"/>
        <v>1000000</v>
      </c>
      <c r="M91" s="6">
        <f t="shared" si="12"/>
        <v>1.1045640000000001</v>
      </c>
      <c r="N91" t="str">
        <f t="shared" si="13"/>
        <v>100-125%</v>
      </c>
      <c r="O91" s="7">
        <f>MIN(I91,H91)*INDEX('2018_commission_structure'!$A$11:$I$14,MATCH(Calculations!$E91,'2018_commission_structure'!$A$11:$A$14,0),MATCH(Calculations!O$1,'2018_commission_structure'!$A$11:$I$11,0))</f>
        <v>50000</v>
      </c>
      <c r="P91" s="7">
        <f>IF($H91&gt;I91,MIN($H91-I91,J91-I91)*INDEX('2018_commission_structure'!$A$11:$I$14,MATCH(Calculations!$E91,'2018_commission_structure'!$A$11:$A$14,0), MATCH(Calculations!P$1,'2018_commission_structure'!$A$11:$I$11,0)),0)</f>
        <v>7842.2999999999993</v>
      </c>
      <c r="Q91" s="7">
        <f>IF($H91&gt;J91,MIN($H91-J91,K91-J91)*INDEX('2018_commission_structure'!$A$11:$I$14,MATCH(Calculations!$E91,'2018_commission_structure'!$A$11:$A$14,0), MATCH(Calculations!Q$1,'2018_commission_structure'!$A$11:$I$11,0)),0)</f>
        <v>0</v>
      </c>
      <c r="R91" s="7">
        <f>IF($H91&gt;K91,MIN($H91-K91,L91-K91)*INDEX('2018_commission_structure'!$A$11:$I$14,MATCH(Calculations!$E91,'2018_commission_structure'!$A$11:$A$14,0), MATCH(Calculations!R$1,'2018_commission_structure'!$A$11:$I$11,0)),0)</f>
        <v>0</v>
      </c>
      <c r="S91" s="7">
        <f>IF(H91&gt;L91,(H91-L91)*INDEX('2018_commission_structure'!$A$11:$I$14,MATCH(Calculations!$E91,'2018_commission_structure'!$A$11:$A$14,0),MATCH(Calculations!S$1,'2018_commission_structure'!$A$11:$I$11,0)),0)</f>
        <v>0</v>
      </c>
      <c r="T91" s="7">
        <f t="shared" si="14"/>
        <v>57842.3</v>
      </c>
      <c r="U91" s="7">
        <f t="shared" si="15"/>
        <v>107442.3</v>
      </c>
      <c r="V91" s="7">
        <f>MIN(H91,I91)*INDEX('2018_commission_structure'!$A$5:$J$8,MATCH(Calculations!$E91,'2018_commission_structure'!$A$5:$A$8,0),MATCH(Calculations!V$1,'2018_commission_structure'!$A$5:$J$5,0))</f>
        <v>60000</v>
      </c>
      <c r="W91" s="2">
        <f>IF($H91&gt;I91,MIN($H91-I91,J91-I91)*INDEX('2018_commission_structure'!$A$5:$J$8,MATCH(Calculations!$E91,'2018_commission_structure'!$A$5:$A$8,0),MATCH(Calculations!W$1,'2018_commission_structure'!$A$5:$J$5,0)),0)</f>
        <v>8887.94</v>
      </c>
      <c r="X91" s="2">
        <f>IF($H91&gt;J91,MIN($H91-J91,K91-J91)*INDEX('2018_commission_structure'!$A$5:$J$8,MATCH(Calculations!$E91,'2018_commission_structure'!$A$5:$A$8,0),MATCH(Calculations!X$1,'2018_commission_structure'!$A$5:$J$5,0)),0)</f>
        <v>0</v>
      </c>
      <c r="Y91" s="2">
        <f>IF($H91&gt;K91,MIN($H91-K91,L91-K91)*INDEX('2018_commission_structure'!$A$5:$J$8,MATCH(Calculations!$E91,'2018_commission_structure'!$A$5:$A$8,0),MATCH(Calculations!Y$1,'2018_commission_structure'!$A$5:$J$5,0)),0)</f>
        <v>0</v>
      </c>
      <c r="Z91" s="2">
        <f xml:space="preserve"> IF(H91&gt;L91,(H91-L91)*INDEX('2018_commission_structure'!$A$11:$I$14,MATCH(Calculations!$E91,'2018_commission_structure'!$A$11:$A$14,0),MATCH(Calculations!Z$1,'2018_commission_structure'!$A$11:$I$11,0)),0)</f>
        <v>0</v>
      </c>
      <c r="AA91" s="7">
        <f t="shared" si="16"/>
        <v>68887.94</v>
      </c>
      <c r="AB91" s="7">
        <f t="shared" si="17"/>
        <v>118487.94</v>
      </c>
    </row>
    <row r="92" spans="1:28" x14ac:dyDescent="0.25">
      <c r="A92">
        <v>7489370671</v>
      </c>
      <c r="B92" t="s">
        <v>1767</v>
      </c>
      <c r="C92" t="s">
        <v>1768</v>
      </c>
      <c r="D92" t="str">
        <f>B92&amp;" "&amp;C92</f>
        <v>Esdras Blucher</v>
      </c>
      <c r="E92" t="s">
        <v>29</v>
      </c>
      <c r="F92">
        <v>70125</v>
      </c>
      <c r="G92">
        <f>COUNTIF(deals_closed!D:D,Calculations!A92)</f>
        <v>22</v>
      </c>
      <c r="H92" s="2">
        <f>SUMIF(deals_closed!D:D,Calculations!A92,deals_closed!C:C)</f>
        <v>747967</v>
      </c>
      <c r="I92" s="2">
        <f>VLOOKUP(E92,'2018_commission_structure'!$A$11:$I$14,9,FALSE)</f>
        <v>600000</v>
      </c>
      <c r="J92" s="2">
        <f t="shared" si="9"/>
        <v>750000</v>
      </c>
      <c r="K92" s="2">
        <f t="shared" si="10"/>
        <v>900000</v>
      </c>
      <c r="L92" s="2">
        <f t="shared" si="11"/>
        <v>1200000</v>
      </c>
      <c r="M92" s="6">
        <f t="shared" si="12"/>
        <v>1.2466116666666667</v>
      </c>
      <c r="N92" t="str">
        <f t="shared" si="13"/>
        <v>100-125%</v>
      </c>
      <c r="O92" s="7">
        <f>MIN(I92,H92)*INDEX('2018_commission_structure'!$A$11:$I$14,MATCH(Calculations!$E92,'2018_commission_structure'!$A$11:$A$14,0),MATCH(Calculations!O$1,'2018_commission_structure'!$A$11:$I$11,0))</f>
        <v>78000</v>
      </c>
      <c r="P92" s="7">
        <f>IF($H92&gt;I92,MIN($H92-I92,J92-I92)*INDEX('2018_commission_structure'!$A$11:$I$14,MATCH(Calculations!$E92,'2018_commission_structure'!$A$11:$A$14,0), MATCH(Calculations!P$1,'2018_commission_structure'!$A$11:$I$11,0)),0)</f>
        <v>25154.390000000003</v>
      </c>
      <c r="Q92" s="7">
        <f>IF($H92&gt;J92,MIN($H92-J92,K92-J92)*INDEX('2018_commission_structure'!$A$11:$I$14,MATCH(Calculations!$E92,'2018_commission_structure'!$A$11:$A$14,0), MATCH(Calculations!Q$1,'2018_commission_structure'!$A$11:$I$11,0)),0)</f>
        <v>0</v>
      </c>
      <c r="R92" s="7">
        <f>IF($H92&gt;K92,MIN($H92-K92,L92-K92)*INDEX('2018_commission_structure'!$A$11:$I$14,MATCH(Calculations!$E92,'2018_commission_structure'!$A$11:$A$14,0), MATCH(Calculations!R$1,'2018_commission_structure'!$A$11:$I$11,0)),0)</f>
        <v>0</v>
      </c>
      <c r="S92" s="7">
        <f>IF(H92&gt;L92,(H92-L92)*INDEX('2018_commission_structure'!$A$11:$I$14,MATCH(Calculations!$E92,'2018_commission_structure'!$A$11:$A$14,0),MATCH(Calculations!S$1,'2018_commission_structure'!$A$11:$I$11,0)),0)</f>
        <v>0</v>
      </c>
      <c r="T92" s="7">
        <f t="shared" si="14"/>
        <v>103154.39</v>
      </c>
      <c r="U92" s="7">
        <f t="shared" si="15"/>
        <v>173279.39</v>
      </c>
      <c r="V92" s="7">
        <f>MIN(H92,I92)*INDEX('2018_commission_structure'!$A$5:$J$8,MATCH(Calculations!$E92,'2018_commission_structure'!$A$5:$A$8,0),MATCH(Calculations!V$1,'2018_commission_structure'!$A$5:$J$5,0))</f>
        <v>90000</v>
      </c>
      <c r="W92" s="2">
        <f>IF($H92&gt;I92,MIN($H92-I92,J92-I92)*INDEX('2018_commission_structure'!$A$5:$J$8,MATCH(Calculations!$E92,'2018_commission_structure'!$A$5:$A$8,0),MATCH(Calculations!W$1,'2018_commission_structure'!$A$5:$J$5,0)),0)</f>
        <v>26634.059999999998</v>
      </c>
      <c r="X92" s="2">
        <f>IF($H92&gt;J92,MIN($H92-J92,K92-J92)*INDEX('2018_commission_structure'!$A$5:$J$8,MATCH(Calculations!$E92,'2018_commission_structure'!$A$5:$A$8,0),MATCH(Calculations!X$1,'2018_commission_structure'!$A$5:$J$5,0)),0)</f>
        <v>0</v>
      </c>
      <c r="Y92" s="2">
        <f>IF($H92&gt;K92,MIN($H92-K92,L92-K92)*INDEX('2018_commission_structure'!$A$5:$J$8,MATCH(Calculations!$E92,'2018_commission_structure'!$A$5:$A$8,0),MATCH(Calculations!Y$1,'2018_commission_structure'!$A$5:$J$5,0)),0)</f>
        <v>0</v>
      </c>
      <c r="Z92" s="2">
        <f xml:space="preserve"> IF(H92&gt;L92,(H92-L92)*INDEX('2018_commission_structure'!$A$11:$I$14,MATCH(Calculations!$E92,'2018_commission_structure'!$A$11:$A$14,0),MATCH(Calculations!Z$1,'2018_commission_structure'!$A$11:$I$11,0)),0)</f>
        <v>0</v>
      </c>
      <c r="AA92" s="7">
        <f t="shared" si="16"/>
        <v>116634.06</v>
      </c>
      <c r="AB92" s="7">
        <f t="shared" si="17"/>
        <v>186759.06</v>
      </c>
    </row>
    <row r="93" spans="1:28" x14ac:dyDescent="0.25">
      <c r="A93">
        <v>481875921</v>
      </c>
      <c r="B93" t="s">
        <v>361</v>
      </c>
      <c r="C93" t="s">
        <v>362</v>
      </c>
      <c r="D93" t="str">
        <f>B93&amp;" "&amp;C93</f>
        <v>Coleman Blunderfield</v>
      </c>
      <c r="E93" t="s">
        <v>10</v>
      </c>
      <c r="F93">
        <v>84575</v>
      </c>
      <c r="G93">
        <f>COUNTIF(deals_closed!D:D,Calculations!A93)</f>
        <v>16</v>
      </c>
      <c r="H93" s="2">
        <f>SUMIF(deals_closed!D:D,Calculations!A93,deals_closed!C:C)</f>
        <v>540953</v>
      </c>
      <c r="I93" s="2">
        <f>VLOOKUP(E93,'2018_commission_structure'!$A$11:$I$14,9,FALSE)</f>
        <v>750000</v>
      </c>
      <c r="J93" s="2">
        <f t="shared" si="9"/>
        <v>937500</v>
      </c>
      <c r="K93" s="2">
        <f t="shared" si="10"/>
        <v>1125000</v>
      </c>
      <c r="L93" s="2">
        <f t="shared" si="11"/>
        <v>1500000</v>
      </c>
      <c r="M93" s="6">
        <f t="shared" si="12"/>
        <v>0.72127066666666662</v>
      </c>
      <c r="N93" t="str">
        <f t="shared" si="13"/>
        <v>0-100%</v>
      </c>
      <c r="O93" s="7">
        <f>MIN(I93,H93)*INDEX('2018_commission_structure'!$A$11:$I$14,MATCH(Calculations!$E93,'2018_commission_structure'!$A$11:$A$14,0),MATCH(Calculations!O$1,'2018_commission_structure'!$A$11:$I$11,0))</f>
        <v>81142.95</v>
      </c>
      <c r="P93" s="7">
        <f>IF($H93&gt;I93,MIN($H93-I93,J93-I93)*INDEX('2018_commission_structure'!$A$11:$I$14,MATCH(Calculations!$E93,'2018_commission_structure'!$A$11:$A$14,0), MATCH(Calculations!P$1,'2018_commission_structure'!$A$11:$I$11,0)),0)</f>
        <v>0</v>
      </c>
      <c r="Q93" s="7">
        <f>IF($H93&gt;J93,MIN($H93-J93,K93-J93)*INDEX('2018_commission_structure'!$A$11:$I$14,MATCH(Calculations!$E93,'2018_commission_structure'!$A$11:$A$14,0), MATCH(Calculations!Q$1,'2018_commission_structure'!$A$11:$I$11,0)),0)</f>
        <v>0</v>
      </c>
      <c r="R93" s="7">
        <f>IF($H93&gt;K93,MIN($H93-K93,L93-K93)*INDEX('2018_commission_structure'!$A$11:$I$14,MATCH(Calculations!$E93,'2018_commission_structure'!$A$11:$A$14,0), MATCH(Calculations!R$1,'2018_commission_structure'!$A$11:$I$11,0)),0)</f>
        <v>0</v>
      </c>
      <c r="S93" s="7">
        <f>IF(H93&gt;L93,(H93-L93)*INDEX('2018_commission_structure'!$A$11:$I$14,MATCH(Calculations!$E93,'2018_commission_structure'!$A$11:$A$14,0),MATCH(Calculations!S$1,'2018_commission_structure'!$A$11:$I$11,0)),0)</f>
        <v>0</v>
      </c>
      <c r="T93" s="7">
        <f t="shared" si="14"/>
        <v>81142.95</v>
      </c>
      <c r="U93" s="7">
        <f t="shared" si="15"/>
        <v>165717.95000000001</v>
      </c>
      <c r="V93" s="7">
        <f>MIN(H93,I93)*INDEX('2018_commission_structure'!$A$5:$J$8,MATCH(Calculations!$E93,'2018_commission_structure'!$A$5:$A$8,0),MATCH(Calculations!V$1,'2018_commission_structure'!$A$5:$J$5,0))</f>
        <v>81142.95</v>
      </c>
      <c r="W93" s="2">
        <f>IF($H93&gt;I93,MIN($H93-I93,J93-I93)*INDEX('2018_commission_structure'!$A$5:$J$8,MATCH(Calculations!$E93,'2018_commission_structure'!$A$5:$A$8,0),MATCH(Calculations!W$1,'2018_commission_structure'!$A$5:$J$5,0)),0)</f>
        <v>0</v>
      </c>
      <c r="X93" s="2">
        <f>IF($H93&gt;J93,MIN($H93-J93,K93-J93)*INDEX('2018_commission_structure'!$A$5:$J$8,MATCH(Calculations!$E93,'2018_commission_structure'!$A$5:$A$8,0),MATCH(Calculations!X$1,'2018_commission_structure'!$A$5:$J$5,0)),0)</f>
        <v>0</v>
      </c>
      <c r="Y93" s="2">
        <f>IF($H93&gt;K93,MIN($H93-K93,L93-K93)*INDEX('2018_commission_structure'!$A$5:$J$8,MATCH(Calculations!$E93,'2018_commission_structure'!$A$5:$A$8,0),MATCH(Calculations!Y$1,'2018_commission_structure'!$A$5:$J$5,0)),0)</f>
        <v>0</v>
      </c>
      <c r="Z93" s="2">
        <f xml:space="preserve"> IF(H93&gt;L93,(H93-L93)*INDEX('2018_commission_structure'!$A$11:$I$14,MATCH(Calculations!$E93,'2018_commission_structure'!$A$11:$A$14,0),MATCH(Calculations!Z$1,'2018_commission_structure'!$A$11:$I$11,0)),0)</f>
        <v>0</v>
      </c>
      <c r="AA93" s="7">
        <f t="shared" si="16"/>
        <v>81142.95</v>
      </c>
      <c r="AB93" s="7">
        <f t="shared" si="17"/>
        <v>165717.95000000001</v>
      </c>
    </row>
    <row r="94" spans="1:28" x14ac:dyDescent="0.25">
      <c r="A94">
        <v>9611070055</v>
      </c>
      <c r="B94" t="s">
        <v>931</v>
      </c>
      <c r="C94" t="s">
        <v>932</v>
      </c>
      <c r="D94" t="str">
        <f>B94&amp;" "&amp;C94</f>
        <v>Luise Bodley</v>
      </c>
      <c r="E94" t="s">
        <v>7</v>
      </c>
      <c r="F94">
        <v>63324</v>
      </c>
      <c r="G94">
        <f>COUNTIF(deals_closed!D:D,Calculations!A94)</f>
        <v>9</v>
      </c>
      <c r="H94" s="2">
        <f>SUMIF(deals_closed!D:D,Calculations!A94,deals_closed!C:C)</f>
        <v>219869</v>
      </c>
      <c r="I94" s="2">
        <f>VLOOKUP(E94,'2018_commission_structure'!$A$11:$I$14,9,FALSE)</f>
        <v>500000</v>
      </c>
      <c r="J94" s="2">
        <f t="shared" si="9"/>
        <v>625000</v>
      </c>
      <c r="K94" s="2">
        <f t="shared" si="10"/>
        <v>750000</v>
      </c>
      <c r="L94" s="2">
        <f t="shared" si="11"/>
        <v>1000000</v>
      </c>
      <c r="M94" s="6">
        <f t="shared" si="12"/>
        <v>0.43973800000000002</v>
      </c>
      <c r="N94" t="str">
        <f t="shared" si="13"/>
        <v>0-100%</v>
      </c>
      <c r="O94" s="7">
        <f>MIN(I94,H94)*INDEX('2018_commission_structure'!$A$11:$I$14,MATCH(Calculations!$E94,'2018_commission_structure'!$A$11:$A$14,0),MATCH(Calculations!O$1,'2018_commission_structure'!$A$11:$I$11,0))</f>
        <v>21986.9</v>
      </c>
      <c r="P94" s="7">
        <f>IF($H94&gt;I94,MIN($H94-I94,J94-I94)*INDEX('2018_commission_structure'!$A$11:$I$14,MATCH(Calculations!$E94,'2018_commission_structure'!$A$11:$A$14,0), MATCH(Calculations!P$1,'2018_commission_structure'!$A$11:$I$11,0)),0)</f>
        <v>0</v>
      </c>
      <c r="Q94" s="7">
        <f>IF($H94&gt;J94,MIN($H94-J94,K94-J94)*INDEX('2018_commission_structure'!$A$11:$I$14,MATCH(Calculations!$E94,'2018_commission_structure'!$A$11:$A$14,0), MATCH(Calculations!Q$1,'2018_commission_structure'!$A$11:$I$11,0)),0)</f>
        <v>0</v>
      </c>
      <c r="R94" s="7">
        <f>IF($H94&gt;K94,MIN($H94-K94,L94-K94)*INDEX('2018_commission_structure'!$A$11:$I$14,MATCH(Calculations!$E94,'2018_commission_structure'!$A$11:$A$14,0), MATCH(Calculations!R$1,'2018_commission_structure'!$A$11:$I$11,0)),0)</f>
        <v>0</v>
      </c>
      <c r="S94" s="7">
        <f>IF(H94&gt;L94,(H94-L94)*INDEX('2018_commission_structure'!$A$11:$I$14,MATCH(Calculations!$E94,'2018_commission_structure'!$A$11:$A$14,0),MATCH(Calculations!S$1,'2018_commission_structure'!$A$11:$I$11,0)),0)</f>
        <v>0</v>
      </c>
      <c r="T94" s="7">
        <f t="shared" si="14"/>
        <v>21986.9</v>
      </c>
      <c r="U94" s="7">
        <f t="shared" si="15"/>
        <v>85310.9</v>
      </c>
      <c r="V94" s="7">
        <f>MIN(H94,I94)*INDEX('2018_commission_structure'!$A$5:$J$8,MATCH(Calculations!$E94,'2018_commission_structure'!$A$5:$A$8,0),MATCH(Calculations!V$1,'2018_commission_structure'!$A$5:$J$5,0))</f>
        <v>26384.28</v>
      </c>
      <c r="W94" s="2">
        <f>IF($H94&gt;I94,MIN($H94-I94,J94-I94)*INDEX('2018_commission_structure'!$A$5:$J$8,MATCH(Calculations!$E94,'2018_commission_structure'!$A$5:$A$8,0),MATCH(Calculations!W$1,'2018_commission_structure'!$A$5:$J$5,0)),0)</f>
        <v>0</v>
      </c>
      <c r="X94" s="2">
        <f>IF($H94&gt;J94,MIN($H94-J94,K94-J94)*INDEX('2018_commission_structure'!$A$5:$J$8,MATCH(Calculations!$E94,'2018_commission_structure'!$A$5:$A$8,0),MATCH(Calculations!X$1,'2018_commission_structure'!$A$5:$J$5,0)),0)</f>
        <v>0</v>
      </c>
      <c r="Y94" s="2">
        <f>IF($H94&gt;K94,MIN($H94-K94,L94-K94)*INDEX('2018_commission_structure'!$A$5:$J$8,MATCH(Calculations!$E94,'2018_commission_structure'!$A$5:$A$8,0),MATCH(Calculations!Y$1,'2018_commission_structure'!$A$5:$J$5,0)),0)</f>
        <v>0</v>
      </c>
      <c r="Z94" s="2">
        <f xml:space="preserve"> IF(H94&gt;L94,(H94-L94)*INDEX('2018_commission_structure'!$A$11:$I$14,MATCH(Calculations!$E94,'2018_commission_structure'!$A$11:$A$14,0),MATCH(Calculations!Z$1,'2018_commission_structure'!$A$11:$I$11,0)),0)</f>
        <v>0</v>
      </c>
      <c r="AA94" s="7">
        <f t="shared" si="16"/>
        <v>26384.28</v>
      </c>
      <c r="AB94" s="7">
        <f t="shared" si="17"/>
        <v>89708.28</v>
      </c>
    </row>
    <row r="95" spans="1:28" x14ac:dyDescent="0.25">
      <c r="A95">
        <v>885693418</v>
      </c>
      <c r="B95" t="s">
        <v>1896</v>
      </c>
      <c r="C95" t="s">
        <v>1897</v>
      </c>
      <c r="D95" t="str">
        <f>B95&amp;" "&amp;C95</f>
        <v>Cirilo Bolf</v>
      </c>
      <c r="E95" t="s">
        <v>7</v>
      </c>
      <c r="F95">
        <v>55828</v>
      </c>
      <c r="G95">
        <f>COUNTIF(deals_closed!D:D,Calculations!A95)</f>
        <v>17</v>
      </c>
      <c r="H95" s="2">
        <f>SUMIF(deals_closed!D:D,Calculations!A95,deals_closed!C:C)</f>
        <v>495757</v>
      </c>
      <c r="I95" s="2">
        <f>VLOOKUP(E95,'2018_commission_structure'!$A$11:$I$14,9,FALSE)</f>
        <v>500000</v>
      </c>
      <c r="J95" s="2">
        <f t="shared" si="9"/>
        <v>625000</v>
      </c>
      <c r="K95" s="2">
        <f t="shared" si="10"/>
        <v>750000</v>
      </c>
      <c r="L95" s="2">
        <f t="shared" si="11"/>
        <v>1000000</v>
      </c>
      <c r="M95" s="6">
        <f t="shared" si="12"/>
        <v>0.99151400000000001</v>
      </c>
      <c r="N95" t="str">
        <f t="shared" si="13"/>
        <v>0-100%</v>
      </c>
      <c r="O95" s="7">
        <f>MIN(I95,H95)*INDEX('2018_commission_structure'!$A$11:$I$14,MATCH(Calculations!$E95,'2018_commission_structure'!$A$11:$A$14,0),MATCH(Calculations!O$1,'2018_commission_structure'!$A$11:$I$11,0))</f>
        <v>49575.700000000004</v>
      </c>
      <c r="P95" s="7">
        <f>IF($H95&gt;I95,MIN($H95-I95,J95-I95)*INDEX('2018_commission_structure'!$A$11:$I$14,MATCH(Calculations!$E95,'2018_commission_structure'!$A$11:$A$14,0), MATCH(Calculations!P$1,'2018_commission_structure'!$A$11:$I$11,0)),0)</f>
        <v>0</v>
      </c>
      <c r="Q95" s="7">
        <f>IF($H95&gt;J95,MIN($H95-J95,K95-J95)*INDEX('2018_commission_structure'!$A$11:$I$14,MATCH(Calculations!$E95,'2018_commission_structure'!$A$11:$A$14,0), MATCH(Calculations!Q$1,'2018_commission_structure'!$A$11:$I$11,0)),0)</f>
        <v>0</v>
      </c>
      <c r="R95" s="7">
        <f>IF($H95&gt;K95,MIN($H95-K95,L95-K95)*INDEX('2018_commission_structure'!$A$11:$I$14,MATCH(Calculations!$E95,'2018_commission_structure'!$A$11:$A$14,0), MATCH(Calculations!R$1,'2018_commission_structure'!$A$11:$I$11,0)),0)</f>
        <v>0</v>
      </c>
      <c r="S95" s="7">
        <f>IF(H95&gt;L95,(H95-L95)*INDEX('2018_commission_structure'!$A$11:$I$14,MATCH(Calculations!$E95,'2018_commission_structure'!$A$11:$A$14,0),MATCH(Calculations!S$1,'2018_commission_structure'!$A$11:$I$11,0)),0)</f>
        <v>0</v>
      </c>
      <c r="T95" s="7">
        <f t="shared" si="14"/>
        <v>49575.700000000004</v>
      </c>
      <c r="U95" s="7">
        <f t="shared" si="15"/>
        <v>105403.70000000001</v>
      </c>
      <c r="V95" s="7">
        <f>MIN(H95,I95)*INDEX('2018_commission_structure'!$A$5:$J$8,MATCH(Calculations!$E95,'2018_commission_structure'!$A$5:$A$8,0),MATCH(Calculations!V$1,'2018_commission_structure'!$A$5:$J$5,0))</f>
        <v>59490.84</v>
      </c>
      <c r="W95" s="2">
        <f>IF($H95&gt;I95,MIN($H95-I95,J95-I95)*INDEX('2018_commission_structure'!$A$5:$J$8,MATCH(Calculations!$E95,'2018_commission_structure'!$A$5:$A$8,0),MATCH(Calculations!W$1,'2018_commission_structure'!$A$5:$J$5,0)),0)</f>
        <v>0</v>
      </c>
      <c r="X95" s="2">
        <f>IF($H95&gt;J95,MIN($H95-J95,K95-J95)*INDEX('2018_commission_structure'!$A$5:$J$8,MATCH(Calculations!$E95,'2018_commission_structure'!$A$5:$A$8,0),MATCH(Calculations!X$1,'2018_commission_structure'!$A$5:$J$5,0)),0)</f>
        <v>0</v>
      </c>
      <c r="Y95" s="2">
        <f>IF($H95&gt;K95,MIN($H95-K95,L95-K95)*INDEX('2018_commission_structure'!$A$5:$J$8,MATCH(Calculations!$E95,'2018_commission_structure'!$A$5:$A$8,0),MATCH(Calculations!Y$1,'2018_commission_structure'!$A$5:$J$5,0)),0)</f>
        <v>0</v>
      </c>
      <c r="Z95" s="2">
        <f xml:space="preserve"> IF(H95&gt;L95,(H95-L95)*INDEX('2018_commission_structure'!$A$11:$I$14,MATCH(Calculations!$E95,'2018_commission_structure'!$A$11:$A$14,0),MATCH(Calculations!Z$1,'2018_commission_structure'!$A$11:$I$11,0)),0)</f>
        <v>0</v>
      </c>
      <c r="AA95" s="7">
        <f t="shared" si="16"/>
        <v>59490.84</v>
      </c>
      <c r="AB95" s="7">
        <f t="shared" si="17"/>
        <v>115318.84</v>
      </c>
    </row>
    <row r="96" spans="1:28" x14ac:dyDescent="0.25">
      <c r="A96">
        <v>9686840923</v>
      </c>
      <c r="B96" t="s">
        <v>87</v>
      </c>
      <c r="C96" t="s">
        <v>88</v>
      </c>
      <c r="D96" t="str">
        <f>B96&amp;" "&amp;C96</f>
        <v>Hermina Bowditch</v>
      </c>
      <c r="E96" t="s">
        <v>10</v>
      </c>
      <c r="F96">
        <v>79755</v>
      </c>
      <c r="G96">
        <f>COUNTIF(deals_closed!D:D,Calculations!A96)</f>
        <v>15</v>
      </c>
      <c r="H96" s="2">
        <f>SUMIF(deals_closed!D:D,Calculations!A96,deals_closed!C:C)</f>
        <v>573607</v>
      </c>
      <c r="I96" s="2">
        <f>VLOOKUP(E96,'2018_commission_structure'!$A$11:$I$14,9,FALSE)</f>
        <v>750000</v>
      </c>
      <c r="J96" s="2">
        <f t="shared" si="9"/>
        <v>937500</v>
      </c>
      <c r="K96" s="2">
        <f t="shared" si="10"/>
        <v>1125000</v>
      </c>
      <c r="L96" s="2">
        <f t="shared" si="11"/>
        <v>1500000</v>
      </c>
      <c r="M96" s="6">
        <f t="shared" si="12"/>
        <v>0.76480933333333334</v>
      </c>
      <c r="N96" t="str">
        <f t="shared" si="13"/>
        <v>0-100%</v>
      </c>
      <c r="O96" s="7">
        <f>MIN(I96,H96)*INDEX('2018_commission_structure'!$A$11:$I$14,MATCH(Calculations!$E96,'2018_commission_structure'!$A$11:$A$14,0),MATCH(Calculations!O$1,'2018_commission_structure'!$A$11:$I$11,0))</f>
        <v>86041.05</v>
      </c>
      <c r="P96" s="7">
        <f>IF($H96&gt;I96,MIN($H96-I96,J96-I96)*INDEX('2018_commission_structure'!$A$11:$I$14,MATCH(Calculations!$E96,'2018_commission_structure'!$A$11:$A$14,0), MATCH(Calculations!P$1,'2018_commission_structure'!$A$11:$I$11,0)),0)</f>
        <v>0</v>
      </c>
      <c r="Q96" s="7">
        <f>IF($H96&gt;J96,MIN($H96-J96,K96-J96)*INDEX('2018_commission_structure'!$A$11:$I$14,MATCH(Calculations!$E96,'2018_commission_structure'!$A$11:$A$14,0), MATCH(Calculations!Q$1,'2018_commission_structure'!$A$11:$I$11,0)),0)</f>
        <v>0</v>
      </c>
      <c r="R96" s="7">
        <f>IF($H96&gt;K96,MIN($H96-K96,L96-K96)*INDEX('2018_commission_structure'!$A$11:$I$14,MATCH(Calculations!$E96,'2018_commission_structure'!$A$11:$A$14,0), MATCH(Calculations!R$1,'2018_commission_structure'!$A$11:$I$11,0)),0)</f>
        <v>0</v>
      </c>
      <c r="S96" s="7">
        <f>IF(H96&gt;L96,(H96-L96)*INDEX('2018_commission_structure'!$A$11:$I$14,MATCH(Calculations!$E96,'2018_commission_structure'!$A$11:$A$14,0),MATCH(Calculations!S$1,'2018_commission_structure'!$A$11:$I$11,0)),0)</f>
        <v>0</v>
      </c>
      <c r="T96" s="7">
        <f t="shared" si="14"/>
        <v>86041.05</v>
      </c>
      <c r="U96" s="7">
        <f t="shared" si="15"/>
        <v>165796.04999999999</v>
      </c>
      <c r="V96" s="7">
        <f>MIN(H96,I96)*INDEX('2018_commission_structure'!$A$5:$J$8,MATCH(Calculations!$E96,'2018_commission_structure'!$A$5:$A$8,0),MATCH(Calculations!V$1,'2018_commission_structure'!$A$5:$J$5,0))</f>
        <v>86041.05</v>
      </c>
      <c r="W96" s="2">
        <f>IF($H96&gt;I96,MIN($H96-I96,J96-I96)*INDEX('2018_commission_structure'!$A$5:$J$8,MATCH(Calculations!$E96,'2018_commission_structure'!$A$5:$A$8,0),MATCH(Calculations!W$1,'2018_commission_structure'!$A$5:$J$5,0)),0)</f>
        <v>0</v>
      </c>
      <c r="X96" s="2">
        <f>IF($H96&gt;J96,MIN($H96-J96,K96-J96)*INDEX('2018_commission_structure'!$A$5:$J$8,MATCH(Calculations!$E96,'2018_commission_structure'!$A$5:$A$8,0),MATCH(Calculations!X$1,'2018_commission_structure'!$A$5:$J$5,0)),0)</f>
        <v>0</v>
      </c>
      <c r="Y96" s="2">
        <f>IF($H96&gt;K96,MIN($H96-K96,L96-K96)*INDEX('2018_commission_structure'!$A$5:$J$8,MATCH(Calculations!$E96,'2018_commission_structure'!$A$5:$A$8,0),MATCH(Calculations!Y$1,'2018_commission_structure'!$A$5:$J$5,0)),0)</f>
        <v>0</v>
      </c>
      <c r="Z96" s="2">
        <f xml:space="preserve"> IF(H96&gt;L96,(H96-L96)*INDEX('2018_commission_structure'!$A$11:$I$14,MATCH(Calculations!$E96,'2018_commission_structure'!$A$11:$A$14,0),MATCH(Calculations!Z$1,'2018_commission_structure'!$A$11:$I$11,0)),0)</f>
        <v>0</v>
      </c>
      <c r="AA96" s="7">
        <f t="shared" si="16"/>
        <v>86041.05</v>
      </c>
      <c r="AB96" s="7">
        <f t="shared" si="17"/>
        <v>165796.04999999999</v>
      </c>
    </row>
    <row r="97" spans="1:28" x14ac:dyDescent="0.25">
      <c r="A97">
        <v>8703756602</v>
      </c>
      <c r="B97" t="s">
        <v>325</v>
      </c>
      <c r="C97" t="s">
        <v>678</v>
      </c>
      <c r="D97" t="str">
        <f>B97&amp;" "&amp;C97</f>
        <v>Gennifer Bowdrey</v>
      </c>
      <c r="E97" t="s">
        <v>7</v>
      </c>
      <c r="F97">
        <v>54119</v>
      </c>
      <c r="G97">
        <f>COUNTIF(deals_closed!D:D,Calculations!A97)</f>
        <v>14</v>
      </c>
      <c r="H97" s="2">
        <f>SUMIF(deals_closed!D:D,Calculations!A97,deals_closed!C:C)</f>
        <v>550691</v>
      </c>
      <c r="I97" s="2">
        <f>VLOOKUP(E97,'2018_commission_structure'!$A$11:$I$14,9,FALSE)</f>
        <v>500000</v>
      </c>
      <c r="J97" s="2">
        <f t="shared" si="9"/>
        <v>625000</v>
      </c>
      <c r="K97" s="2">
        <f t="shared" si="10"/>
        <v>750000</v>
      </c>
      <c r="L97" s="2">
        <f t="shared" si="11"/>
        <v>1000000</v>
      </c>
      <c r="M97" s="6">
        <f t="shared" si="12"/>
        <v>1.1013820000000001</v>
      </c>
      <c r="N97" t="str">
        <f t="shared" si="13"/>
        <v>100-125%</v>
      </c>
      <c r="O97" s="7">
        <f>MIN(I97,H97)*INDEX('2018_commission_structure'!$A$11:$I$14,MATCH(Calculations!$E97,'2018_commission_structure'!$A$11:$A$14,0),MATCH(Calculations!O$1,'2018_commission_structure'!$A$11:$I$11,0))</f>
        <v>50000</v>
      </c>
      <c r="P97" s="7">
        <f>IF($H97&gt;I97,MIN($H97-I97,J97-I97)*INDEX('2018_commission_structure'!$A$11:$I$14,MATCH(Calculations!$E97,'2018_commission_structure'!$A$11:$A$14,0), MATCH(Calculations!P$1,'2018_commission_structure'!$A$11:$I$11,0)),0)</f>
        <v>7603.65</v>
      </c>
      <c r="Q97" s="7">
        <f>IF($H97&gt;J97,MIN($H97-J97,K97-J97)*INDEX('2018_commission_structure'!$A$11:$I$14,MATCH(Calculations!$E97,'2018_commission_structure'!$A$11:$A$14,0), MATCH(Calculations!Q$1,'2018_commission_structure'!$A$11:$I$11,0)),0)</f>
        <v>0</v>
      </c>
      <c r="R97" s="7">
        <f>IF($H97&gt;K97,MIN($H97-K97,L97-K97)*INDEX('2018_commission_structure'!$A$11:$I$14,MATCH(Calculations!$E97,'2018_commission_structure'!$A$11:$A$14,0), MATCH(Calculations!R$1,'2018_commission_structure'!$A$11:$I$11,0)),0)</f>
        <v>0</v>
      </c>
      <c r="S97" s="7">
        <f>IF(H97&gt;L97,(H97-L97)*INDEX('2018_commission_structure'!$A$11:$I$14,MATCH(Calculations!$E97,'2018_commission_structure'!$A$11:$A$14,0),MATCH(Calculations!S$1,'2018_commission_structure'!$A$11:$I$11,0)),0)</f>
        <v>0</v>
      </c>
      <c r="T97" s="7">
        <f t="shared" si="14"/>
        <v>57603.65</v>
      </c>
      <c r="U97" s="7">
        <f t="shared" si="15"/>
        <v>111722.65</v>
      </c>
      <c r="V97" s="7">
        <f>MIN(H97,I97)*INDEX('2018_commission_structure'!$A$5:$J$8,MATCH(Calculations!$E97,'2018_commission_structure'!$A$5:$A$8,0),MATCH(Calculations!V$1,'2018_commission_structure'!$A$5:$J$5,0))</f>
        <v>60000</v>
      </c>
      <c r="W97" s="2">
        <f>IF($H97&gt;I97,MIN($H97-I97,J97-I97)*INDEX('2018_commission_structure'!$A$5:$J$8,MATCH(Calculations!$E97,'2018_commission_structure'!$A$5:$A$8,0),MATCH(Calculations!W$1,'2018_commission_structure'!$A$5:$J$5,0)),0)</f>
        <v>8617.4700000000012</v>
      </c>
      <c r="X97" s="2">
        <f>IF($H97&gt;J97,MIN($H97-J97,K97-J97)*INDEX('2018_commission_structure'!$A$5:$J$8,MATCH(Calculations!$E97,'2018_commission_structure'!$A$5:$A$8,0),MATCH(Calculations!X$1,'2018_commission_structure'!$A$5:$J$5,0)),0)</f>
        <v>0</v>
      </c>
      <c r="Y97" s="2">
        <f>IF($H97&gt;K97,MIN($H97-K97,L97-K97)*INDEX('2018_commission_structure'!$A$5:$J$8,MATCH(Calculations!$E97,'2018_commission_structure'!$A$5:$A$8,0),MATCH(Calculations!Y$1,'2018_commission_structure'!$A$5:$J$5,0)),0)</f>
        <v>0</v>
      </c>
      <c r="Z97" s="2">
        <f xml:space="preserve"> IF(H97&gt;L97,(H97-L97)*INDEX('2018_commission_structure'!$A$11:$I$14,MATCH(Calculations!$E97,'2018_commission_structure'!$A$11:$A$14,0),MATCH(Calculations!Z$1,'2018_commission_structure'!$A$11:$I$11,0)),0)</f>
        <v>0</v>
      </c>
      <c r="AA97" s="7">
        <f t="shared" si="16"/>
        <v>68617.47</v>
      </c>
      <c r="AB97" s="7">
        <f t="shared" si="17"/>
        <v>122736.47</v>
      </c>
    </row>
    <row r="98" spans="1:28" x14ac:dyDescent="0.25">
      <c r="A98">
        <v>3935718624</v>
      </c>
      <c r="B98" t="s">
        <v>183</v>
      </c>
      <c r="C98" t="s">
        <v>184</v>
      </c>
      <c r="D98" t="str">
        <f>B98&amp;" "&amp;C98</f>
        <v>Nathalie Bowerbank</v>
      </c>
      <c r="E98" t="s">
        <v>7</v>
      </c>
      <c r="F98">
        <v>44845</v>
      </c>
      <c r="G98">
        <f>COUNTIF(deals_closed!D:D,Calculations!A98)</f>
        <v>35</v>
      </c>
      <c r="H98" s="2">
        <f>SUMIF(deals_closed!D:D,Calculations!A98,deals_closed!C:C)</f>
        <v>1230202</v>
      </c>
      <c r="I98" s="2">
        <f>VLOOKUP(E98,'2018_commission_structure'!$A$11:$I$14,9,FALSE)</f>
        <v>500000</v>
      </c>
      <c r="J98" s="2">
        <f t="shared" si="9"/>
        <v>625000</v>
      </c>
      <c r="K98" s="2">
        <f t="shared" si="10"/>
        <v>750000</v>
      </c>
      <c r="L98" s="2">
        <f t="shared" si="11"/>
        <v>1000000</v>
      </c>
      <c r="M98" s="6">
        <f t="shared" si="12"/>
        <v>2.460404</v>
      </c>
      <c r="N98" t="str">
        <f t="shared" si="13"/>
        <v>&gt;200%</v>
      </c>
      <c r="O98" s="7">
        <f>MIN(I98,H98)*INDEX('2018_commission_structure'!$A$11:$I$14,MATCH(Calculations!$E98,'2018_commission_structure'!$A$11:$A$14,0),MATCH(Calculations!O$1,'2018_commission_structure'!$A$11:$I$11,0))</f>
        <v>50000</v>
      </c>
      <c r="P98" s="7">
        <f>IF($H98&gt;I98,MIN($H98-I98,J98-I98)*INDEX('2018_commission_structure'!$A$11:$I$14,MATCH(Calculations!$E98,'2018_commission_structure'!$A$11:$A$14,0), MATCH(Calculations!P$1,'2018_commission_structure'!$A$11:$I$11,0)),0)</f>
        <v>18750</v>
      </c>
      <c r="Q98" s="7">
        <f>IF($H98&gt;J98,MIN($H98-J98,K98-J98)*INDEX('2018_commission_structure'!$A$11:$I$14,MATCH(Calculations!$E98,'2018_commission_structure'!$A$11:$A$14,0), MATCH(Calculations!Q$1,'2018_commission_structure'!$A$11:$I$11,0)),0)</f>
        <v>22500</v>
      </c>
      <c r="R98" s="7">
        <f>IF($H98&gt;K98,MIN($H98-K98,L98-K98)*INDEX('2018_commission_structure'!$A$11:$I$14,MATCH(Calculations!$E98,'2018_commission_structure'!$A$11:$A$14,0), MATCH(Calculations!R$1,'2018_commission_structure'!$A$11:$I$11,0)),0)</f>
        <v>55000</v>
      </c>
      <c r="S98" s="7">
        <f>IF(H98&gt;L98,(H98-L98)*INDEX('2018_commission_structure'!$A$11:$I$14,MATCH(Calculations!$E98,'2018_commission_structure'!$A$11:$A$14,0),MATCH(Calculations!S$1,'2018_commission_structure'!$A$11:$I$11,0)),0)</f>
        <v>23020.2</v>
      </c>
      <c r="T98" s="7">
        <f t="shared" si="14"/>
        <v>169270.2</v>
      </c>
      <c r="U98" s="7">
        <f t="shared" si="15"/>
        <v>214115.20000000001</v>
      </c>
      <c r="V98" s="7">
        <f>MIN(H98,I98)*INDEX('2018_commission_structure'!$A$5:$J$8,MATCH(Calculations!$E98,'2018_commission_structure'!$A$5:$A$8,0),MATCH(Calculations!V$1,'2018_commission_structure'!$A$5:$J$5,0))</f>
        <v>60000</v>
      </c>
      <c r="W98" s="2">
        <f>IF($H98&gt;I98,MIN($H98-I98,J98-I98)*INDEX('2018_commission_structure'!$A$5:$J$8,MATCH(Calculations!$E98,'2018_commission_structure'!$A$5:$A$8,0),MATCH(Calculations!W$1,'2018_commission_structure'!$A$5:$J$5,0)),0)</f>
        <v>21250</v>
      </c>
      <c r="X98" s="2">
        <f>IF($H98&gt;J98,MIN($H98-J98,K98-J98)*INDEX('2018_commission_structure'!$A$5:$J$8,MATCH(Calculations!$E98,'2018_commission_structure'!$A$5:$A$8,0),MATCH(Calculations!X$1,'2018_commission_structure'!$A$5:$J$5,0)),0)</f>
        <v>25000</v>
      </c>
      <c r="Y98" s="2">
        <f>IF($H98&gt;K98,MIN($H98-K98,L98-K98)*INDEX('2018_commission_structure'!$A$5:$J$8,MATCH(Calculations!$E98,'2018_commission_structure'!$A$5:$A$8,0),MATCH(Calculations!Y$1,'2018_commission_structure'!$A$5:$J$5,0)),0)</f>
        <v>55000</v>
      </c>
      <c r="Z98" s="2">
        <f xml:space="preserve"> IF(H98&gt;L98,(H98-L98)*INDEX('2018_commission_structure'!$A$11:$I$14,MATCH(Calculations!$E98,'2018_commission_structure'!$A$11:$A$14,0),MATCH(Calculations!Z$1,'2018_commission_structure'!$A$11:$I$11,0)),0)</f>
        <v>23020.2</v>
      </c>
      <c r="AA98" s="7">
        <f t="shared" si="16"/>
        <v>184270.2</v>
      </c>
      <c r="AB98" s="7">
        <f t="shared" si="17"/>
        <v>229115.2</v>
      </c>
    </row>
    <row r="99" spans="1:28" x14ac:dyDescent="0.25">
      <c r="A99">
        <v>2821741499</v>
      </c>
      <c r="B99" t="s">
        <v>1670</v>
      </c>
      <c r="C99" t="s">
        <v>1671</v>
      </c>
      <c r="D99" t="str">
        <f>B99&amp;" "&amp;C99</f>
        <v>Sadella Bowgen</v>
      </c>
      <c r="E99" t="s">
        <v>10</v>
      </c>
      <c r="F99">
        <v>112888</v>
      </c>
      <c r="G99">
        <f>COUNTIF(deals_closed!D:D,Calculations!A99)</f>
        <v>28</v>
      </c>
      <c r="H99" s="2">
        <f>SUMIF(deals_closed!D:D,Calculations!A99,deals_closed!C:C)</f>
        <v>930106</v>
      </c>
      <c r="I99" s="2">
        <f>VLOOKUP(E99,'2018_commission_structure'!$A$11:$I$14,9,FALSE)</f>
        <v>750000</v>
      </c>
      <c r="J99" s="2">
        <f t="shared" si="9"/>
        <v>937500</v>
      </c>
      <c r="K99" s="2">
        <f t="shared" si="10"/>
        <v>1125000</v>
      </c>
      <c r="L99" s="2">
        <f t="shared" si="11"/>
        <v>1500000</v>
      </c>
      <c r="M99" s="6">
        <f t="shared" si="12"/>
        <v>1.2401413333333333</v>
      </c>
      <c r="N99" t="str">
        <f t="shared" si="13"/>
        <v>100-125%</v>
      </c>
      <c r="O99" s="7">
        <f>MIN(I99,H99)*INDEX('2018_commission_structure'!$A$11:$I$14,MATCH(Calculations!$E99,'2018_commission_structure'!$A$11:$A$14,0),MATCH(Calculations!O$1,'2018_commission_structure'!$A$11:$I$11,0))</f>
        <v>112500</v>
      </c>
      <c r="P99" s="7">
        <f>IF($H99&gt;I99,MIN($H99-I99,J99-I99)*INDEX('2018_commission_structure'!$A$11:$I$14,MATCH(Calculations!$E99,'2018_commission_structure'!$A$11:$A$14,0), MATCH(Calculations!P$1,'2018_commission_structure'!$A$11:$I$11,0)),0)</f>
        <v>34220.14</v>
      </c>
      <c r="Q99" s="7">
        <f>IF($H99&gt;J99,MIN($H99-J99,K99-J99)*INDEX('2018_commission_structure'!$A$11:$I$14,MATCH(Calculations!$E99,'2018_commission_structure'!$A$11:$A$14,0), MATCH(Calculations!Q$1,'2018_commission_structure'!$A$11:$I$11,0)),0)</f>
        <v>0</v>
      </c>
      <c r="R99" s="7">
        <f>IF($H99&gt;K99,MIN($H99-K99,L99-K99)*INDEX('2018_commission_structure'!$A$11:$I$14,MATCH(Calculations!$E99,'2018_commission_structure'!$A$11:$A$14,0), MATCH(Calculations!R$1,'2018_commission_structure'!$A$11:$I$11,0)),0)</f>
        <v>0</v>
      </c>
      <c r="S99" s="7">
        <f>IF(H99&gt;L99,(H99-L99)*INDEX('2018_commission_structure'!$A$11:$I$14,MATCH(Calculations!$E99,'2018_commission_structure'!$A$11:$A$14,0),MATCH(Calculations!S$1,'2018_commission_structure'!$A$11:$I$11,0)),0)</f>
        <v>0</v>
      </c>
      <c r="T99" s="7">
        <f t="shared" si="14"/>
        <v>146720.14000000001</v>
      </c>
      <c r="U99" s="7">
        <f t="shared" si="15"/>
        <v>259608.14</v>
      </c>
      <c r="V99" s="7">
        <f>MIN(H99,I99)*INDEX('2018_commission_structure'!$A$5:$J$8,MATCH(Calculations!$E99,'2018_commission_structure'!$A$5:$A$8,0),MATCH(Calculations!V$1,'2018_commission_structure'!$A$5:$J$5,0))</f>
        <v>112500</v>
      </c>
      <c r="W99" s="2">
        <f>IF($H99&gt;I99,MIN($H99-I99,J99-I99)*INDEX('2018_commission_structure'!$A$5:$J$8,MATCH(Calculations!$E99,'2018_commission_structure'!$A$5:$A$8,0),MATCH(Calculations!W$1,'2018_commission_structure'!$A$5:$J$5,0)),0)</f>
        <v>39623.32</v>
      </c>
      <c r="X99" s="2">
        <f>IF($H99&gt;J99,MIN($H99-J99,K99-J99)*INDEX('2018_commission_structure'!$A$5:$J$8,MATCH(Calculations!$E99,'2018_commission_structure'!$A$5:$A$8,0),MATCH(Calculations!X$1,'2018_commission_structure'!$A$5:$J$5,0)),0)</f>
        <v>0</v>
      </c>
      <c r="Y99" s="2">
        <f>IF($H99&gt;K99,MIN($H99-K99,L99-K99)*INDEX('2018_commission_structure'!$A$5:$J$8,MATCH(Calculations!$E99,'2018_commission_structure'!$A$5:$A$8,0),MATCH(Calculations!Y$1,'2018_commission_structure'!$A$5:$J$5,0)),0)</f>
        <v>0</v>
      </c>
      <c r="Z99" s="2">
        <f xml:space="preserve"> IF(H99&gt;L99,(H99-L99)*INDEX('2018_commission_structure'!$A$11:$I$14,MATCH(Calculations!$E99,'2018_commission_structure'!$A$11:$A$14,0),MATCH(Calculations!Z$1,'2018_commission_structure'!$A$11:$I$11,0)),0)</f>
        <v>0</v>
      </c>
      <c r="AA99" s="7">
        <f t="shared" si="16"/>
        <v>152123.32</v>
      </c>
      <c r="AB99" s="7">
        <f t="shared" si="17"/>
        <v>265011.32</v>
      </c>
    </row>
    <row r="100" spans="1:28" x14ac:dyDescent="0.25">
      <c r="A100">
        <v>4937054791</v>
      </c>
      <c r="B100" t="s">
        <v>1261</v>
      </c>
      <c r="C100" t="s">
        <v>1262</v>
      </c>
      <c r="D100" t="str">
        <f>B100&amp;" "&amp;C100</f>
        <v>Rosalie Brankley</v>
      </c>
      <c r="E100" t="s">
        <v>29</v>
      </c>
      <c r="F100">
        <v>58630</v>
      </c>
      <c r="G100">
        <f>COUNTIF(deals_closed!D:D,Calculations!A100)</f>
        <v>17</v>
      </c>
      <c r="H100" s="2">
        <f>SUMIF(deals_closed!D:D,Calculations!A100,deals_closed!C:C)</f>
        <v>629139</v>
      </c>
      <c r="I100" s="2">
        <f>VLOOKUP(E100,'2018_commission_structure'!$A$11:$I$14,9,FALSE)</f>
        <v>600000</v>
      </c>
      <c r="J100" s="2">
        <f t="shared" si="9"/>
        <v>750000</v>
      </c>
      <c r="K100" s="2">
        <f t="shared" si="10"/>
        <v>900000</v>
      </c>
      <c r="L100" s="2">
        <f t="shared" si="11"/>
        <v>1200000</v>
      </c>
      <c r="M100" s="6">
        <f t="shared" si="12"/>
        <v>1.048565</v>
      </c>
      <c r="N100" t="str">
        <f t="shared" si="13"/>
        <v>100-125%</v>
      </c>
      <c r="O100" s="7">
        <f>MIN(I100,H100)*INDEX('2018_commission_structure'!$A$11:$I$14,MATCH(Calculations!$E100,'2018_commission_structure'!$A$11:$A$14,0),MATCH(Calculations!O$1,'2018_commission_structure'!$A$11:$I$11,0))</f>
        <v>78000</v>
      </c>
      <c r="P100" s="7">
        <f>IF($H100&gt;I100,MIN($H100-I100,J100-I100)*INDEX('2018_commission_structure'!$A$11:$I$14,MATCH(Calculations!$E100,'2018_commission_structure'!$A$11:$A$14,0), MATCH(Calculations!P$1,'2018_commission_structure'!$A$11:$I$11,0)),0)</f>
        <v>4953.63</v>
      </c>
      <c r="Q100" s="7">
        <f>IF($H100&gt;J100,MIN($H100-J100,K100-J100)*INDEX('2018_commission_structure'!$A$11:$I$14,MATCH(Calculations!$E100,'2018_commission_structure'!$A$11:$A$14,0), MATCH(Calculations!Q$1,'2018_commission_structure'!$A$11:$I$11,0)),0)</f>
        <v>0</v>
      </c>
      <c r="R100" s="7">
        <f>IF($H100&gt;K100,MIN($H100-K100,L100-K100)*INDEX('2018_commission_structure'!$A$11:$I$14,MATCH(Calculations!$E100,'2018_commission_structure'!$A$11:$A$14,0), MATCH(Calculations!R$1,'2018_commission_structure'!$A$11:$I$11,0)),0)</f>
        <v>0</v>
      </c>
      <c r="S100" s="7">
        <f>IF(H100&gt;L100,(H100-L100)*INDEX('2018_commission_structure'!$A$11:$I$14,MATCH(Calculations!$E100,'2018_commission_structure'!$A$11:$A$14,0),MATCH(Calculations!S$1,'2018_commission_structure'!$A$11:$I$11,0)),0)</f>
        <v>0</v>
      </c>
      <c r="T100" s="7">
        <f t="shared" si="14"/>
        <v>82953.63</v>
      </c>
      <c r="U100" s="7">
        <f t="shared" si="15"/>
        <v>141583.63</v>
      </c>
      <c r="V100" s="7">
        <f>MIN(H100,I100)*INDEX('2018_commission_structure'!$A$5:$J$8,MATCH(Calculations!$E100,'2018_commission_structure'!$A$5:$A$8,0),MATCH(Calculations!V$1,'2018_commission_structure'!$A$5:$J$5,0))</f>
        <v>90000</v>
      </c>
      <c r="W100" s="2">
        <f>IF($H100&gt;I100,MIN($H100-I100,J100-I100)*INDEX('2018_commission_structure'!$A$5:$J$8,MATCH(Calculations!$E100,'2018_commission_structure'!$A$5:$A$8,0),MATCH(Calculations!W$1,'2018_commission_structure'!$A$5:$J$5,0)),0)</f>
        <v>5245.0199999999995</v>
      </c>
      <c r="X100" s="2">
        <f>IF($H100&gt;J100,MIN($H100-J100,K100-J100)*INDEX('2018_commission_structure'!$A$5:$J$8,MATCH(Calculations!$E100,'2018_commission_structure'!$A$5:$A$8,0),MATCH(Calculations!X$1,'2018_commission_structure'!$A$5:$J$5,0)),0)</f>
        <v>0</v>
      </c>
      <c r="Y100" s="2">
        <f>IF($H100&gt;K100,MIN($H100-K100,L100-K100)*INDEX('2018_commission_structure'!$A$5:$J$8,MATCH(Calculations!$E100,'2018_commission_structure'!$A$5:$A$8,0),MATCH(Calculations!Y$1,'2018_commission_structure'!$A$5:$J$5,0)),0)</f>
        <v>0</v>
      </c>
      <c r="Z100" s="2">
        <f xml:space="preserve"> IF(H100&gt;L100,(H100-L100)*INDEX('2018_commission_structure'!$A$11:$I$14,MATCH(Calculations!$E100,'2018_commission_structure'!$A$11:$A$14,0),MATCH(Calculations!Z$1,'2018_commission_structure'!$A$11:$I$11,0)),0)</f>
        <v>0</v>
      </c>
      <c r="AA100" s="7">
        <f t="shared" si="16"/>
        <v>95245.02</v>
      </c>
      <c r="AB100" s="7">
        <f t="shared" si="17"/>
        <v>153875.02000000002</v>
      </c>
    </row>
    <row r="101" spans="1:28" x14ac:dyDescent="0.25">
      <c r="A101">
        <v>2209340063</v>
      </c>
      <c r="B101" t="s">
        <v>553</v>
      </c>
      <c r="C101" t="s">
        <v>554</v>
      </c>
      <c r="D101" t="str">
        <f>B101&amp;" "&amp;C101</f>
        <v>Frasquito Breach</v>
      </c>
      <c r="E101" t="s">
        <v>10</v>
      </c>
      <c r="F101">
        <v>111017</v>
      </c>
      <c r="G101">
        <f>COUNTIF(deals_closed!D:D,Calculations!A101)</f>
        <v>21</v>
      </c>
      <c r="H101" s="2">
        <f>SUMIF(deals_closed!D:D,Calculations!A101,deals_closed!C:C)</f>
        <v>609653</v>
      </c>
      <c r="I101" s="2">
        <f>VLOOKUP(E101,'2018_commission_structure'!$A$11:$I$14,9,FALSE)</f>
        <v>750000</v>
      </c>
      <c r="J101" s="2">
        <f t="shared" si="9"/>
        <v>937500</v>
      </c>
      <c r="K101" s="2">
        <f t="shared" si="10"/>
        <v>1125000</v>
      </c>
      <c r="L101" s="2">
        <f t="shared" si="11"/>
        <v>1500000</v>
      </c>
      <c r="M101" s="6">
        <f t="shared" si="12"/>
        <v>0.81287066666666663</v>
      </c>
      <c r="N101" t="str">
        <f t="shared" si="13"/>
        <v>0-100%</v>
      </c>
      <c r="O101" s="7">
        <f>MIN(I101,H101)*INDEX('2018_commission_structure'!$A$11:$I$14,MATCH(Calculations!$E101,'2018_commission_structure'!$A$11:$A$14,0),MATCH(Calculations!O$1,'2018_commission_structure'!$A$11:$I$11,0))</f>
        <v>91447.95</v>
      </c>
      <c r="P101" s="7">
        <f>IF($H101&gt;I101,MIN($H101-I101,J101-I101)*INDEX('2018_commission_structure'!$A$11:$I$14,MATCH(Calculations!$E101,'2018_commission_structure'!$A$11:$A$14,0), MATCH(Calculations!P$1,'2018_commission_structure'!$A$11:$I$11,0)),0)</f>
        <v>0</v>
      </c>
      <c r="Q101" s="7">
        <f>IF($H101&gt;J101,MIN($H101-J101,K101-J101)*INDEX('2018_commission_structure'!$A$11:$I$14,MATCH(Calculations!$E101,'2018_commission_structure'!$A$11:$A$14,0), MATCH(Calculations!Q$1,'2018_commission_structure'!$A$11:$I$11,0)),0)</f>
        <v>0</v>
      </c>
      <c r="R101" s="7">
        <f>IF($H101&gt;K101,MIN($H101-K101,L101-K101)*INDEX('2018_commission_structure'!$A$11:$I$14,MATCH(Calculations!$E101,'2018_commission_structure'!$A$11:$A$14,0), MATCH(Calculations!R$1,'2018_commission_structure'!$A$11:$I$11,0)),0)</f>
        <v>0</v>
      </c>
      <c r="S101" s="7">
        <f>IF(H101&gt;L101,(H101-L101)*INDEX('2018_commission_structure'!$A$11:$I$14,MATCH(Calculations!$E101,'2018_commission_structure'!$A$11:$A$14,0),MATCH(Calculations!S$1,'2018_commission_structure'!$A$11:$I$11,0)),0)</f>
        <v>0</v>
      </c>
      <c r="T101" s="7">
        <f t="shared" si="14"/>
        <v>91447.95</v>
      </c>
      <c r="U101" s="7">
        <f t="shared" si="15"/>
        <v>202464.95</v>
      </c>
      <c r="V101" s="7">
        <f>MIN(H101,I101)*INDEX('2018_commission_structure'!$A$5:$J$8,MATCH(Calculations!$E101,'2018_commission_structure'!$A$5:$A$8,0),MATCH(Calculations!V$1,'2018_commission_structure'!$A$5:$J$5,0))</f>
        <v>91447.95</v>
      </c>
      <c r="W101" s="2">
        <f>IF($H101&gt;I101,MIN($H101-I101,J101-I101)*INDEX('2018_commission_structure'!$A$5:$J$8,MATCH(Calculations!$E101,'2018_commission_structure'!$A$5:$A$8,0),MATCH(Calculations!W$1,'2018_commission_structure'!$A$5:$J$5,0)),0)</f>
        <v>0</v>
      </c>
      <c r="X101" s="2">
        <f>IF($H101&gt;J101,MIN($H101-J101,K101-J101)*INDEX('2018_commission_structure'!$A$5:$J$8,MATCH(Calculations!$E101,'2018_commission_structure'!$A$5:$A$8,0),MATCH(Calculations!X$1,'2018_commission_structure'!$A$5:$J$5,0)),0)</f>
        <v>0</v>
      </c>
      <c r="Y101" s="2">
        <f>IF($H101&gt;K101,MIN($H101-K101,L101-K101)*INDEX('2018_commission_structure'!$A$5:$J$8,MATCH(Calculations!$E101,'2018_commission_structure'!$A$5:$A$8,0),MATCH(Calculations!Y$1,'2018_commission_structure'!$A$5:$J$5,0)),0)</f>
        <v>0</v>
      </c>
      <c r="Z101" s="2">
        <f xml:space="preserve"> IF(H101&gt;L101,(H101-L101)*INDEX('2018_commission_structure'!$A$11:$I$14,MATCH(Calculations!$E101,'2018_commission_structure'!$A$11:$A$14,0),MATCH(Calculations!Z$1,'2018_commission_structure'!$A$11:$I$11,0)),0)</f>
        <v>0</v>
      </c>
      <c r="AA101" s="7">
        <f t="shared" si="16"/>
        <v>91447.95</v>
      </c>
      <c r="AB101" s="7">
        <f t="shared" si="17"/>
        <v>202464.95</v>
      </c>
    </row>
    <row r="102" spans="1:28" x14ac:dyDescent="0.25">
      <c r="A102">
        <v>6408517315</v>
      </c>
      <c r="B102" t="s">
        <v>284</v>
      </c>
      <c r="C102" t="s">
        <v>285</v>
      </c>
      <c r="D102" t="str">
        <f>B102&amp;" "&amp;C102</f>
        <v>Tait Brewitt</v>
      </c>
      <c r="E102" t="s">
        <v>10</v>
      </c>
      <c r="F102">
        <v>122626</v>
      </c>
      <c r="G102">
        <f>COUNTIF(deals_closed!D:D,Calculations!A102)</f>
        <v>21</v>
      </c>
      <c r="H102" s="2">
        <f>SUMIF(deals_closed!D:D,Calculations!A102,deals_closed!C:C)</f>
        <v>788532</v>
      </c>
      <c r="I102" s="2">
        <f>VLOOKUP(E102,'2018_commission_structure'!$A$11:$I$14,9,FALSE)</f>
        <v>750000</v>
      </c>
      <c r="J102" s="2">
        <f t="shared" si="9"/>
        <v>937500</v>
      </c>
      <c r="K102" s="2">
        <f t="shared" si="10"/>
        <v>1125000</v>
      </c>
      <c r="L102" s="2">
        <f t="shared" si="11"/>
        <v>1500000</v>
      </c>
      <c r="M102" s="6">
        <f t="shared" si="12"/>
        <v>1.0513760000000001</v>
      </c>
      <c r="N102" t="str">
        <f t="shared" si="13"/>
        <v>100-125%</v>
      </c>
      <c r="O102" s="7">
        <f>MIN(I102,H102)*INDEX('2018_commission_structure'!$A$11:$I$14,MATCH(Calculations!$E102,'2018_commission_structure'!$A$11:$A$14,0),MATCH(Calculations!O$1,'2018_commission_structure'!$A$11:$I$11,0))</f>
        <v>112500</v>
      </c>
      <c r="P102" s="7">
        <f>IF($H102&gt;I102,MIN($H102-I102,J102-I102)*INDEX('2018_commission_structure'!$A$11:$I$14,MATCH(Calculations!$E102,'2018_commission_structure'!$A$11:$A$14,0), MATCH(Calculations!P$1,'2018_commission_structure'!$A$11:$I$11,0)),0)</f>
        <v>7321.08</v>
      </c>
      <c r="Q102" s="7">
        <f>IF($H102&gt;J102,MIN($H102-J102,K102-J102)*INDEX('2018_commission_structure'!$A$11:$I$14,MATCH(Calculations!$E102,'2018_commission_structure'!$A$11:$A$14,0), MATCH(Calculations!Q$1,'2018_commission_structure'!$A$11:$I$11,0)),0)</f>
        <v>0</v>
      </c>
      <c r="R102" s="7">
        <f>IF($H102&gt;K102,MIN($H102-K102,L102-K102)*INDEX('2018_commission_structure'!$A$11:$I$14,MATCH(Calculations!$E102,'2018_commission_structure'!$A$11:$A$14,0), MATCH(Calculations!R$1,'2018_commission_structure'!$A$11:$I$11,0)),0)</f>
        <v>0</v>
      </c>
      <c r="S102" s="7">
        <f>IF(H102&gt;L102,(H102-L102)*INDEX('2018_commission_structure'!$A$11:$I$14,MATCH(Calculations!$E102,'2018_commission_structure'!$A$11:$A$14,0),MATCH(Calculations!S$1,'2018_commission_structure'!$A$11:$I$11,0)),0)</f>
        <v>0</v>
      </c>
      <c r="T102" s="7">
        <f t="shared" si="14"/>
        <v>119821.08</v>
      </c>
      <c r="U102" s="7">
        <f t="shared" si="15"/>
        <v>242447.08000000002</v>
      </c>
      <c r="V102" s="7">
        <f>MIN(H102,I102)*INDEX('2018_commission_structure'!$A$5:$J$8,MATCH(Calculations!$E102,'2018_commission_structure'!$A$5:$A$8,0),MATCH(Calculations!V$1,'2018_commission_structure'!$A$5:$J$5,0))</f>
        <v>112500</v>
      </c>
      <c r="W102" s="2">
        <f>IF($H102&gt;I102,MIN($H102-I102,J102-I102)*INDEX('2018_commission_structure'!$A$5:$J$8,MATCH(Calculations!$E102,'2018_commission_structure'!$A$5:$A$8,0),MATCH(Calculations!W$1,'2018_commission_structure'!$A$5:$J$5,0)),0)</f>
        <v>8477.0400000000009</v>
      </c>
      <c r="X102" s="2">
        <f>IF($H102&gt;J102,MIN($H102-J102,K102-J102)*INDEX('2018_commission_structure'!$A$5:$J$8,MATCH(Calculations!$E102,'2018_commission_structure'!$A$5:$A$8,0),MATCH(Calculations!X$1,'2018_commission_structure'!$A$5:$J$5,0)),0)</f>
        <v>0</v>
      </c>
      <c r="Y102" s="2">
        <f>IF($H102&gt;K102,MIN($H102-K102,L102-K102)*INDEX('2018_commission_structure'!$A$5:$J$8,MATCH(Calculations!$E102,'2018_commission_structure'!$A$5:$A$8,0),MATCH(Calculations!Y$1,'2018_commission_structure'!$A$5:$J$5,0)),0)</f>
        <v>0</v>
      </c>
      <c r="Z102" s="2">
        <f xml:space="preserve"> IF(H102&gt;L102,(H102-L102)*INDEX('2018_commission_structure'!$A$11:$I$14,MATCH(Calculations!$E102,'2018_commission_structure'!$A$11:$A$14,0),MATCH(Calculations!Z$1,'2018_commission_structure'!$A$11:$I$11,0)),0)</f>
        <v>0</v>
      </c>
      <c r="AA102" s="7">
        <f t="shared" si="16"/>
        <v>120977.04000000001</v>
      </c>
      <c r="AB102" s="7">
        <f t="shared" si="17"/>
        <v>243603.04</v>
      </c>
    </row>
    <row r="103" spans="1:28" x14ac:dyDescent="0.25">
      <c r="A103">
        <v>1263903657</v>
      </c>
      <c r="B103" t="s">
        <v>36</v>
      </c>
      <c r="C103" t="s">
        <v>37</v>
      </c>
      <c r="D103" t="str">
        <f>B103&amp;" "&amp;C103</f>
        <v>Court Brightwell</v>
      </c>
      <c r="E103" t="s">
        <v>10</v>
      </c>
      <c r="F103">
        <v>99988</v>
      </c>
      <c r="G103">
        <f>COUNTIF(deals_closed!D:D,Calculations!A103)</f>
        <v>17</v>
      </c>
      <c r="H103" s="2">
        <f>SUMIF(deals_closed!D:D,Calculations!A103,deals_closed!C:C)</f>
        <v>661373</v>
      </c>
      <c r="I103" s="2">
        <f>VLOOKUP(E103,'2018_commission_structure'!$A$11:$I$14,9,FALSE)</f>
        <v>750000</v>
      </c>
      <c r="J103" s="2">
        <f t="shared" si="9"/>
        <v>937500</v>
      </c>
      <c r="K103" s="2">
        <f t="shared" si="10"/>
        <v>1125000</v>
      </c>
      <c r="L103" s="2">
        <f t="shared" si="11"/>
        <v>1500000</v>
      </c>
      <c r="M103" s="6">
        <f t="shared" si="12"/>
        <v>0.88183066666666665</v>
      </c>
      <c r="N103" t="str">
        <f t="shared" si="13"/>
        <v>0-100%</v>
      </c>
      <c r="O103" s="7">
        <f>MIN(I103,H103)*INDEX('2018_commission_structure'!$A$11:$I$14,MATCH(Calculations!$E103,'2018_commission_structure'!$A$11:$A$14,0),MATCH(Calculations!O$1,'2018_commission_structure'!$A$11:$I$11,0))</f>
        <v>99205.95</v>
      </c>
      <c r="P103" s="7">
        <f>IF($H103&gt;I103,MIN($H103-I103,J103-I103)*INDEX('2018_commission_structure'!$A$11:$I$14,MATCH(Calculations!$E103,'2018_commission_structure'!$A$11:$A$14,0), MATCH(Calculations!P$1,'2018_commission_structure'!$A$11:$I$11,0)),0)</f>
        <v>0</v>
      </c>
      <c r="Q103" s="7">
        <f>IF($H103&gt;J103,MIN($H103-J103,K103-J103)*INDEX('2018_commission_structure'!$A$11:$I$14,MATCH(Calculations!$E103,'2018_commission_structure'!$A$11:$A$14,0), MATCH(Calculations!Q$1,'2018_commission_structure'!$A$11:$I$11,0)),0)</f>
        <v>0</v>
      </c>
      <c r="R103" s="7">
        <f>IF($H103&gt;K103,MIN($H103-K103,L103-K103)*INDEX('2018_commission_structure'!$A$11:$I$14,MATCH(Calculations!$E103,'2018_commission_structure'!$A$11:$A$14,0), MATCH(Calculations!R$1,'2018_commission_structure'!$A$11:$I$11,0)),0)</f>
        <v>0</v>
      </c>
      <c r="S103" s="7">
        <f>IF(H103&gt;L103,(H103-L103)*INDEX('2018_commission_structure'!$A$11:$I$14,MATCH(Calculations!$E103,'2018_commission_structure'!$A$11:$A$14,0),MATCH(Calculations!S$1,'2018_commission_structure'!$A$11:$I$11,0)),0)</f>
        <v>0</v>
      </c>
      <c r="T103" s="7">
        <f t="shared" si="14"/>
        <v>99205.95</v>
      </c>
      <c r="U103" s="7">
        <f t="shared" si="15"/>
        <v>199193.95</v>
      </c>
      <c r="V103" s="7">
        <f>MIN(H103,I103)*INDEX('2018_commission_structure'!$A$5:$J$8,MATCH(Calculations!$E103,'2018_commission_structure'!$A$5:$A$8,0),MATCH(Calculations!V$1,'2018_commission_structure'!$A$5:$J$5,0))</f>
        <v>99205.95</v>
      </c>
      <c r="W103" s="2">
        <f>IF($H103&gt;I103,MIN($H103-I103,J103-I103)*INDEX('2018_commission_structure'!$A$5:$J$8,MATCH(Calculations!$E103,'2018_commission_structure'!$A$5:$A$8,0),MATCH(Calculations!W$1,'2018_commission_structure'!$A$5:$J$5,0)),0)</f>
        <v>0</v>
      </c>
      <c r="X103" s="2">
        <f>IF($H103&gt;J103,MIN($H103-J103,K103-J103)*INDEX('2018_commission_structure'!$A$5:$J$8,MATCH(Calculations!$E103,'2018_commission_structure'!$A$5:$A$8,0),MATCH(Calculations!X$1,'2018_commission_structure'!$A$5:$J$5,0)),0)</f>
        <v>0</v>
      </c>
      <c r="Y103" s="2">
        <f>IF($H103&gt;K103,MIN($H103-K103,L103-K103)*INDEX('2018_commission_structure'!$A$5:$J$8,MATCH(Calculations!$E103,'2018_commission_structure'!$A$5:$A$8,0),MATCH(Calculations!Y$1,'2018_commission_structure'!$A$5:$J$5,0)),0)</f>
        <v>0</v>
      </c>
      <c r="Z103" s="2">
        <f xml:space="preserve"> IF(H103&gt;L103,(H103-L103)*INDEX('2018_commission_structure'!$A$11:$I$14,MATCH(Calculations!$E103,'2018_commission_structure'!$A$11:$A$14,0),MATCH(Calculations!Z$1,'2018_commission_structure'!$A$11:$I$11,0)),0)</f>
        <v>0</v>
      </c>
      <c r="AA103" s="7">
        <f t="shared" si="16"/>
        <v>99205.95</v>
      </c>
      <c r="AB103" s="7">
        <f t="shared" si="17"/>
        <v>199193.95</v>
      </c>
    </row>
    <row r="104" spans="1:28" x14ac:dyDescent="0.25">
      <c r="A104">
        <v>5005774041</v>
      </c>
      <c r="B104" t="s">
        <v>1400</v>
      </c>
      <c r="C104" t="s">
        <v>1401</v>
      </c>
      <c r="D104" t="str">
        <f>B104&amp;" "&amp;C104</f>
        <v>Tracy Briztman</v>
      </c>
      <c r="E104" t="s">
        <v>7</v>
      </c>
      <c r="F104">
        <v>47985</v>
      </c>
      <c r="G104">
        <f>COUNTIF(deals_closed!D:D,Calculations!A104)</f>
        <v>21</v>
      </c>
      <c r="H104" s="2">
        <f>SUMIF(deals_closed!D:D,Calculations!A104,deals_closed!C:C)</f>
        <v>631287</v>
      </c>
      <c r="I104" s="2">
        <f>VLOOKUP(E104,'2018_commission_structure'!$A$11:$I$14,9,FALSE)</f>
        <v>500000</v>
      </c>
      <c r="J104" s="2">
        <f t="shared" si="9"/>
        <v>625000</v>
      </c>
      <c r="K104" s="2">
        <f t="shared" si="10"/>
        <v>750000</v>
      </c>
      <c r="L104" s="2">
        <f t="shared" si="11"/>
        <v>1000000</v>
      </c>
      <c r="M104" s="6">
        <f t="shared" si="12"/>
        <v>1.2625740000000001</v>
      </c>
      <c r="N104" t="str">
        <f t="shared" si="13"/>
        <v>125-150%</v>
      </c>
      <c r="O104" s="7">
        <f>MIN(I104,H104)*INDEX('2018_commission_structure'!$A$11:$I$14,MATCH(Calculations!$E104,'2018_commission_structure'!$A$11:$A$14,0),MATCH(Calculations!O$1,'2018_commission_structure'!$A$11:$I$11,0))</f>
        <v>50000</v>
      </c>
      <c r="P104" s="7">
        <f>IF($H104&gt;I104,MIN($H104-I104,J104-I104)*INDEX('2018_commission_structure'!$A$11:$I$14,MATCH(Calculations!$E104,'2018_commission_structure'!$A$11:$A$14,0), MATCH(Calculations!P$1,'2018_commission_structure'!$A$11:$I$11,0)),0)</f>
        <v>18750</v>
      </c>
      <c r="Q104" s="7">
        <f>IF($H104&gt;J104,MIN($H104-J104,K104-J104)*INDEX('2018_commission_structure'!$A$11:$I$14,MATCH(Calculations!$E104,'2018_commission_structure'!$A$11:$A$14,0), MATCH(Calculations!Q$1,'2018_commission_structure'!$A$11:$I$11,0)),0)</f>
        <v>1131.6599999999999</v>
      </c>
      <c r="R104" s="7">
        <f>IF($H104&gt;K104,MIN($H104-K104,L104-K104)*INDEX('2018_commission_structure'!$A$11:$I$14,MATCH(Calculations!$E104,'2018_commission_structure'!$A$11:$A$14,0), MATCH(Calculations!R$1,'2018_commission_structure'!$A$11:$I$11,0)),0)</f>
        <v>0</v>
      </c>
      <c r="S104" s="7">
        <f>IF(H104&gt;L104,(H104-L104)*INDEX('2018_commission_structure'!$A$11:$I$14,MATCH(Calculations!$E104,'2018_commission_structure'!$A$11:$A$14,0),MATCH(Calculations!S$1,'2018_commission_structure'!$A$11:$I$11,0)),0)</f>
        <v>0</v>
      </c>
      <c r="T104" s="7">
        <f t="shared" si="14"/>
        <v>69881.66</v>
      </c>
      <c r="U104" s="7">
        <f t="shared" si="15"/>
        <v>117866.66</v>
      </c>
      <c r="V104" s="7">
        <f>MIN(H104,I104)*INDEX('2018_commission_structure'!$A$5:$J$8,MATCH(Calculations!$E104,'2018_commission_structure'!$A$5:$A$8,0),MATCH(Calculations!V$1,'2018_commission_structure'!$A$5:$J$5,0))</f>
        <v>60000</v>
      </c>
      <c r="W104" s="2">
        <f>IF($H104&gt;I104,MIN($H104-I104,J104-I104)*INDEX('2018_commission_structure'!$A$5:$J$8,MATCH(Calculations!$E104,'2018_commission_structure'!$A$5:$A$8,0),MATCH(Calculations!W$1,'2018_commission_structure'!$A$5:$J$5,0)),0)</f>
        <v>21250</v>
      </c>
      <c r="X104" s="2">
        <f>IF($H104&gt;J104,MIN($H104-J104,K104-J104)*INDEX('2018_commission_structure'!$A$5:$J$8,MATCH(Calculations!$E104,'2018_commission_structure'!$A$5:$A$8,0),MATCH(Calculations!X$1,'2018_commission_structure'!$A$5:$J$5,0)),0)</f>
        <v>1257.4000000000001</v>
      </c>
      <c r="Y104" s="2">
        <f>IF($H104&gt;K104,MIN($H104-K104,L104-K104)*INDEX('2018_commission_structure'!$A$5:$J$8,MATCH(Calculations!$E104,'2018_commission_structure'!$A$5:$A$8,0),MATCH(Calculations!Y$1,'2018_commission_structure'!$A$5:$J$5,0)),0)</f>
        <v>0</v>
      </c>
      <c r="Z104" s="2">
        <f xml:space="preserve"> IF(H104&gt;L104,(H104-L104)*INDEX('2018_commission_structure'!$A$11:$I$14,MATCH(Calculations!$E104,'2018_commission_structure'!$A$11:$A$14,0),MATCH(Calculations!Z$1,'2018_commission_structure'!$A$11:$I$11,0)),0)</f>
        <v>0</v>
      </c>
      <c r="AA104" s="7">
        <f t="shared" si="16"/>
        <v>82507.399999999994</v>
      </c>
      <c r="AB104" s="7">
        <f t="shared" si="17"/>
        <v>130492.4</v>
      </c>
    </row>
    <row r="105" spans="1:28" x14ac:dyDescent="0.25">
      <c r="A105">
        <v>320120716</v>
      </c>
      <c r="B105" t="s">
        <v>1755</v>
      </c>
      <c r="C105" t="s">
        <v>1756</v>
      </c>
      <c r="D105" t="str">
        <f>B105&amp;" "&amp;C105</f>
        <v>Arty Brobak</v>
      </c>
      <c r="E105" t="s">
        <v>29</v>
      </c>
      <c r="F105">
        <v>50348</v>
      </c>
      <c r="G105">
        <f>COUNTIF(deals_closed!D:D,Calculations!A105)</f>
        <v>11</v>
      </c>
      <c r="H105" s="2">
        <f>SUMIF(deals_closed!D:D,Calculations!A105,deals_closed!C:C)</f>
        <v>342782</v>
      </c>
      <c r="I105" s="2">
        <f>VLOOKUP(E105,'2018_commission_structure'!$A$11:$I$14,9,FALSE)</f>
        <v>600000</v>
      </c>
      <c r="J105" s="2">
        <f t="shared" si="9"/>
        <v>750000</v>
      </c>
      <c r="K105" s="2">
        <f t="shared" si="10"/>
        <v>900000</v>
      </c>
      <c r="L105" s="2">
        <f t="shared" si="11"/>
        <v>1200000</v>
      </c>
      <c r="M105" s="6">
        <f t="shared" si="12"/>
        <v>0.57130333333333339</v>
      </c>
      <c r="N105" t="str">
        <f t="shared" si="13"/>
        <v>0-100%</v>
      </c>
      <c r="O105" s="7">
        <f>MIN(I105,H105)*INDEX('2018_commission_structure'!$A$11:$I$14,MATCH(Calculations!$E105,'2018_commission_structure'!$A$11:$A$14,0),MATCH(Calculations!O$1,'2018_commission_structure'!$A$11:$I$11,0))</f>
        <v>44561.66</v>
      </c>
      <c r="P105" s="7">
        <f>IF($H105&gt;I105,MIN($H105-I105,J105-I105)*INDEX('2018_commission_structure'!$A$11:$I$14,MATCH(Calculations!$E105,'2018_commission_structure'!$A$11:$A$14,0), MATCH(Calculations!P$1,'2018_commission_structure'!$A$11:$I$11,0)),0)</f>
        <v>0</v>
      </c>
      <c r="Q105" s="7">
        <f>IF($H105&gt;J105,MIN($H105-J105,K105-J105)*INDEX('2018_commission_structure'!$A$11:$I$14,MATCH(Calculations!$E105,'2018_commission_structure'!$A$11:$A$14,0), MATCH(Calculations!Q$1,'2018_commission_structure'!$A$11:$I$11,0)),0)</f>
        <v>0</v>
      </c>
      <c r="R105" s="7">
        <f>IF($H105&gt;K105,MIN($H105-K105,L105-K105)*INDEX('2018_commission_structure'!$A$11:$I$14,MATCH(Calculations!$E105,'2018_commission_structure'!$A$11:$A$14,0), MATCH(Calculations!R$1,'2018_commission_structure'!$A$11:$I$11,0)),0)</f>
        <v>0</v>
      </c>
      <c r="S105" s="7">
        <f>IF(H105&gt;L105,(H105-L105)*INDEX('2018_commission_structure'!$A$11:$I$14,MATCH(Calculations!$E105,'2018_commission_structure'!$A$11:$A$14,0),MATCH(Calculations!S$1,'2018_commission_structure'!$A$11:$I$11,0)),0)</f>
        <v>0</v>
      </c>
      <c r="T105" s="7">
        <f t="shared" si="14"/>
        <v>44561.66</v>
      </c>
      <c r="U105" s="7">
        <f t="shared" si="15"/>
        <v>94909.66</v>
      </c>
      <c r="V105" s="7">
        <f>MIN(H105,I105)*INDEX('2018_commission_structure'!$A$5:$J$8,MATCH(Calculations!$E105,'2018_commission_structure'!$A$5:$A$8,0),MATCH(Calculations!V$1,'2018_commission_structure'!$A$5:$J$5,0))</f>
        <v>51417.299999999996</v>
      </c>
      <c r="W105" s="2">
        <f>IF($H105&gt;I105,MIN($H105-I105,J105-I105)*INDEX('2018_commission_structure'!$A$5:$J$8,MATCH(Calculations!$E105,'2018_commission_structure'!$A$5:$A$8,0),MATCH(Calculations!W$1,'2018_commission_structure'!$A$5:$J$5,0)),0)</f>
        <v>0</v>
      </c>
      <c r="X105" s="2">
        <f>IF($H105&gt;J105,MIN($H105-J105,K105-J105)*INDEX('2018_commission_structure'!$A$5:$J$8,MATCH(Calculations!$E105,'2018_commission_structure'!$A$5:$A$8,0),MATCH(Calculations!X$1,'2018_commission_structure'!$A$5:$J$5,0)),0)</f>
        <v>0</v>
      </c>
      <c r="Y105" s="2">
        <f>IF($H105&gt;K105,MIN($H105-K105,L105-K105)*INDEX('2018_commission_structure'!$A$5:$J$8,MATCH(Calculations!$E105,'2018_commission_structure'!$A$5:$A$8,0),MATCH(Calculations!Y$1,'2018_commission_structure'!$A$5:$J$5,0)),0)</f>
        <v>0</v>
      </c>
      <c r="Z105" s="2">
        <f xml:space="preserve"> IF(H105&gt;L105,(H105-L105)*INDEX('2018_commission_structure'!$A$11:$I$14,MATCH(Calculations!$E105,'2018_commission_structure'!$A$11:$A$14,0),MATCH(Calculations!Z$1,'2018_commission_structure'!$A$11:$I$11,0)),0)</f>
        <v>0</v>
      </c>
      <c r="AA105" s="7">
        <f t="shared" si="16"/>
        <v>51417.299999999996</v>
      </c>
      <c r="AB105" s="7">
        <f t="shared" si="17"/>
        <v>101765.29999999999</v>
      </c>
    </row>
    <row r="106" spans="1:28" x14ac:dyDescent="0.25">
      <c r="A106">
        <v>819852252</v>
      </c>
      <c r="B106" t="s">
        <v>529</v>
      </c>
      <c r="C106" t="s">
        <v>530</v>
      </c>
      <c r="D106" t="str">
        <f>B106&amp;" "&amp;C106</f>
        <v>Melva Brosoli</v>
      </c>
      <c r="E106" t="s">
        <v>7</v>
      </c>
      <c r="F106">
        <v>46160</v>
      </c>
      <c r="G106">
        <f>COUNTIF(deals_closed!D:D,Calculations!A106)</f>
        <v>16</v>
      </c>
      <c r="H106" s="2">
        <f>SUMIF(deals_closed!D:D,Calculations!A106,deals_closed!C:C)</f>
        <v>634351</v>
      </c>
      <c r="I106" s="2">
        <f>VLOOKUP(E106,'2018_commission_structure'!$A$11:$I$14,9,FALSE)</f>
        <v>500000</v>
      </c>
      <c r="J106" s="2">
        <f t="shared" si="9"/>
        <v>625000</v>
      </c>
      <c r="K106" s="2">
        <f t="shared" si="10"/>
        <v>750000</v>
      </c>
      <c r="L106" s="2">
        <f t="shared" si="11"/>
        <v>1000000</v>
      </c>
      <c r="M106" s="6">
        <f t="shared" si="12"/>
        <v>1.268702</v>
      </c>
      <c r="N106" t="str">
        <f t="shared" si="13"/>
        <v>125-150%</v>
      </c>
      <c r="O106" s="7">
        <f>MIN(I106,H106)*INDEX('2018_commission_structure'!$A$11:$I$14,MATCH(Calculations!$E106,'2018_commission_structure'!$A$11:$A$14,0),MATCH(Calculations!O$1,'2018_commission_structure'!$A$11:$I$11,0))</f>
        <v>50000</v>
      </c>
      <c r="P106" s="7">
        <f>IF($H106&gt;I106,MIN($H106-I106,J106-I106)*INDEX('2018_commission_structure'!$A$11:$I$14,MATCH(Calculations!$E106,'2018_commission_structure'!$A$11:$A$14,0), MATCH(Calculations!P$1,'2018_commission_structure'!$A$11:$I$11,0)),0)</f>
        <v>18750</v>
      </c>
      <c r="Q106" s="7">
        <f>IF($H106&gt;J106,MIN($H106-J106,K106-J106)*INDEX('2018_commission_structure'!$A$11:$I$14,MATCH(Calculations!$E106,'2018_commission_structure'!$A$11:$A$14,0), MATCH(Calculations!Q$1,'2018_commission_structure'!$A$11:$I$11,0)),0)</f>
        <v>1683.1799999999998</v>
      </c>
      <c r="R106" s="7">
        <f>IF($H106&gt;K106,MIN($H106-K106,L106-K106)*INDEX('2018_commission_structure'!$A$11:$I$14,MATCH(Calculations!$E106,'2018_commission_structure'!$A$11:$A$14,0), MATCH(Calculations!R$1,'2018_commission_structure'!$A$11:$I$11,0)),0)</f>
        <v>0</v>
      </c>
      <c r="S106" s="7">
        <f>IF(H106&gt;L106,(H106-L106)*INDEX('2018_commission_structure'!$A$11:$I$14,MATCH(Calculations!$E106,'2018_commission_structure'!$A$11:$A$14,0),MATCH(Calculations!S$1,'2018_commission_structure'!$A$11:$I$11,0)),0)</f>
        <v>0</v>
      </c>
      <c r="T106" s="7">
        <f t="shared" si="14"/>
        <v>70433.179999999993</v>
      </c>
      <c r="U106" s="7">
        <f t="shared" si="15"/>
        <v>116593.18</v>
      </c>
      <c r="V106" s="7">
        <f>MIN(H106,I106)*INDEX('2018_commission_structure'!$A$5:$J$8,MATCH(Calculations!$E106,'2018_commission_structure'!$A$5:$A$8,0),MATCH(Calculations!V$1,'2018_commission_structure'!$A$5:$J$5,0))</f>
        <v>60000</v>
      </c>
      <c r="W106" s="2">
        <f>IF($H106&gt;I106,MIN($H106-I106,J106-I106)*INDEX('2018_commission_structure'!$A$5:$J$8,MATCH(Calculations!$E106,'2018_commission_structure'!$A$5:$A$8,0),MATCH(Calculations!W$1,'2018_commission_structure'!$A$5:$J$5,0)),0)</f>
        <v>21250</v>
      </c>
      <c r="X106" s="2">
        <f>IF($H106&gt;J106,MIN($H106-J106,K106-J106)*INDEX('2018_commission_structure'!$A$5:$J$8,MATCH(Calculations!$E106,'2018_commission_structure'!$A$5:$A$8,0),MATCH(Calculations!X$1,'2018_commission_structure'!$A$5:$J$5,0)),0)</f>
        <v>1870.2</v>
      </c>
      <c r="Y106" s="2">
        <f>IF($H106&gt;K106,MIN($H106-K106,L106-K106)*INDEX('2018_commission_structure'!$A$5:$J$8,MATCH(Calculations!$E106,'2018_commission_structure'!$A$5:$A$8,0),MATCH(Calculations!Y$1,'2018_commission_structure'!$A$5:$J$5,0)),0)</f>
        <v>0</v>
      </c>
      <c r="Z106" s="2">
        <f xml:space="preserve"> IF(H106&gt;L106,(H106-L106)*INDEX('2018_commission_structure'!$A$11:$I$14,MATCH(Calculations!$E106,'2018_commission_structure'!$A$11:$A$14,0),MATCH(Calculations!Z$1,'2018_commission_structure'!$A$11:$I$11,0)),0)</f>
        <v>0</v>
      </c>
      <c r="AA106" s="7">
        <f t="shared" si="16"/>
        <v>83120.2</v>
      </c>
      <c r="AB106" s="7">
        <f t="shared" si="17"/>
        <v>129280.2</v>
      </c>
    </row>
    <row r="107" spans="1:28" x14ac:dyDescent="0.25">
      <c r="A107">
        <v>6789106936</v>
      </c>
      <c r="B107" t="s">
        <v>1779</v>
      </c>
      <c r="C107" t="s">
        <v>1780</v>
      </c>
      <c r="D107" t="str">
        <f>B107&amp;" "&amp;C107</f>
        <v>Brooks Brouncker</v>
      </c>
      <c r="E107" t="s">
        <v>10</v>
      </c>
      <c r="F107">
        <v>93300</v>
      </c>
      <c r="G107">
        <f>COUNTIF(deals_closed!D:D,Calculations!A107)</f>
        <v>22</v>
      </c>
      <c r="H107" s="2">
        <f>SUMIF(deals_closed!D:D,Calculations!A107,deals_closed!C:C)</f>
        <v>664319</v>
      </c>
      <c r="I107" s="2">
        <f>VLOOKUP(E107,'2018_commission_structure'!$A$11:$I$14,9,FALSE)</f>
        <v>750000</v>
      </c>
      <c r="J107" s="2">
        <f t="shared" si="9"/>
        <v>937500</v>
      </c>
      <c r="K107" s="2">
        <f t="shared" si="10"/>
        <v>1125000</v>
      </c>
      <c r="L107" s="2">
        <f t="shared" si="11"/>
        <v>1500000</v>
      </c>
      <c r="M107" s="6">
        <f t="shared" si="12"/>
        <v>0.88575866666666669</v>
      </c>
      <c r="N107" t="str">
        <f t="shared" si="13"/>
        <v>0-100%</v>
      </c>
      <c r="O107" s="7">
        <f>MIN(I107,H107)*INDEX('2018_commission_structure'!$A$11:$I$14,MATCH(Calculations!$E107,'2018_commission_structure'!$A$11:$A$14,0),MATCH(Calculations!O$1,'2018_commission_structure'!$A$11:$I$11,0))</f>
        <v>99647.849999999991</v>
      </c>
      <c r="P107" s="7">
        <f>IF($H107&gt;I107,MIN($H107-I107,J107-I107)*INDEX('2018_commission_structure'!$A$11:$I$14,MATCH(Calculations!$E107,'2018_commission_structure'!$A$11:$A$14,0), MATCH(Calculations!P$1,'2018_commission_structure'!$A$11:$I$11,0)),0)</f>
        <v>0</v>
      </c>
      <c r="Q107" s="7">
        <f>IF($H107&gt;J107,MIN($H107-J107,K107-J107)*INDEX('2018_commission_structure'!$A$11:$I$14,MATCH(Calculations!$E107,'2018_commission_structure'!$A$11:$A$14,0), MATCH(Calculations!Q$1,'2018_commission_structure'!$A$11:$I$11,0)),0)</f>
        <v>0</v>
      </c>
      <c r="R107" s="7">
        <f>IF($H107&gt;K107,MIN($H107-K107,L107-K107)*INDEX('2018_commission_structure'!$A$11:$I$14,MATCH(Calculations!$E107,'2018_commission_structure'!$A$11:$A$14,0), MATCH(Calculations!R$1,'2018_commission_structure'!$A$11:$I$11,0)),0)</f>
        <v>0</v>
      </c>
      <c r="S107" s="7">
        <f>IF(H107&gt;L107,(H107-L107)*INDEX('2018_commission_structure'!$A$11:$I$14,MATCH(Calculations!$E107,'2018_commission_structure'!$A$11:$A$14,0),MATCH(Calculations!S$1,'2018_commission_structure'!$A$11:$I$11,0)),0)</f>
        <v>0</v>
      </c>
      <c r="T107" s="7">
        <f t="shared" si="14"/>
        <v>99647.849999999991</v>
      </c>
      <c r="U107" s="7">
        <f t="shared" si="15"/>
        <v>192947.84999999998</v>
      </c>
      <c r="V107" s="7">
        <f>MIN(H107,I107)*INDEX('2018_commission_structure'!$A$5:$J$8,MATCH(Calculations!$E107,'2018_commission_structure'!$A$5:$A$8,0),MATCH(Calculations!V$1,'2018_commission_structure'!$A$5:$J$5,0))</f>
        <v>99647.849999999991</v>
      </c>
      <c r="W107" s="2">
        <f>IF($H107&gt;I107,MIN($H107-I107,J107-I107)*INDEX('2018_commission_structure'!$A$5:$J$8,MATCH(Calculations!$E107,'2018_commission_structure'!$A$5:$A$8,0),MATCH(Calculations!W$1,'2018_commission_structure'!$A$5:$J$5,0)),0)</f>
        <v>0</v>
      </c>
      <c r="X107" s="2">
        <f>IF($H107&gt;J107,MIN($H107-J107,K107-J107)*INDEX('2018_commission_structure'!$A$5:$J$8,MATCH(Calculations!$E107,'2018_commission_structure'!$A$5:$A$8,0),MATCH(Calculations!X$1,'2018_commission_structure'!$A$5:$J$5,0)),0)</f>
        <v>0</v>
      </c>
      <c r="Y107" s="2">
        <f>IF($H107&gt;K107,MIN($H107-K107,L107-K107)*INDEX('2018_commission_structure'!$A$5:$J$8,MATCH(Calculations!$E107,'2018_commission_structure'!$A$5:$A$8,0),MATCH(Calculations!Y$1,'2018_commission_structure'!$A$5:$J$5,0)),0)</f>
        <v>0</v>
      </c>
      <c r="Z107" s="2">
        <f xml:space="preserve"> IF(H107&gt;L107,(H107-L107)*INDEX('2018_commission_structure'!$A$11:$I$14,MATCH(Calculations!$E107,'2018_commission_structure'!$A$11:$A$14,0),MATCH(Calculations!Z$1,'2018_commission_structure'!$A$11:$I$11,0)),0)</f>
        <v>0</v>
      </c>
      <c r="AA107" s="7">
        <f t="shared" si="16"/>
        <v>99647.849999999991</v>
      </c>
      <c r="AB107" s="7">
        <f t="shared" si="17"/>
        <v>192947.84999999998</v>
      </c>
    </row>
    <row r="108" spans="1:28" x14ac:dyDescent="0.25">
      <c r="A108">
        <v>3473885983</v>
      </c>
      <c r="B108" t="s">
        <v>1168</v>
      </c>
      <c r="C108" t="s">
        <v>1169</v>
      </c>
      <c r="D108" t="str">
        <f>B108&amp;" "&amp;C108</f>
        <v>Melloney Brown</v>
      </c>
      <c r="E108" t="s">
        <v>10</v>
      </c>
      <c r="F108">
        <v>112137</v>
      </c>
      <c r="G108">
        <f>COUNTIF(deals_closed!D:D,Calculations!A108)</f>
        <v>24</v>
      </c>
      <c r="H108" s="2">
        <f>SUMIF(deals_closed!D:D,Calculations!A108,deals_closed!C:C)</f>
        <v>861253</v>
      </c>
      <c r="I108" s="2">
        <f>VLOOKUP(E108,'2018_commission_structure'!$A$11:$I$14,9,FALSE)</f>
        <v>750000</v>
      </c>
      <c r="J108" s="2">
        <f t="shared" si="9"/>
        <v>937500</v>
      </c>
      <c r="K108" s="2">
        <f t="shared" si="10"/>
        <v>1125000</v>
      </c>
      <c r="L108" s="2">
        <f t="shared" si="11"/>
        <v>1500000</v>
      </c>
      <c r="M108" s="6">
        <f t="shared" si="12"/>
        <v>1.1483373333333333</v>
      </c>
      <c r="N108" t="str">
        <f t="shared" si="13"/>
        <v>100-125%</v>
      </c>
      <c r="O108" s="7">
        <f>MIN(I108,H108)*INDEX('2018_commission_structure'!$A$11:$I$14,MATCH(Calculations!$E108,'2018_commission_structure'!$A$11:$A$14,0),MATCH(Calculations!O$1,'2018_commission_structure'!$A$11:$I$11,0))</f>
        <v>112500</v>
      </c>
      <c r="P108" s="7">
        <f>IF($H108&gt;I108,MIN($H108-I108,J108-I108)*INDEX('2018_commission_structure'!$A$11:$I$14,MATCH(Calculations!$E108,'2018_commission_structure'!$A$11:$A$14,0), MATCH(Calculations!P$1,'2018_commission_structure'!$A$11:$I$11,0)),0)</f>
        <v>21138.07</v>
      </c>
      <c r="Q108" s="7">
        <f>IF($H108&gt;J108,MIN($H108-J108,K108-J108)*INDEX('2018_commission_structure'!$A$11:$I$14,MATCH(Calculations!$E108,'2018_commission_structure'!$A$11:$A$14,0), MATCH(Calculations!Q$1,'2018_commission_structure'!$A$11:$I$11,0)),0)</f>
        <v>0</v>
      </c>
      <c r="R108" s="7">
        <f>IF($H108&gt;K108,MIN($H108-K108,L108-K108)*INDEX('2018_commission_structure'!$A$11:$I$14,MATCH(Calculations!$E108,'2018_commission_structure'!$A$11:$A$14,0), MATCH(Calculations!R$1,'2018_commission_structure'!$A$11:$I$11,0)),0)</f>
        <v>0</v>
      </c>
      <c r="S108" s="7">
        <f>IF(H108&gt;L108,(H108-L108)*INDEX('2018_commission_structure'!$A$11:$I$14,MATCH(Calculations!$E108,'2018_commission_structure'!$A$11:$A$14,0),MATCH(Calculations!S$1,'2018_commission_structure'!$A$11:$I$11,0)),0)</f>
        <v>0</v>
      </c>
      <c r="T108" s="7">
        <f t="shared" si="14"/>
        <v>133638.07</v>
      </c>
      <c r="U108" s="7">
        <f t="shared" si="15"/>
        <v>245775.07</v>
      </c>
      <c r="V108" s="7">
        <f>MIN(H108,I108)*INDEX('2018_commission_structure'!$A$5:$J$8,MATCH(Calculations!$E108,'2018_commission_structure'!$A$5:$A$8,0),MATCH(Calculations!V$1,'2018_commission_structure'!$A$5:$J$5,0))</f>
        <v>112500</v>
      </c>
      <c r="W108" s="2">
        <f>IF($H108&gt;I108,MIN($H108-I108,J108-I108)*INDEX('2018_commission_structure'!$A$5:$J$8,MATCH(Calculations!$E108,'2018_commission_structure'!$A$5:$A$8,0),MATCH(Calculations!W$1,'2018_commission_structure'!$A$5:$J$5,0)),0)</f>
        <v>24475.66</v>
      </c>
      <c r="X108" s="2">
        <f>IF($H108&gt;J108,MIN($H108-J108,K108-J108)*INDEX('2018_commission_structure'!$A$5:$J$8,MATCH(Calculations!$E108,'2018_commission_structure'!$A$5:$A$8,0),MATCH(Calculations!X$1,'2018_commission_structure'!$A$5:$J$5,0)),0)</f>
        <v>0</v>
      </c>
      <c r="Y108" s="2">
        <f>IF($H108&gt;K108,MIN($H108-K108,L108-K108)*INDEX('2018_commission_structure'!$A$5:$J$8,MATCH(Calculations!$E108,'2018_commission_structure'!$A$5:$A$8,0),MATCH(Calculations!Y$1,'2018_commission_structure'!$A$5:$J$5,0)),0)</f>
        <v>0</v>
      </c>
      <c r="Z108" s="2">
        <f xml:space="preserve"> IF(H108&gt;L108,(H108-L108)*INDEX('2018_commission_structure'!$A$11:$I$14,MATCH(Calculations!$E108,'2018_commission_structure'!$A$11:$A$14,0),MATCH(Calculations!Z$1,'2018_commission_structure'!$A$11:$I$11,0)),0)</f>
        <v>0</v>
      </c>
      <c r="AA108" s="7">
        <f t="shared" si="16"/>
        <v>136975.66</v>
      </c>
      <c r="AB108" s="7">
        <f t="shared" si="17"/>
        <v>249112.66</v>
      </c>
    </row>
    <row r="109" spans="1:28" x14ac:dyDescent="0.25">
      <c r="A109">
        <v>1280521902</v>
      </c>
      <c r="B109" t="s">
        <v>1714</v>
      </c>
      <c r="C109" t="s">
        <v>1715</v>
      </c>
      <c r="D109" t="str">
        <f>B109&amp;" "&amp;C109</f>
        <v>Lory Brundell</v>
      </c>
      <c r="E109" t="s">
        <v>10</v>
      </c>
      <c r="F109">
        <v>84921</v>
      </c>
      <c r="G109">
        <f>COUNTIF(deals_closed!D:D,Calculations!A109)</f>
        <v>14</v>
      </c>
      <c r="H109" s="2">
        <f>SUMIF(deals_closed!D:D,Calculations!A109,deals_closed!C:C)</f>
        <v>493164</v>
      </c>
      <c r="I109" s="2">
        <f>VLOOKUP(E109,'2018_commission_structure'!$A$11:$I$14,9,FALSE)</f>
        <v>750000</v>
      </c>
      <c r="J109" s="2">
        <f t="shared" si="9"/>
        <v>937500</v>
      </c>
      <c r="K109" s="2">
        <f t="shared" si="10"/>
        <v>1125000</v>
      </c>
      <c r="L109" s="2">
        <f t="shared" si="11"/>
        <v>1500000</v>
      </c>
      <c r="M109" s="6">
        <f t="shared" si="12"/>
        <v>0.65755200000000003</v>
      </c>
      <c r="N109" t="str">
        <f t="shared" si="13"/>
        <v>0-100%</v>
      </c>
      <c r="O109" s="7">
        <f>MIN(I109,H109)*INDEX('2018_commission_structure'!$A$11:$I$14,MATCH(Calculations!$E109,'2018_commission_structure'!$A$11:$A$14,0),MATCH(Calculations!O$1,'2018_commission_structure'!$A$11:$I$11,0))</f>
        <v>73974.599999999991</v>
      </c>
      <c r="P109" s="7">
        <f>IF($H109&gt;I109,MIN($H109-I109,J109-I109)*INDEX('2018_commission_structure'!$A$11:$I$14,MATCH(Calculations!$E109,'2018_commission_structure'!$A$11:$A$14,0), MATCH(Calculations!P$1,'2018_commission_structure'!$A$11:$I$11,0)),0)</f>
        <v>0</v>
      </c>
      <c r="Q109" s="7">
        <f>IF($H109&gt;J109,MIN($H109-J109,K109-J109)*INDEX('2018_commission_structure'!$A$11:$I$14,MATCH(Calculations!$E109,'2018_commission_structure'!$A$11:$A$14,0), MATCH(Calculations!Q$1,'2018_commission_structure'!$A$11:$I$11,0)),0)</f>
        <v>0</v>
      </c>
      <c r="R109" s="7">
        <f>IF($H109&gt;K109,MIN($H109-K109,L109-K109)*INDEX('2018_commission_structure'!$A$11:$I$14,MATCH(Calculations!$E109,'2018_commission_structure'!$A$11:$A$14,0), MATCH(Calculations!R$1,'2018_commission_structure'!$A$11:$I$11,0)),0)</f>
        <v>0</v>
      </c>
      <c r="S109" s="7">
        <f>IF(H109&gt;L109,(H109-L109)*INDEX('2018_commission_structure'!$A$11:$I$14,MATCH(Calculations!$E109,'2018_commission_structure'!$A$11:$A$14,0),MATCH(Calculations!S$1,'2018_commission_structure'!$A$11:$I$11,0)),0)</f>
        <v>0</v>
      </c>
      <c r="T109" s="7">
        <f t="shared" si="14"/>
        <v>73974.599999999991</v>
      </c>
      <c r="U109" s="7">
        <f t="shared" si="15"/>
        <v>158895.59999999998</v>
      </c>
      <c r="V109" s="7">
        <f>MIN(H109,I109)*INDEX('2018_commission_structure'!$A$5:$J$8,MATCH(Calculations!$E109,'2018_commission_structure'!$A$5:$A$8,0),MATCH(Calculations!V$1,'2018_commission_structure'!$A$5:$J$5,0))</f>
        <v>73974.599999999991</v>
      </c>
      <c r="W109" s="2">
        <f>IF($H109&gt;I109,MIN($H109-I109,J109-I109)*INDEX('2018_commission_structure'!$A$5:$J$8,MATCH(Calculations!$E109,'2018_commission_structure'!$A$5:$A$8,0),MATCH(Calculations!W$1,'2018_commission_structure'!$A$5:$J$5,0)),0)</f>
        <v>0</v>
      </c>
      <c r="X109" s="2">
        <f>IF($H109&gt;J109,MIN($H109-J109,K109-J109)*INDEX('2018_commission_structure'!$A$5:$J$8,MATCH(Calculations!$E109,'2018_commission_structure'!$A$5:$A$8,0),MATCH(Calculations!X$1,'2018_commission_structure'!$A$5:$J$5,0)),0)</f>
        <v>0</v>
      </c>
      <c r="Y109" s="2">
        <f>IF($H109&gt;K109,MIN($H109-K109,L109-K109)*INDEX('2018_commission_structure'!$A$5:$J$8,MATCH(Calculations!$E109,'2018_commission_structure'!$A$5:$A$8,0),MATCH(Calculations!Y$1,'2018_commission_structure'!$A$5:$J$5,0)),0)</f>
        <v>0</v>
      </c>
      <c r="Z109" s="2">
        <f xml:space="preserve"> IF(H109&gt;L109,(H109-L109)*INDEX('2018_commission_structure'!$A$11:$I$14,MATCH(Calculations!$E109,'2018_commission_structure'!$A$11:$A$14,0),MATCH(Calculations!Z$1,'2018_commission_structure'!$A$11:$I$11,0)),0)</f>
        <v>0</v>
      </c>
      <c r="AA109" s="7">
        <f t="shared" si="16"/>
        <v>73974.599999999991</v>
      </c>
      <c r="AB109" s="7">
        <f t="shared" si="17"/>
        <v>158895.59999999998</v>
      </c>
    </row>
    <row r="110" spans="1:28" x14ac:dyDescent="0.25">
      <c r="A110">
        <v>1565607864</v>
      </c>
      <c r="B110" t="s">
        <v>1333</v>
      </c>
      <c r="C110" t="s">
        <v>1334</v>
      </c>
      <c r="D110" t="str">
        <f>B110&amp;" "&amp;C110</f>
        <v>Sheilakathryn Buckberry</v>
      </c>
      <c r="E110" t="s">
        <v>10</v>
      </c>
      <c r="F110">
        <v>75155</v>
      </c>
      <c r="G110">
        <f>COUNTIF(deals_closed!D:D,Calculations!A110)</f>
        <v>13</v>
      </c>
      <c r="H110" s="2">
        <f>SUMIF(deals_closed!D:D,Calculations!A110,deals_closed!C:C)</f>
        <v>474301</v>
      </c>
      <c r="I110" s="2">
        <f>VLOOKUP(E110,'2018_commission_structure'!$A$11:$I$14,9,FALSE)</f>
        <v>750000</v>
      </c>
      <c r="J110" s="2">
        <f t="shared" si="9"/>
        <v>937500</v>
      </c>
      <c r="K110" s="2">
        <f t="shared" si="10"/>
        <v>1125000</v>
      </c>
      <c r="L110" s="2">
        <f t="shared" si="11"/>
        <v>1500000</v>
      </c>
      <c r="M110" s="6">
        <f t="shared" si="12"/>
        <v>0.63240133333333337</v>
      </c>
      <c r="N110" t="str">
        <f t="shared" si="13"/>
        <v>0-100%</v>
      </c>
      <c r="O110" s="7">
        <f>MIN(I110,H110)*INDEX('2018_commission_structure'!$A$11:$I$14,MATCH(Calculations!$E110,'2018_commission_structure'!$A$11:$A$14,0),MATCH(Calculations!O$1,'2018_commission_structure'!$A$11:$I$11,0))</f>
        <v>71145.149999999994</v>
      </c>
      <c r="P110" s="7">
        <f>IF($H110&gt;I110,MIN($H110-I110,J110-I110)*INDEX('2018_commission_structure'!$A$11:$I$14,MATCH(Calculations!$E110,'2018_commission_structure'!$A$11:$A$14,0), MATCH(Calculations!P$1,'2018_commission_structure'!$A$11:$I$11,0)),0)</f>
        <v>0</v>
      </c>
      <c r="Q110" s="7">
        <f>IF($H110&gt;J110,MIN($H110-J110,K110-J110)*INDEX('2018_commission_structure'!$A$11:$I$14,MATCH(Calculations!$E110,'2018_commission_structure'!$A$11:$A$14,0), MATCH(Calculations!Q$1,'2018_commission_structure'!$A$11:$I$11,0)),0)</f>
        <v>0</v>
      </c>
      <c r="R110" s="7">
        <f>IF($H110&gt;K110,MIN($H110-K110,L110-K110)*INDEX('2018_commission_structure'!$A$11:$I$14,MATCH(Calculations!$E110,'2018_commission_structure'!$A$11:$A$14,0), MATCH(Calculations!R$1,'2018_commission_structure'!$A$11:$I$11,0)),0)</f>
        <v>0</v>
      </c>
      <c r="S110" s="7">
        <f>IF(H110&gt;L110,(H110-L110)*INDEX('2018_commission_structure'!$A$11:$I$14,MATCH(Calculations!$E110,'2018_commission_structure'!$A$11:$A$14,0),MATCH(Calculations!S$1,'2018_commission_structure'!$A$11:$I$11,0)),0)</f>
        <v>0</v>
      </c>
      <c r="T110" s="7">
        <f t="shared" si="14"/>
        <v>71145.149999999994</v>
      </c>
      <c r="U110" s="7">
        <f t="shared" si="15"/>
        <v>146300.15</v>
      </c>
      <c r="V110" s="7">
        <f>MIN(H110,I110)*INDEX('2018_commission_structure'!$A$5:$J$8,MATCH(Calculations!$E110,'2018_commission_structure'!$A$5:$A$8,0),MATCH(Calculations!V$1,'2018_commission_structure'!$A$5:$J$5,0))</f>
        <v>71145.149999999994</v>
      </c>
      <c r="W110" s="2">
        <f>IF($H110&gt;I110,MIN($H110-I110,J110-I110)*INDEX('2018_commission_structure'!$A$5:$J$8,MATCH(Calculations!$E110,'2018_commission_structure'!$A$5:$A$8,0),MATCH(Calculations!W$1,'2018_commission_structure'!$A$5:$J$5,0)),0)</f>
        <v>0</v>
      </c>
      <c r="X110" s="2">
        <f>IF($H110&gt;J110,MIN($H110-J110,K110-J110)*INDEX('2018_commission_structure'!$A$5:$J$8,MATCH(Calculations!$E110,'2018_commission_structure'!$A$5:$A$8,0),MATCH(Calculations!X$1,'2018_commission_structure'!$A$5:$J$5,0)),0)</f>
        <v>0</v>
      </c>
      <c r="Y110" s="2">
        <f>IF($H110&gt;K110,MIN($H110-K110,L110-K110)*INDEX('2018_commission_structure'!$A$5:$J$8,MATCH(Calculations!$E110,'2018_commission_structure'!$A$5:$A$8,0),MATCH(Calculations!Y$1,'2018_commission_structure'!$A$5:$J$5,0)),0)</f>
        <v>0</v>
      </c>
      <c r="Z110" s="2">
        <f xml:space="preserve"> IF(H110&gt;L110,(H110-L110)*INDEX('2018_commission_structure'!$A$11:$I$14,MATCH(Calculations!$E110,'2018_commission_structure'!$A$11:$A$14,0),MATCH(Calculations!Z$1,'2018_commission_structure'!$A$11:$I$11,0)),0)</f>
        <v>0</v>
      </c>
      <c r="AA110" s="7">
        <f t="shared" si="16"/>
        <v>71145.149999999994</v>
      </c>
      <c r="AB110" s="7">
        <f t="shared" si="17"/>
        <v>146300.15</v>
      </c>
    </row>
    <row r="111" spans="1:28" x14ac:dyDescent="0.25">
      <c r="A111">
        <v>7427985850</v>
      </c>
      <c r="B111" t="s">
        <v>1077</v>
      </c>
      <c r="C111" t="s">
        <v>1078</v>
      </c>
      <c r="D111" t="str">
        <f>B111&amp;" "&amp;C111</f>
        <v>Tallie Buckner</v>
      </c>
      <c r="E111" t="s">
        <v>10</v>
      </c>
      <c r="F111">
        <v>77743</v>
      </c>
      <c r="G111">
        <f>COUNTIF(deals_closed!D:D,Calculations!A111)</f>
        <v>21</v>
      </c>
      <c r="H111" s="2">
        <f>SUMIF(deals_closed!D:D,Calculations!A111,deals_closed!C:C)</f>
        <v>764254</v>
      </c>
      <c r="I111" s="2">
        <f>VLOOKUP(E111,'2018_commission_structure'!$A$11:$I$14,9,FALSE)</f>
        <v>750000</v>
      </c>
      <c r="J111" s="2">
        <f t="shared" si="9"/>
        <v>937500</v>
      </c>
      <c r="K111" s="2">
        <f t="shared" si="10"/>
        <v>1125000</v>
      </c>
      <c r="L111" s="2">
        <f t="shared" si="11"/>
        <v>1500000</v>
      </c>
      <c r="M111" s="6">
        <f t="shared" si="12"/>
        <v>1.0190053333333333</v>
      </c>
      <c r="N111" t="str">
        <f t="shared" si="13"/>
        <v>100-125%</v>
      </c>
      <c r="O111" s="7">
        <f>MIN(I111,H111)*INDEX('2018_commission_structure'!$A$11:$I$14,MATCH(Calculations!$E111,'2018_commission_structure'!$A$11:$A$14,0),MATCH(Calculations!O$1,'2018_commission_structure'!$A$11:$I$11,0))</f>
        <v>112500</v>
      </c>
      <c r="P111" s="7">
        <f>IF($H111&gt;I111,MIN($H111-I111,J111-I111)*INDEX('2018_commission_structure'!$A$11:$I$14,MATCH(Calculations!$E111,'2018_commission_structure'!$A$11:$A$14,0), MATCH(Calculations!P$1,'2018_commission_structure'!$A$11:$I$11,0)),0)</f>
        <v>2708.26</v>
      </c>
      <c r="Q111" s="7">
        <f>IF($H111&gt;J111,MIN($H111-J111,K111-J111)*INDEX('2018_commission_structure'!$A$11:$I$14,MATCH(Calculations!$E111,'2018_commission_structure'!$A$11:$A$14,0), MATCH(Calculations!Q$1,'2018_commission_structure'!$A$11:$I$11,0)),0)</f>
        <v>0</v>
      </c>
      <c r="R111" s="7">
        <f>IF($H111&gt;K111,MIN($H111-K111,L111-K111)*INDEX('2018_commission_structure'!$A$11:$I$14,MATCH(Calculations!$E111,'2018_commission_structure'!$A$11:$A$14,0), MATCH(Calculations!R$1,'2018_commission_structure'!$A$11:$I$11,0)),0)</f>
        <v>0</v>
      </c>
      <c r="S111" s="7">
        <f>IF(H111&gt;L111,(H111-L111)*INDEX('2018_commission_structure'!$A$11:$I$14,MATCH(Calculations!$E111,'2018_commission_structure'!$A$11:$A$14,0),MATCH(Calculations!S$1,'2018_commission_structure'!$A$11:$I$11,0)),0)</f>
        <v>0</v>
      </c>
      <c r="T111" s="7">
        <f t="shared" si="14"/>
        <v>115208.26</v>
      </c>
      <c r="U111" s="7">
        <f t="shared" si="15"/>
        <v>192951.26</v>
      </c>
      <c r="V111" s="7">
        <f>MIN(H111,I111)*INDEX('2018_commission_structure'!$A$5:$J$8,MATCH(Calculations!$E111,'2018_commission_structure'!$A$5:$A$8,0),MATCH(Calculations!V$1,'2018_commission_structure'!$A$5:$J$5,0))</f>
        <v>112500</v>
      </c>
      <c r="W111" s="2">
        <f>IF($H111&gt;I111,MIN($H111-I111,J111-I111)*INDEX('2018_commission_structure'!$A$5:$J$8,MATCH(Calculations!$E111,'2018_commission_structure'!$A$5:$A$8,0),MATCH(Calculations!W$1,'2018_commission_structure'!$A$5:$J$5,0)),0)</f>
        <v>3135.88</v>
      </c>
      <c r="X111" s="2">
        <f>IF($H111&gt;J111,MIN($H111-J111,K111-J111)*INDEX('2018_commission_structure'!$A$5:$J$8,MATCH(Calculations!$E111,'2018_commission_structure'!$A$5:$A$8,0),MATCH(Calculations!X$1,'2018_commission_structure'!$A$5:$J$5,0)),0)</f>
        <v>0</v>
      </c>
      <c r="Y111" s="2">
        <f>IF($H111&gt;K111,MIN($H111-K111,L111-K111)*INDEX('2018_commission_structure'!$A$5:$J$8,MATCH(Calculations!$E111,'2018_commission_structure'!$A$5:$A$8,0),MATCH(Calculations!Y$1,'2018_commission_structure'!$A$5:$J$5,0)),0)</f>
        <v>0</v>
      </c>
      <c r="Z111" s="2">
        <f xml:space="preserve"> IF(H111&gt;L111,(H111-L111)*INDEX('2018_commission_structure'!$A$11:$I$14,MATCH(Calculations!$E111,'2018_commission_structure'!$A$11:$A$14,0),MATCH(Calculations!Z$1,'2018_commission_structure'!$A$11:$I$11,0)),0)</f>
        <v>0</v>
      </c>
      <c r="AA111" s="7">
        <f t="shared" si="16"/>
        <v>115635.88</v>
      </c>
      <c r="AB111" s="7">
        <f t="shared" si="17"/>
        <v>193378.88</v>
      </c>
    </row>
    <row r="112" spans="1:28" x14ac:dyDescent="0.25">
      <c r="A112">
        <v>449160092</v>
      </c>
      <c r="B112" t="s">
        <v>1437</v>
      </c>
      <c r="C112" t="s">
        <v>1438</v>
      </c>
      <c r="D112" t="str">
        <f>B112&amp;" "&amp;C112</f>
        <v>Martyn Bunhill</v>
      </c>
      <c r="E112" t="s">
        <v>7</v>
      </c>
      <c r="F112">
        <v>35607</v>
      </c>
      <c r="G112">
        <f>COUNTIF(deals_closed!D:D,Calculations!A112)</f>
        <v>17</v>
      </c>
      <c r="H112" s="2">
        <f>SUMIF(deals_closed!D:D,Calculations!A112,deals_closed!C:C)</f>
        <v>516004</v>
      </c>
      <c r="I112" s="2">
        <f>VLOOKUP(E112,'2018_commission_structure'!$A$11:$I$14,9,FALSE)</f>
        <v>500000</v>
      </c>
      <c r="J112" s="2">
        <f t="shared" si="9"/>
        <v>625000</v>
      </c>
      <c r="K112" s="2">
        <f t="shared" si="10"/>
        <v>750000</v>
      </c>
      <c r="L112" s="2">
        <f t="shared" si="11"/>
        <v>1000000</v>
      </c>
      <c r="M112" s="6">
        <f t="shared" si="12"/>
        <v>1.032008</v>
      </c>
      <c r="N112" t="str">
        <f t="shared" si="13"/>
        <v>100-125%</v>
      </c>
      <c r="O112" s="7">
        <f>MIN(I112,H112)*INDEX('2018_commission_structure'!$A$11:$I$14,MATCH(Calculations!$E112,'2018_commission_structure'!$A$11:$A$14,0),MATCH(Calculations!O$1,'2018_commission_structure'!$A$11:$I$11,0))</f>
        <v>50000</v>
      </c>
      <c r="P112" s="7">
        <f>IF($H112&gt;I112,MIN($H112-I112,J112-I112)*INDEX('2018_commission_structure'!$A$11:$I$14,MATCH(Calculations!$E112,'2018_commission_structure'!$A$11:$A$14,0), MATCH(Calculations!P$1,'2018_commission_structure'!$A$11:$I$11,0)),0)</f>
        <v>2400.6</v>
      </c>
      <c r="Q112" s="7">
        <f>IF($H112&gt;J112,MIN($H112-J112,K112-J112)*INDEX('2018_commission_structure'!$A$11:$I$14,MATCH(Calculations!$E112,'2018_commission_structure'!$A$11:$A$14,0), MATCH(Calculations!Q$1,'2018_commission_structure'!$A$11:$I$11,0)),0)</f>
        <v>0</v>
      </c>
      <c r="R112" s="7">
        <f>IF($H112&gt;K112,MIN($H112-K112,L112-K112)*INDEX('2018_commission_structure'!$A$11:$I$14,MATCH(Calculations!$E112,'2018_commission_structure'!$A$11:$A$14,0), MATCH(Calculations!R$1,'2018_commission_structure'!$A$11:$I$11,0)),0)</f>
        <v>0</v>
      </c>
      <c r="S112" s="7">
        <f>IF(H112&gt;L112,(H112-L112)*INDEX('2018_commission_structure'!$A$11:$I$14,MATCH(Calculations!$E112,'2018_commission_structure'!$A$11:$A$14,0),MATCH(Calculations!S$1,'2018_commission_structure'!$A$11:$I$11,0)),0)</f>
        <v>0</v>
      </c>
      <c r="T112" s="7">
        <f t="shared" si="14"/>
        <v>52400.6</v>
      </c>
      <c r="U112" s="7">
        <f t="shared" si="15"/>
        <v>88007.6</v>
      </c>
      <c r="V112" s="7">
        <f>MIN(H112,I112)*INDEX('2018_commission_structure'!$A$5:$J$8,MATCH(Calculations!$E112,'2018_commission_structure'!$A$5:$A$8,0),MATCH(Calculations!V$1,'2018_commission_structure'!$A$5:$J$5,0))</f>
        <v>60000</v>
      </c>
      <c r="W112" s="2">
        <f>IF($H112&gt;I112,MIN($H112-I112,J112-I112)*INDEX('2018_commission_structure'!$A$5:$J$8,MATCH(Calculations!$E112,'2018_commission_structure'!$A$5:$A$8,0),MATCH(Calculations!W$1,'2018_commission_structure'!$A$5:$J$5,0)),0)</f>
        <v>2720.6800000000003</v>
      </c>
      <c r="X112" s="2">
        <f>IF($H112&gt;J112,MIN($H112-J112,K112-J112)*INDEX('2018_commission_structure'!$A$5:$J$8,MATCH(Calculations!$E112,'2018_commission_structure'!$A$5:$A$8,0),MATCH(Calculations!X$1,'2018_commission_structure'!$A$5:$J$5,0)),0)</f>
        <v>0</v>
      </c>
      <c r="Y112" s="2">
        <f>IF($H112&gt;K112,MIN($H112-K112,L112-K112)*INDEX('2018_commission_structure'!$A$5:$J$8,MATCH(Calculations!$E112,'2018_commission_structure'!$A$5:$A$8,0),MATCH(Calculations!Y$1,'2018_commission_structure'!$A$5:$J$5,0)),0)</f>
        <v>0</v>
      </c>
      <c r="Z112" s="2">
        <f xml:space="preserve"> IF(H112&gt;L112,(H112-L112)*INDEX('2018_commission_structure'!$A$11:$I$14,MATCH(Calculations!$E112,'2018_commission_structure'!$A$11:$A$14,0),MATCH(Calculations!Z$1,'2018_commission_structure'!$A$11:$I$11,0)),0)</f>
        <v>0</v>
      </c>
      <c r="AA112" s="7">
        <f t="shared" si="16"/>
        <v>62720.68</v>
      </c>
      <c r="AB112" s="7">
        <f t="shared" si="17"/>
        <v>98327.679999999993</v>
      </c>
    </row>
    <row r="113" spans="1:28" x14ac:dyDescent="0.25">
      <c r="A113">
        <v>2859566597</v>
      </c>
      <c r="B113" t="s">
        <v>453</v>
      </c>
      <c r="C113" t="s">
        <v>1341</v>
      </c>
      <c r="D113" t="str">
        <f>B113&amp;" "&amp;C113</f>
        <v>Hillel Burdett</v>
      </c>
      <c r="E113" t="s">
        <v>29</v>
      </c>
      <c r="F113">
        <v>76647</v>
      </c>
      <c r="G113">
        <f>COUNTIF(deals_closed!D:D,Calculations!A113)</f>
        <v>7</v>
      </c>
      <c r="H113" s="2">
        <f>SUMIF(deals_closed!D:D,Calculations!A113,deals_closed!C:C)</f>
        <v>334109</v>
      </c>
      <c r="I113" s="2">
        <f>VLOOKUP(E113,'2018_commission_structure'!$A$11:$I$14,9,FALSE)</f>
        <v>600000</v>
      </c>
      <c r="J113" s="2">
        <f t="shared" si="9"/>
        <v>750000</v>
      </c>
      <c r="K113" s="2">
        <f t="shared" si="10"/>
        <v>900000</v>
      </c>
      <c r="L113" s="2">
        <f t="shared" si="11"/>
        <v>1200000</v>
      </c>
      <c r="M113" s="6">
        <f t="shared" si="12"/>
        <v>0.55684833333333328</v>
      </c>
      <c r="N113" t="str">
        <f t="shared" si="13"/>
        <v>0-100%</v>
      </c>
      <c r="O113" s="7">
        <f>MIN(I113,H113)*INDEX('2018_commission_structure'!$A$11:$I$14,MATCH(Calculations!$E113,'2018_commission_structure'!$A$11:$A$14,0),MATCH(Calculations!O$1,'2018_commission_structure'!$A$11:$I$11,0))</f>
        <v>43434.17</v>
      </c>
      <c r="P113" s="7">
        <f>IF($H113&gt;I113,MIN($H113-I113,J113-I113)*INDEX('2018_commission_structure'!$A$11:$I$14,MATCH(Calculations!$E113,'2018_commission_structure'!$A$11:$A$14,0), MATCH(Calculations!P$1,'2018_commission_structure'!$A$11:$I$11,0)),0)</f>
        <v>0</v>
      </c>
      <c r="Q113" s="7">
        <f>IF($H113&gt;J113,MIN($H113-J113,K113-J113)*INDEX('2018_commission_structure'!$A$11:$I$14,MATCH(Calculations!$E113,'2018_commission_structure'!$A$11:$A$14,0), MATCH(Calculations!Q$1,'2018_commission_structure'!$A$11:$I$11,0)),0)</f>
        <v>0</v>
      </c>
      <c r="R113" s="7">
        <f>IF($H113&gt;K113,MIN($H113-K113,L113-K113)*INDEX('2018_commission_structure'!$A$11:$I$14,MATCH(Calculations!$E113,'2018_commission_structure'!$A$11:$A$14,0), MATCH(Calculations!R$1,'2018_commission_structure'!$A$11:$I$11,0)),0)</f>
        <v>0</v>
      </c>
      <c r="S113" s="7">
        <f>IF(H113&gt;L113,(H113-L113)*INDEX('2018_commission_structure'!$A$11:$I$14,MATCH(Calculations!$E113,'2018_commission_structure'!$A$11:$A$14,0),MATCH(Calculations!S$1,'2018_commission_structure'!$A$11:$I$11,0)),0)</f>
        <v>0</v>
      </c>
      <c r="T113" s="7">
        <f t="shared" si="14"/>
        <v>43434.17</v>
      </c>
      <c r="U113" s="7">
        <f t="shared" si="15"/>
        <v>120081.17</v>
      </c>
      <c r="V113" s="7">
        <f>MIN(H113,I113)*INDEX('2018_commission_structure'!$A$5:$J$8,MATCH(Calculations!$E113,'2018_commission_structure'!$A$5:$A$8,0),MATCH(Calculations!V$1,'2018_commission_structure'!$A$5:$J$5,0))</f>
        <v>50116.35</v>
      </c>
      <c r="W113" s="2">
        <f>IF($H113&gt;I113,MIN($H113-I113,J113-I113)*INDEX('2018_commission_structure'!$A$5:$J$8,MATCH(Calculations!$E113,'2018_commission_structure'!$A$5:$A$8,0),MATCH(Calculations!W$1,'2018_commission_structure'!$A$5:$J$5,0)),0)</f>
        <v>0</v>
      </c>
      <c r="X113" s="2">
        <f>IF($H113&gt;J113,MIN($H113-J113,K113-J113)*INDEX('2018_commission_structure'!$A$5:$J$8,MATCH(Calculations!$E113,'2018_commission_structure'!$A$5:$A$8,0),MATCH(Calculations!X$1,'2018_commission_structure'!$A$5:$J$5,0)),0)</f>
        <v>0</v>
      </c>
      <c r="Y113" s="2">
        <f>IF($H113&gt;K113,MIN($H113-K113,L113-K113)*INDEX('2018_commission_structure'!$A$5:$J$8,MATCH(Calculations!$E113,'2018_commission_structure'!$A$5:$A$8,0),MATCH(Calculations!Y$1,'2018_commission_structure'!$A$5:$J$5,0)),0)</f>
        <v>0</v>
      </c>
      <c r="Z113" s="2">
        <f xml:space="preserve"> IF(H113&gt;L113,(H113-L113)*INDEX('2018_commission_structure'!$A$11:$I$14,MATCH(Calculations!$E113,'2018_commission_structure'!$A$11:$A$14,0),MATCH(Calculations!Z$1,'2018_commission_structure'!$A$11:$I$11,0)),0)</f>
        <v>0</v>
      </c>
      <c r="AA113" s="7">
        <f t="shared" si="16"/>
        <v>50116.35</v>
      </c>
      <c r="AB113" s="7">
        <f t="shared" si="17"/>
        <v>126763.35</v>
      </c>
    </row>
    <row r="114" spans="1:28" x14ac:dyDescent="0.25">
      <c r="A114">
        <v>6276010022</v>
      </c>
      <c r="B114" t="s">
        <v>499</v>
      </c>
      <c r="C114" t="s">
        <v>500</v>
      </c>
      <c r="D114" t="str">
        <f>B114&amp;" "&amp;C114</f>
        <v>Darcey Caldaro</v>
      </c>
      <c r="E114" t="s">
        <v>7</v>
      </c>
      <c r="F114">
        <v>58074</v>
      </c>
      <c r="G114">
        <f>COUNTIF(deals_closed!D:D,Calculations!A114)</f>
        <v>14</v>
      </c>
      <c r="H114" s="2">
        <f>SUMIF(deals_closed!D:D,Calculations!A114,deals_closed!C:C)</f>
        <v>592368</v>
      </c>
      <c r="I114" s="2">
        <f>VLOOKUP(E114,'2018_commission_structure'!$A$11:$I$14,9,FALSE)</f>
        <v>500000</v>
      </c>
      <c r="J114" s="2">
        <f t="shared" si="9"/>
        <v>625000</v>
      </c>
      <c r="K114" s="2">
        <f t="shared" si="10"/>
        <v>750000</v>
      </c>
      <c r="L114" s="2">
        <f t="shared" si="11"/>
        <v>1000000</v>
      </c>
      <c r="M114" s="6">
        <f t="shared" si="12"/>
        <v>1.184736</v>
      </c>
      <c r="N114" t="str">
        <f t="shared" si="13"/>
        <v>100-125%</v>
      </c>
      <c r="O114" s="7">
        <f>MIN(I114,H114)*INDEX('2018_commission_structure'!$A$11:$I$14,MATCH(Calculations!$E114,'2018_commission_structure'!$A$11:$A$14,0),MATCH(Calculations!O$1,'2018_commission_structure'!$A$11:$I$11,0))</f>
        <v>50000</v>
      </c>
      <c r="P114" s="7">
        <f>IF($H114&gt;I114,MIN($H114-I114,J114-I114)*INDEX('2018_commission_structure'!$A$11:$I$14,MATCH(Calculations!$E114,'2018_commission_structure'!$A$11:$A$14,0), MATCH(Calculations!P$1,'2018_commission_structure'!$A$11:$I$11,0)),0)</f>
        <v>13855.199999999999</v>
      </c>
      <c r="Q114" s="7">
        <f>IF($H114&gt;J114,MIN($H114-J114,K114-J114)*INDEX('2018_commission_structure'!$A$11:$I$14,MATCH(Calculations!$E114,'2018_commission_structure'!$A$11:$A$14,0), MATCH(Calculations!Q$1,'2018_commission_structure'!$A$11:$I$11,0)),0)</f>
        <v>0</v>
      </c>
      <c r="R114" s="7">
        <f>IF($H114&gt;K114,MIN($H114-K114,L114-K114)*INDEX('2018_commission_structure'!$A$11:$I$14,MATCH(Calculations!$E114,'2018_commission_structure'!$A$11:$A$14,0), MATCH(Calculations!R$1,'2018_commission_structure'!$A$11:$I$11,0)),0)</f>
        <v>0</v>
      </c>
      <c r="S114" s="7">
        <f>IF(H114&gt;L114,(H114-L114)*INDEX('2018_commission_structure'!$A$11:$I$14,MATCH(Calculations!$E114,'2018_commission_structure'!$A$11:$A$14,0),MATCH(Calculations!S$1,'2018_commission_structure'!$A$11:$I$11,0)),0)</f>
        <v>0</v>
      </c>
      <c r="T114" s="7">
        <f t="shared" si="14"/>
        <v>63855.199999999997</v>
      </c>
      <c r="U114" s="7">
        <f t="shared" si="15"/>
        <v>121929.2</v>
      </c>
      <c r="V114" s="7">
        <f>MIN(H114,I114)*INDEX('2018_commission_structure'!$A$5:$J$8,MATCH(Calculations!$E114,'2018_commission_structure'!$A$5:$A$8,0),MATCH(Calculations!V$1,'2018_commission_structure'!$A$5:$J$5,0))</f>
        <v>60000</v>
      </c>
      <c r="W114" s="2">
        <f>IF($H114&gt;I114,MIN($H114-I114,J114-I114)*INDEX('2018_commission_structure'!$A$5:$J$8,MATCH(Calculations!$E114,'2018_commission_structure'!$A$5:$A$8,0),MATCH(Calculations!W$1,'2018_commission_structure'!$A$5:$J$5,0)),0)</f>
        <v>15702.560000000001</v>
      </c>
      <c r="X114" s="2">
        <f>IF($H114&gt;J114,MIN($H114-J114,K114-J114)*INDEX('2018_commission_structure'!$A$5:$J$8,MATCH(Calculations!$E114,'2018_commission_structure'!$A$5:$A$8,0),MATCH(Calculations!X$1,'2018_commission_structure'!$A$5:$J$5,0)),0)</f>
        <v>0</v>
      </c>
      <c r="Y114" s="2">
        <f>IF($H114&gt;K114,MIN($H114-K114,L114-K114)*INDEX('2018_commission_structure'!$A$5:$J$8,MATCH(Calculations!$E114,'2018_commission_structure'!$A$5:$A$8,0),MATCH(Calculations!Y$1,'2018_commission_structure'!$A$5:$J$5,0)),0)</f>
        <v>0</v>
      </c>
      <c r="Z114" s="2">
        <f xml:space="preserve"> IF(H114&gt;L114,(H114-L114)*INDEX('2018_commission_structure'!$A$11:$I$14,MATCH(Calculations!$E114,'2018_commission_structure'!$A$11:$A$14,0),MATCH(Calculations!Z$1,'2018_commission_structure'!$A$11:$I$11,0)),0)</f>
        <v>0</v>
      </c>
      <c r="AA114" s="7">
        <f t="shared" si="16"/>
        <v>75702.559999999998</v>
      </c>
      <c r="AB114" s="7">
        <f t="shared" si="17"/>
        <v>133776.56</v>
      </c>
    </row>
    <row r="115" spans="1:28" x14ac:dyDescent="0.25">
      <c r="A115">
        <v>8145387981</v>
      </c>
      <c r="B115" t="s">
        <v>1375</v>
      </c>
      <c r="C115" t="s">
        <v>1376</v>
      </c>
      <c r="D115" t="str">
        <f>B115&amp;" "&amp;C115</f>
        <v>Gerick Callar</v>
      </c>
      <c r="E115" t="s">
        <v>29</v>
      </c>
      <c r="F115">
        <v>55330</v>
      </c>
      <c r="G115">
        <f>COUNTIF(deals_closed!D:D,Calculations!A115)</f>
        <v>15</v>
      </c>
      <c r="H115" s="2">
        <f>SUMIF(deals_closed!D:D,Calculations!A115,deals_closed!C:C)</f>
        <v>458353</v>
      </c>
      <c r="I115" s="2">
        <f>VLOOKUP(E115,'2018_commission_structure'!$A$11:$I$14,9,FALSE)</f>
        <v>600000</v>
      </c>
      <c r="J115" s="2">
        <f t="shared" si="9"/>
        <v>750000</v>
      </c>
      <c r="K115" s="2">
        <f t="shared" si="10"/>
        <v>900000</v>
      </c>
      <c r="L115" s="2">
        <f t="shared" si="11"/>
        <v>1200000</v>
      </c>
      <c r="M115" s="6">
        <f t="shared" si="12"/>
        <v>0.76392166666666672</v>
      </c>
      <c r="N115" t="str">
        <f t="shared" si="13"/>
        <v>0-100%</v>
      </c>
      <c r="O115" s="7">
        <f>MIN(I115,H115)*INDEX('2018_commission_structure'!$A$11:$I$14,MATCH(Calculations!$E115,'2018_commission_structure'!$A$11:$A$14,0),MATCH(Calculations!O$1,'2018_commission_structure'!$A$11:$I$11,0))</f>
        <v>59585.89</v>
      </c>
      <c r="P115" s="7">
        <f>IF($H115&gt;I115,MIN($H115-I115,J115-I115)*INDEX('2018_commission_structure'!$A$11:$I$14,MATCH(Calculations!$E115,'2018_commission_structure'!$A$11:$A$14,0), MATCH(Calculations!P$1,'2018_commission_structure'!$A$11:$I$11,0)),0)</f>
        <v>0</v>
      </c>
      <c r="Q115" s="7">
        <f>IF($H115&gt;J115,MIN($H115-J115,K115-J115)*INDEX('2018_commission_structure'!$A$11:$I$14,MATCH(Calculations!$E115,'2018_commission_structure'!$A$11:$A$14,0), MATCH(Calculations!Q$1,'2018_commission_structure'!$A$11:$I$11,0)),0)</f>
        <v>0</v>
      </c>
      <c r="R115" s="7">
        <f>IF($H115&gt;K115,MIN($H115-K115,L115-K115)*INDEX('2018_commission_structure'!$A$11:$I$14,MATCH(Calculations!$E115,'2018_commission_structure'!$A$11:$A$14,0), MATCH(Calculations!R$1,'2018_commission_structure'!$A$11:$I$11,0)),0)</f>
        <v>0</v>
      </c>
      <c r="S115" s="7">
        <f>IF(H115&gt;L115,(H115-L115)*INDEX('2018_commission_structure'!$A$11:$I$14,MATCH(Calculations!$E115,'2018_commission_structure'!$A$11:$A$14,0),MATCH(Calculations!S$1,'2018_commission_structure'!$A$11:$I$11,0)),0)</f>
        <v>0</v>
      </c>
      <c r="T115" s="7">
        <f t="shared" si="14"/>
        <v>59585.89</v>
      </c>
      <c r="U115" s="7">
        <f t="shared" si="15"/>
        <v>114915.89</v>
      </c>
      <c r="V115" s="7">
        <f>MIN(H115,I115)*INDEX('2018_commission_structure'!$A$5:$J$8,MATCH(Calculations!$E115,'2018_commission_structure'!$A$5:$A$8,0),MATCH(Calculations!V$1,'2018_commission_structure'!$A$5:$J$5,0))</f>
        <v>68752.95</v>
      </c>
      <c r="W115" s="2">
        <f>IF($H115&gt;I115,MIN($H115-I115,J115-I115)*INDEX('2018_commission_structure'!$A$5:$J$8,MATCH(Calculations!$E115,'2018_commission_structure'!$A$5:$A$8,0),MATCH(Calculations!W$1,'2018_commission_structure'!$A$5:$J$5,0)),0)</f>
        <v>0</v>
      </c>
      <c r="X115" s="2">
        <f>IF($H115&gt;J115,MIN($H115-J115,K115-J115)*INDEX('2018_commission_structure'!$A$5:$J$8,MATCH(Calculations!$E115,'2018_commission_structure'!$A$5:$A$8,0),MATCH(Calculations!X$1,'2018_commission_structure'!$A$5:$J$5,0)),0)</f>
        <v>0</v>
      </c>
      <c r="Y115" s="2">
        <f>IF($H115&gt;K115,MIN($H115-K115,L115-K115)*INDEX('2018_commission_structure'!$A$5:$J$8,MATCH(Calculations!$E115,'2018_commission_structure'!$A$5:$A$8,0),MATCH(Calculations!Y$1,'2018_commission_structure'!$A$5:$J$5,0)),0)</f>
        <v>0</v>
      </c>
      <c r="Z115" s="2">
        <f xml:space="preserve"> IF(H115&gt;L115,(H115-L115)*INDEX('2018_commission_structure'!$A$11:$I$14,MATCH(Calculations!$E115,'2018_commission_structure'!$A$11:$A$14,0),MATCH(Calculations!Z$1,'2018_commission_structure'!$A$11:$I$11,0)),0)</f>
        <v>0</v>
      </c>
      <c r="AA115" s="7">
        <f t="shared" si="16"/>
        <v>68752.95</v>
      </c>
      <c r="AB115" s="7">
        <f t="shared" si="17"/>
        <v>124082.95</v>
      </c>
    </row>
    <row r="116" spans="1:28" x14ac:dyDescent="0.25">
      <c r="A116">
        <v>7249524151</v>
      </c>
      <c r="B116" t="s">
        <v>276</v>
      </c>
      <c r="C116" t="s">
        <v>1051</v>
      </c>
      <c r="D116" t="str">
        <f>B116&amp;" "&amp;C116</f>
        <v>Rodina Calloway</v>
      </c>
      <c r="E116" t="s">
        <v>10</v>
      </c>
      <c r="F116">
        <v>77547</v>
      </c>
      <c r="G116">
        <f>COUNTIF(deals_closed!D:D,Calculations!A116)</f>
        <v>13</v>
      </c>
      <c r="H116" s="2">
        <f>SUMIF(deals_closed!D:D,Calculations!A116,deals_closed!C:C)</f>
        <v>616122</v>
      </c>
      <c r="I116" s="2">
        <f>VLOOKUP(E116,'2018_commission_structure'!$A$11:$I$14,9,FALSE)</f>
        <v>750000</v>
      </c>
      <c r="J116" s="2">
        <f t="shared" si="9"/>
        <v>937500</v>
      </c>
      <c r="K116" s="2">
        <f t="shared" si="10"/>
        <v>1125000</v>
      </c>
      <c r="L116" s="2">
        <f t="shared" si="11"/>
        <v>1500000</v>
      </c>
      <c r="M116" s="6">
        <f t="shared" si="12"/>
        <v>0.821496</v>
      </c>
      <c r="N116" t="str">
        <f t="shared" si="13"/>
        <v>0-100%</v>
      </c>
      <c r="O116" s="7">
        <f>MIN(I116,H116)*INDEX('2018_commission_structure'!$A$11:$I$14,MATCH(Calculations!$E116,'2018_commission_structure'!$A$11:$A$14,0),MATCH(Calculations!O$1,'2018_commission_structure'!$A$11:$I$11,0))</f>
        <v>92418.3</v>
      </c>
      <c r="P116" s="7">
        <f>IF($H116&gt;I116,MIN($H116-I116,J116-I116)*INDEX('2018_commission_structure'!$A$11:$I$14,MATCH(Calculations!$E116,'2018_commission_structure'!$A$11:$A$14,0), MATCH(Calculations!P$1,'2018_commission_structure'!$A$11:$I$11,0)),0)</f>
        <v>0</v>
      </c>
      <c r="Q116" s="7">
        <f>IF($H116&gt;J116,MIN($H116-J116,K116-J116)*INDEX('2018_commission_structure'!$A$11:$I$14,MATCH(Calculations!$E116,'2018_commission_structure'!$A$11:$A$14,0), MATCH(Calculations!Q$1,'2018_commission_structure'!$A$11:$I$11,0)),0)</f>
        <v>0</v>
      </c>
      <c r="R116" s="7">
        <f>IF($H116&gt;K116,MIN($H116-K116,L116-K116)*INDEX('2018_commission_structure'!$A$11:$I$14,MATCH(Calculations!$E116,'2018_commission_structure'!$A$11:$A$14,0), MATCH(Calculations!R$1,'2018_commission_structure'!$A$11:$I$11,0)),0)</f>
        <v>0</v>
      </c>
      <c r="S116" s="7">
        <f>IF(H116&gt;L116,(H116-L116)*INDEX('2018_commission_structure'!$A$11:$I$14,MATCH(Calculations!$E116,'2018_commission_structure'!$A$11:$A$14,0),MATCH(Calculations!S$1,'2018_commission_structure'!$A$11:$I$11,0)),0)</f>
        <v>0</v>
      </c>
      <c r="T116" s="7">
        <f t="shared" si="14"/>
        <v>92418.3</v>
      </c>
      <c r="U116" s="7">
        <f t="shared" si="15"/>
        <v>169965.3</v>
      </c>
      <c r="V116" s="7">
        <f>MIN(H116,I116)*INDEX('2018_commission_structure'!$A$5:$J$8,MATCH(Calculations!$E116,'2018_commission_structure'!$A$5:$A$8,0),MATCH(Calculations!V$1,'2018_commission_structure'!$A$5:$J$5,0))</f>
        <v>92418.3</v>
      </c>
      <c r="W116" s="2">
        <f>IF($H116&gt;I116,MIN($H116-I116,J116-I116)*INDEX('2018_commission_structure'!$A$5:$J$8,MATCH(Calculations!$E116,'2018_commission_structure'!$A$5:$A$8,0),MATCH(Calculations!W$1,'2018_commission_structure'!$A$5:$J$5,0)),0)</f>
        <v>0</v>
      </c>
      <c r="X116" s="2">
        <f>IF($H116&gt;J116,MIN($H116-J116,K116-J116)*INDEX('2018_commission_structure'!$A$5:$J$8,MATCH(Calculations!$E116,'2018_commission_structure'!$A$5:$A$8,0),MATCH(Calculations!X$1,'2018_commission_structure'!$A$5:$J$5,0)),0)</f>
        <v>0</v>
      </c>
      <c r="Y116" s="2">
        <f>IF($H116&gt;K116,MIN($H116-K116,L116-K116)*INDEX('2018_commission_structure'!$A$5:$J$8,MATCH(Calculations!$E116,'2018_commission_structure'!$A$5:$A$8,0),MATCH(Calculations!Y$1,'2018_commission_structure'!$A$5:$J$5,0)),0)</f>
        <v>0</v>
      </c>
      <c r="Z116" s="2">
        <f xml:space="preserve"> IF(H116&gt;L116,(H116-L116)*INDEX('2018_commission_structure'!$A$11:$I$14,MATCH(Calculations!$E116,'2018_commission_structure'!$A$11:$A$14,0),MATCH(Calculations!Z$1,'2018_commission_structure'!$A$11:$I$11,0)),0)</f>
        <v>0</v>
      </c>
      <c r="AA116" s="7">
        <f t="shared" si="16"/>
        <v>92418.3</v>
      </c>
      <c r="AB116" s="7">
        <f t="shared" si="17"/>
        <v>169965.3</v>
      </c>
    </row>
    <row r="117" spans="1:28" x14ac:dyDescent="0.25">
      <c r="A117">
        <v>5623930522</v>
      </c>
      <c r="B117" t="s">
        <v>1101</v>
      </c>
      <c r="C117" t="s">
        <v>1102</v>
      </c>
      <c r="D117" t="str">
        <f>B117&amp;" "&amp;C117</f>
        <v>Elie Cantillion</v>
      </c>
      <c r="E117" t="s">
        <v>10</v>
      </c>
      <c r="F117">
        <v>80442</v>
      </c>
      <c r="G117">
        <f>COUNTIF(deals_closed!D:D,Calculations!A117)</f>
        <v>24</v>
      </c>
      <c r="H117" s="2">
        <f>SUMIF(deals_closed!D:D,Calculations!A117,deals_closed!C:C)</f>
        <v>850684</v>
      </c>
      <c r="I117" s="2">
        <f>VLOOKUP(E117,'2018_commission_structure'!$A$11:$I$14,9,FALSE)</f>
        <v>750000</v>
      </c>
      <c r="J117" s="2">
        <f t="shared" si="9"/>
        <v>937500</v>
      </c>
      <c r="K117" s="2">
        <f t="shared" si="10"/>
        <v>1125000</v>
      </c>
      <c r="L117" s="2">
        <f t="shared" si="11"/>
        <v>1500000</v>
      </c>
      <c r="M117" s="6">
        <f t="shared" si="12"/>
        <v>1.1342453333333333</v>
      </c>
      <c r="N117" t="str">
        <f t="shared" si="13"/>
        <v>100-125%</v>
      </c>
      <c r="O117" s="7">
        <f>MIN(I117,H117)*INDEX('2018_commission_structure'!$A$11:$I$14,MATCH(Calculations!$E117,'2018_commission_structure'!$A$11:$A$14,0),MATCH(Calculations!O$1,'2018_commission_structure'!$A$11:$I$11,0))</f>
        <v>112500</v>
      </c>
      <c r="P117" s="7">
        <f>IF($H117&gt;I117,MIN($H117-I117,J117-I117)*INDEX('2018_commission_structure'!$A$11:$I$14,MATCH(Calculations!$E117,'2018_commission_structure'!$A$11:$A$14,0), MATCH(Calculations!P$1,'2018_commission_structure'!$A$11:$I$11,0)),0)</f>
        <v>19129.96</v>
      </c>
      <c r="Q117" s="7">
        <f>IF($H117&gt;J117,MIN($H117-J117,K117-J117)*INDEX('2018_commission_structure'!$A$11:$I$14,MATCH(Calculations!$E117,'2018_commission_structure'!$A$11:$A$14,0), MATCH(Calculations!Q$1,'2018_commission_structure'!$A$11:$I$11,0)),0)</f>
        <v>0</v>
      </c>
      <c r="R117" s="7">
        <f>IF($H117&gt;K117,MIN($H117-K117,L117-K117)*INDEX('2018_commission_structure'!$A$11:$I$14,MATCH(Calculations!$E117,'2018_commission_structure'!$A$11:$A$14,0), MATCH(Calculations!R$1,'2018_commission_structure'!$A$11:$I$11,0)),0)</f>
        <v>0</v>
      </c>
      <c r="S117" s="7">
        <f>IF(H117&gt;L117,(H117-L117)*INDEX('2018_commission_structure'!$A$11:$I$14,MATCH(Calculations!$E117,'2018_commission_structure'!$A$11:$A$14,0),MATCH(Calculations!S$1,'2018_commission_structure'!$A$11:$I$11,0)),0)</f>
        <v>0</v>
      </c>
      <c r="T117" s="7">
        <f t="shared" si="14"/>
        <v>131629.96</v>
      </c>
      <c r="U117" s="7">
        <f t="shared" si="15"/>
        <v>212071.96</v>
      </c>
      <c r="V117" s="7">
        <f>MIN(H117,I117)*INDEX('2018_commission_structure'!$A$5:$J$8,MATCH(Calculations!$E117,'2018_commission_structure'!$A$5:$A$8,0),MATCH(Calculations!V$1,'2018_commission_structure'!$A$5:$J$5,0))</f>
        <v>112500</v>
      </c>
      <c r="W117" s="2">
        <f>IF($H117&gt;I117,MIN($H117-I117,J117-I117)*INDEX('2018_commission_structure'!$A$5:$J$8,MATCH(Calculations!$E117,'2018_commission_structure'!$A$5:$A$8,0),MATCH(Calculations!W$1,'2018_commission_structure'!$A$5:$J$5,0)),0)</f>
        <v>22150.48</v>
      </c>
      <c r="X117" s="2">
        <f>IF($H117&gt;J117,MIN($H117-J117,K117-J117)*INDEX('2018_commission_structure'!$A$5:$J$8,MATCH(Calculations!$E117,'2018_commission_structure'!$A$5:$A$8,0),MATCH(Calculations!X$1,'2018_commission_structure'!$A$5:$J$5,0)),0)</f>
        <v>0</v>
      </c>
      <c r="Y117" s="2">
        <f>IF($H117&gt;K117,MIN($H117-K117,L117-K117)*INDEX('2018_commission_structure'!$A$5:$J$8,MATCH(Calculations!$E117,'2018_commission_structure'!$A$5:$A$8,0),MATCH(Calculations!Y$1,'2018_commission_structure'!$A$5:$J$5,0)),0)</f>
        <v>0</v>
      </c>
      <c r="Z117" s="2">
        <f xml:space="preserve"> IF(H117&gt;L117,(H117-L117)*INDEX('2018_commission_structure'!$A$11:$I$14,MATCH(Calculations!$E117,'2018_commission_structure'!$A$11:$A$14,0),MATCH(Calculations!Z$1,'2018_commission_structure'!$A$11:$I$11,0)),0)</f>
        <v>0</v>
      </c>
      <c r="AA117" s="7">
        <f t="shared" si="16"/>
        <v>134650.48000000001</v>
      </c>
      <c r="AB117" s="7">
        <f t="shared" si="17"/>
        <v>215092.48000000001</v>
      </c>
    </row>
    <row r="118" spans="1:28" x14ac:dyDescent="0.25">
      <c r="A118">
        <v>7088886472</v>
      </c>
      <c r="B118" t="s">
        <v>1369</v>
      </c>
      <c r="C118" t="s">
        <v>1370</v>
      </c>
      <c r="D118" t="str">
        <f>B118&amp;" "&amp;C118</f>
        <v>Krishnah Capelle</v>
      </c>
      <c r="E118" t="s">
        <v>7</v>
      </c>
      <c r="F118">
        <v>37423</v>
      </c>
      <c r="G118">
        <f>COUNTIF(deals_closed!D:D,Calculations!A118)</f>
        <v>20</v>
      </c>
      <c r="H118" s="2">
        <f>SUMIF(deals_closed!D:D,Calculations!A118,deals_closed!C:C)</f>
        <v>668595</v>
      </c>
      <c r="I118" s="2">
        <f>VLOOKUP(E118,'2018_commission_structure'!$A$11:$I$14,9,FALSE)</f>
        <v>500000</v>
      </c>
      <c r="J118" s="2">
        <f t="shared" si="9"/>
        <v>625000</v>
      </c>
      <c r="K118" s="2">
        <f t="shared" si="10"/>
        <v>750000</v>
      </c>
      <c r="L118" s="2">
        <f t="shared" si="11"/>
        <v>1000000</v>
      </c>
      <c r="M118" s="6">
        <f t="shared" si="12"/>
        <v>1.3371900000000001</v>
      </c>
      <c r="N118" t="str">
        <f t="shared" si="13"/>
        <v>125-150%</v>
      </c>
      <c r="O118" s="7">
        <f>MIN(I118,H118)*INDEX('2018_commission_structure'!$A$11:$I$14,MATCH(Calculations!$E118,'2018_commission_structure'!$A$11:$A$14,0),MATCH(Calculations!O$1,'2018_commission_structure'!$A$11:$I$11,0))</f>
        <v>50000</v>
      </c>
      <c r="P118" s="7">
        <f>IF($H118&gt;I118,MIN($H118-I118,J118-I118)*INDEX('2018_commission_structure'!$A$11:$I$14,MATCH(Calculations!$E118,'2018_commission_structure'!$A$11:$A$14,0), MATCH(Calculations!P$1,'2018_commission_structure'!$A$11:$I$11,0)),0)</f>
        <v>18750</v>
      </c>
      <c r="Q118" s="7">
        <f>IF($H118&gt;J118,MIN($H118-J118,K118-J118)*INDEX('2018_commission_structure'!$A$11:$I$14,MATCH(Calculations!$E118,'2018_commission_structure'!$A$11:$A$14,0), MATCH(Calculations!Q$1,'2018_commission_structure'!$A$11:$I$11,0)),0)</f>
        <v>7847.0999999999995</v>
      </c>
      <c r="R118" s="7">
        <f>IF($H118&gt;K118,MIN($H118-K118,L118-K118)*INDEX('2018_commission_structure'!$A$11:$I$14,MATCH(Calculations!$E118,'2018_commission_structure'!$A$11:$A$14,0), MATCH(Calculations!R$1,'2018_commission_structure'!$A$11:$I$11,0)),0)</f>
        <v>0</v>
      </c>
      <c r="S118" s="7">
        <f>IF(H118&gt;L118,(H118-L118)*INDEX('2018_commission_structure'!$A$11:$I$14,MATCH(Calculations!$E118,'2018_commission_structure'!$A$11:$A$14,0),MATCH(Calculations!S$1,'2018_commission_structure'!$A$11:$I$11,0)),0)</f>
        <v>0</v>
      </c>
      <c r="T118" s="7">
        <f t="shared" si="14"/>
        <v>76597.100000000006</v>
      </c>
      <c r="U118" s="7">
        <f t="shared" si="15"/>
        <v>114020.1</v>
      </c>
      <c r="V118" s="7">
        <f>MIN(H118,I118)*INDEX('2018_commission_structure'!$A$5:$J$8,MATCH(Calculations!$E118,'2018_commission_structure'!$A$5:$A$8,0),MATCH(Calculations!V$1,'2018_commission_structure'!$A$5:$J$5,0))</f>
        <v>60000</v>
      </c>
      <c r="W118" s="2">
        <f>IF($H118&gt;I118,MIN($H118-I118,J118-I118)*INDEX('2018_commission_structure'!$A$5:$J$8,MATCH(Calculations!$E118,'2018_commission_structure'!$A$5:$A$8,0),MATCH(Calculations!W$1,'2018_commission_structure'!$A$5:$J$5,0)),0)</f>
        <v>21250</v>
      </c>
      <c r="X118" s="2">
        <f>IF($H118&gt;J118,MIN($H118-J118,K118-J118)*INDEX('2018_commission_structure'!$A$5:$J$8,MATCH(Calculations!$E118,'2018_commission_structure'!$A$5:$A$8,0),MATCH(Calculations!X$1,'2018_commission_structure'!$A$5:$J$5,0)),0)</f>
        <v>8719</v>
      </c>
      <c r="Y118" s="2">
        <f>IF($H118&gt;K118,MIN($H118-K118,L118-K118)*INDEX('2018_commission_structure'!$A$5:$J$8,MATCH(Calculations!$E118,'2018_commission_structure'!$A$5:$A$8,0),MATCH(Calculations!Y$1,'2018_commission_structure'!$A$5:$J$5,0)),0)</f>
        <v>0</v>
      </c>
      <c r="Z118" s="2">
        <f xml:space="preserve"> IF(H118&gt;L118,(H118-L118)*INDEX('2018_commission_structure'!$A$11:$I$14,MATCH(Calculations!$E118,'2018_commission_structure'!$A$11:$A$14,0),MATCH(Calculations!Z$1,'2018_commission_structure'!$A$11:$I$11,0)),0)</f>
        <v>0</v>
      </c>
      <c r="AA118" s="7">
        <f t="shared" si="16"/>
        <v>89969</v>
      </c>
      <c r="AB118" s="7">
        <f t="shared" si="17"/>
        <v>127392</v>
      </c>
    </row>
    <row r="119" spans="1:28" x14ac:dyDescent="0.25">
      <c r="A119">
        <v>5519420165</v>
      </c>
      <c r="B119" t="s">
        <v>1763</v>
      </c>
      <c r="C119" t="s">
        <v>1764</v>
      </c>
      <c r="D119" t="str">
        <f>B119&amp;" "&amp;C119</f>
        <v>Silvester Capinetti</v>
      </c>
      <c r="E119" t="s">
        <v>10</v>
      </c>
      <c r="F119">
        <v>96464</v>
      </c>
      <c r="G119">
        <f>COUNTIF(deals_closed!D:D,Calculations!A119)</f>
        <v>26</v>
      </c>
      <c r="H119" s="2">
        <f>SUMIF(deals_closed!D:D,Calculations!A119,deals_closed!C:C)</f>
        <v>1039232</v>
      </c>
      <c r="I119" s="2">
        <f>VLOOKUP(E119,'2018_commission_structure'!$A$11:$I$14,9,FALSE)</f>
        <v>750000</v>
      </c>
      <c r="J119" s="2">
        <f t="shared" si="9"/>
        <v>937500</v>
      </c>
      <c r="K119" s="2">
        <f t="shared" si="10"/>
        <v>1125000</v>
      </c>
      <c r="L119" s="2">
        <f t="shared" si="11"/>
        <v>1500000</v>
      </c>
      <c r="M119" s="6">
        <f t="shared" si="12"/>
        <v>1.3856426666666666</v>
      </c>
      <c r="N119" t="str">
        <f t="shared" si="13"/>
        <v>125-150%</v>
      </c>
      <c r="O119" s="7">
        <f>MIN(I119,H119)*INDEX('2018_commission_structure'!$A$11:$I$14,MATCH(Calculations!$E119,'2018_commission_structure'!$A$11:$A$14,0),MATCH(Calculations!O$1,'2018_commission_structure'!$A$11:$I$11,0))</f>
        <v>112500</v>
      </c>
      <c r="P119" s="7">
        <f>IF($H119&gt;I119,MIN($H119-I119,J119-I119)*INDEX('2018_commission_structure'!$A$11:$I$14,MATCH(Calculations!$E119,'2018_commission_structure'!$A$11:$A$14,0), MATCH(Calculations!P$1,'2018_commission_structure'!$A$11:$I$11,0)),0)</f>
        <v>35625</v>
      </c>
      <c r="Q119" s="7">
        <f>IF($H119&gt;J119,MIN($H119-J119,K119-J119)*INDEX('2018_commission_structure'!$A$11:$I$14,MATCH(Calculations!$E119,'2018_commission_structure'!$A$11:$A$14,0), MATCH(Calculations!Q$1,'2018_commission_structure'!$A$11:$I$11,0)),0)</f>
        <v>23398.36</v>
      </c>
      <c r="R119" s="7">
        <f>IF($H119&gt;K119,MIN($H119-K119,L119-K119)*INDEX('2018_commission_structure'!$A$11:$I$14,MATCH(Calculations!$E119,'2018_commission_structure'!$A$11:$A$14,0), MATCH(Calculations!R$1,'2018_commission_structure'!$A$11:$I$11,0)),0)</f>
        <v>0</v>
      </c>
      <c r="S119" s="7">
        <f>IF(H119&gt;L119,(H119-L119)*INDEX('2018_commission_structure'!$A$11:$I$14,MATCH(Calculations!$E119,'2018_commission_structure'!$A$11:$A$14,0),MATCH(Calculations!S$1,'2018_commission_structure'!$A$11:$I$11,0)),0)</f>
        <v>0</v>
      </c>
      <c r="T119" s="7">
        <f t="shared" si="14"/>
        <v>171523.36</v>
      </c>
      <c r="U119" s="7">
        <f t="shared" si="15"/>
        <v>267987.36</v>
      </c>
      <c r="V119" s="7">
        <f>MIN(H119,I119)*INDEX('2018_commission_structure'!$A$5:$J$8,MATCH(Calculations!$E119,'2018_commission_structure'!$A$5:$A$8,0),MATCH(Calculations!V$1,'2018_commission_structure'!$A$5:$J$5,0))</f>
        <v>112500</v>
      </c>
      <c r="W119" s="2">
        <f>IF($H119&gt;I119,MIN($H119-I119,J119-I119)*INDEX('2018_commission_structure'!$A$5:$J$8,MATCH(Calculations!$E119,'2018_commission_structure'!$A$5:$A$8,0),MATCH(Calculations!W$1,'2018_commission_structure'!$A$5:$J$5,0)),0)</f>
        <v>41250</v>
      </c>
      <c r="X119" s="2">
        <f>IF($H119&gt;J119,MIN($H119-J119,K119-J119)*INDEX('2018_commission_structure'!$A$5:$J$8,MATCH(Calculations!$E119,'2018_commission_structure'!$A$5:$A$8,0),MATCH(Calculations!X$1,'2018_commission_structure'!$A$5:$J$5,0)),0)</f>
        <v>25433</v>
      </c>
      <c r="Y119" s="2">
        <f>IF($H119&gt;K119,MIN($H119-K119,L119-K119)*INDEX('2018_commission_structure'!$A$5:$J$8,MATCH(Calculations!$E119,'2018_commission_structure'!$A$5:$A$8,0),MATCH(Calculations!Y$1,'2018_commission_structure'!$A$5:$J$5,0)),0)</f>
        <v>0</v>
      </c>
      <c r="Z119" s="2">
        <f xml:space="preserve"> IF(H119&gt;L119,(H119-L119)*INDEX('2018_commission_structure'!$A$11:$I$14,MATCH(Calculations!$E119,'2018_commission_structure'!$A$11:$A$14,0),MATCH(Calculations!Z$1,'2018_commission_structure'!$A$11:$I$11,0)),0)</f>
        <v>0</v>
      </c>
      <c r="AA119" s="7">
        <f t="shared" si="16"/>
        <v>179183</v>
      </c>
      <c r="AB119" s="7">
        <f t="shared" si="17"/>
        <v>275647</v>
      </c>
    </row>
    <row r="120" spans="1:28" x14ac:dyDescent="0.25">
      <c r="A120">
        <v>7112955017</v>
      </c>
      <c r="B120" t="s">
        <v>1847</v>
      </c>
      <c r="C120" t="s">
        <v>1848</v>
      </c>
      <c r="D120" t="str">
        <f>B120&amp;" "&amp;C120</f>
        <v>Leone Capstack</v>
      </c>
      <c r="E120" t="s">
        <v>7</v>
      </c>
      <c r="F120">
        <v>36196</v>
      </c>
      <c r="G120">
        <f>COUNTIF(deals_closed!D:D,Calculations!A120)</f>
        <v>10</v>
      </c>
      <c r="H120" s="2">
        <f>SUMIF(deals_closed!D:D,Calculations!A120,deals_closed!C:C)</f>
        <v>301335</v>
      </c>
      <c r="I120" s="2">
        <f>VLOOKUP(E120,'2018_commission_structure'!$A$11:$I$14,9,FALSE)</f>
        <v>500000</v>
      </c>
      <c r="J120" s="2">
        <f t="shared" si="9"/>
        <v>625000</v>
      </c>
      <c r="K120" s="2">
        <f t="shared" si="10"/>
        <v>750000</v>
      </c>
      <c r="L120" s="2">
        <f t="shared" si="11"/>
        <v>1000000</v>
      </c>
      <c r="M120" s="6">
        <f t="shared" si="12"/>
        <v>0.60267000000000004</v>
      </c>
      <c r="N120" t="str">
        <f t="shared" si="13"/>
        <v>0-100%</v>
      </c>
      <c r="O120" s="7">
        <f>MIN(I120,H120)*INDEX('2018_commission_structure'!$A$11:$I$14,MATCH(Calculations!$E120,'2018_commission_structure'!$A$11:$A$14,0),MATCH(Calculations!O$1,'2018_commission_structure'!$A$11:$I$11,0))</f>
        <v>30133.5</v>
      </c>
      <c r="P120" s="7">
        <f>IF($H120&gt;I120,MIN($H120-I120,J120-I120)*INDEX('2018_commission_structure'!$A$11:$I$14,MATCH(Calculations!$E120,'2018_commission_structure'!$A$11:$A$14,0), MATCH(Calculations!P$1,'2018_commission_structure'!$A$11:$I$11,0)),0)</f>
        <v>0</v>
      </c>
      <c r="Q120" s="7">
        <f>IF($H120&gt;J120,MIN($H120-J120,K120-J120)*INDEX('2018_commission_structure'!$A$11:$I$14,MATCH(Calculations!$E120,'2018_commission_structure'!$A$11:$A$14,0), MATCH(Calculations!Q$1,'2018_commission_structure'!$A$11:$I$11,0)),0)</f>
        <v>0</v>
      </c>
      <c r="R120" s="7">
        <f>IF($H120&gt;K120,MIN($H120-K120,L120-K120)*INDEX('2018_commission_structure'!$A$11:$I$14,MATCH(Calculations!$E120,'2018_commission_structure'!$A$11:$A$14,0), MATCH(Calculations!R$1,'2018_commission_structure'!$A$11:$I$11,0)),0)</f>
        <v>0</v>
      </c>
      <c r="S120" s="7">
        <f>IF(H120&gt;L120,(H120-L120)*INDEX('2018_commission_structure'!$A$11:$I$14,MATCH(Calculations!$E120,'2018_commission_structure'!$A$11:$A$14,0),MATCH(Calculations!S$1,'2018_commission_structure'!$A$11:$I$11,0)),0)</f>
        <v>0</v>
      </c>
      <c r="T120" s="7">
        <f t="shared" si="14"/>
        <v>30133.5</v>
      </c>
      <c r="U120" s="7">
        <f t="shared" si="15"/>
        <v>66329.5</v>
      </c>
      <c r="V120" s="7">
        <f>MIN(H120,I120)*INDEX('2018_commission_structure'!$A$5:$J$8,MATCH(Calculations!$E120,'2018_commission_structure'!$A$5:$A$8,0),MATCH(Calculations!V$1,'2018_commission_structure'!$A$5:$J$5,0))</f>
        <v>36160.199999999997</v>
      </c>
      <c r="W120" s="2">
        <f>IF($H120&gt;I120,MIN($H120-I120,J120-I120)*INDEX('2018_commission_structure'!$A$5:$J$8,MATCH(Calculations!$E120,'2018_commission_structure'!$A$5:$A$8,0),MATCH(Calculations!W$1,'2018_commission_structure'!$A$5:$J$5,0)),0)</f>
        <v>0</v>
      </c>
      <c r="X120" s="2">
        <f>IF($H120&gt;J120,MIN($H120-J120,K120-J120)*INDEX('2018_commission_structure'!$A$5:$J$8,MATCH(Calculations!$E120,'2018_commission_structure'!$A$5:$A$8,0),MATCH(Calculations!X$1,'2018_commission_structure'!$A$5:$J$5,0)),0)</f>
        <v>0</v>
      </c>
      <c r="Y120" s="2">
        <f>IF($H120&gt;K120,MIN($H120-K120,L120-K120)*INDEX('2018_commission_structure'!$A$5:$J$8,MATCH(Calculations!$E120,'2018_commission_structure'!$A$5:$A$8,0),MATCH(Calculations!Y$1,'2018_commission_structure'!$A$5:$J$5,0)),0)</f>
        <v>0</v>
      </c>
      <c r="Z120" s="2">
        <f xml:space="preserve"> IF(H120&gt;L120,(H120-L120)*INDEX('2018_commission_structure'!$A$11:$I$14,MATCH(Calculations!$E120,'2018_commission_structure'!$A$11:$A$14,0),MATCH(Calculations!Z$1,'2018_commission_structure'!$A$11:$I$11,0)),0)</f>
        <v>0</v>
      </c>
      <c r="AA120" s="7">
        <f t="shared" si="16"/>
        <v>36160.199999999997</v>
      </c>
      <c r="AB120" s="7">
        <f t="shared" si="17"/>
        <v>72356.2</v>
      </c>
    </row>
    <row r="121" spans="1:28" x14ac:dyDescent="0.25">
      <c r="A121">
        <v>9223618401</v>
      </c>
      <c r="B121" t="s">
        <v>628</v>
      </c>
      <c r="C121" t="s">
        <v>1561</v>
      </c>
      <c r="D121" t="str">
        <f>B121&amp;" "&amp;C121</f>
        <v>Norman Carcas</v>
      </c>
      <c r="E121" t="s">
        <v>7</v>
      </c>
      <c r="F121">
        <v>35362</v>
      </c>
      <c r="G121">
        <f>COUNTIF(deals_closed!D:D,Calculations!A121)</f>
        <v>21</v>
      </c>
      <c r="H121" s="2">
        <f>SUMIF(deals_closed!D:D,Calculations!A121,deals_closed!C:C)</f>
        <v>681211</v>
      </c>
      <c r="I121" s="2">
        <f>VLOOKUP(E121,'2018_commission_structure'!$A$11:$I$14,9,FALSE)</f>
        <v>500000</v>
      </c>
      <c r="J121" s="2">
        <f t="shared" si="9"/>
        <v>625000</v>
      </c>
      <c r="K121" s="2">
        <f t="shared" si="10"/>
        <v>750000</v>
      </c>
      <c r="L121" s="2">
        <f t="shared" si="11"/>
        <v>1000000</v>
      </c>
      <c r="M121" s="6">
        <f t="shared" si="12"/>
        <v>1.362422</v>
      </c>
      <c r="N121" t="str">
        <f t="shared" si="13"/>
        <v>125-150%</v>
      </c>
      <c r="O121" s="7">
        <f>MIN(I121,H121)*INDEX('2018_commission_structure'!$A$11:$I$14,MATCH(Calculations!$E121,'2018_commission_structure'!$A$11:$A$14,0),MATCH(Calculations!O$1,'2018_commission_structure'!$A$11:$I$11,0))</f>
        <v>50000</v>
      </c>
      <c r="P121" s="7">
        <f>IF($H121&gt;I121,MIN($H121-I121,J121-I121)*INDEX('2018_commission_structure'!$A$11:$I$14,MATCH(Calculations!$E121,'2018_commission_structure'!$A$11:$A$14,0), MATCH(Calculations!P$1,'2018_commission_structure'!$A$11:$I$11,0)),0)</f>
        <v>18750</v>
      </c>
      <c r="Q121" s="7">
        <f>IF($H121&gt;J121,MIN($H121-J121,K121-J121)*INDEX('2018_commission_structure'!$A$11:$I$14,MATCH(Calculations!$E121,'2018_commission_structure'!$A$11:$A$14,0), MATCH(Calculations!Q$1,'2018_commission_structure'!$A$11:$I$11,0)),0)</f>
        <v>10117.98</v>
      </c>
      <c r="R121" s="7">
        <f>IF($H121&gt;K121,MIN($H121-K121,L121-K121)*INDEX('2018_commission_structure'!$A$11:$I$14,MATCH(Calculations!$E121,'2018_commission_structure'!$A$11:$A$14,0), MATCH(Calculations!R$1,'2018_commission_structure'!$A$11:$I$11,0)),0)</f>
        <v>0</v>
      </c>
      <c r="S121" s="7">
        <f>IF(H121&gt;L121,(H121-L121)*INDEX('2018_commission_structure'!$A$11:$I$14,MATCH(Calculations!$E121,'2018_commission_structure'!$A$11:$A$14,0),MATCH(Calculations!S$1,'2018_commission_structure'!$A$11:$I$11,0)),0)</f>
        <v>0</v>
      </c>
      <c r="T121" s="7">
        <f t="shared" si="14"/>
        <v>78867.98</v>
      </c>
      <c r="U121" s="7">
        <f t="shared" si="15"/>
        <v>114229.98</v>
      </c>
      <c r="V121" s="7">
        <f>MIN(H121,I121)*INDEX('2018_commission_structure'!$A$5:$J$8,MATCH(Calculations!$E121,'2018_commission_structure'!$A$5:$A$8,0),MATCH(Calculations!V$1,'2018_commission_structure'!$A$5:$J$5,0))</f>
        <v>60000</v>
      </c>
      <c r="W121" s="2">
        <f>IF($H121&gt;I121,MIN($H121-I121,J121-I121)*INDEX('2018_commission_structure'!$A$5:$J$8,MATCH(Calculations!$E121,'2018_commission_structure'!$A$5:$A$8,0),MATCH(Calculations!W$1,'2018_commission_structure'!$A$5:$J$5,0)),0)</f>
        <v>21250</v>
      </c>
      <c r="X121" s="2">
        <f>IF($H121&gt;J121,MIN($H121-J121,K121-J121)*INDEX('2018_commission_structure'!$A$5:$J$8,MATCH(Calculations!$E121,'2018_commission_structure'!$A$5:$A$8,0),MATCH(Calculations!X$1,'2018_commission_structure'!$A$5:$J$5,0)),0)</f>
        <v>11242.2</v>
      </c>
      <c r="Y121" s="2">
        <f>IF($H121&gt;K121,MIN($H121-K121,L121-K121)*INDEX('2018_commission_structure'!$A$5:$J$8,MATCH(Calculations!$E121,'2018_commission_structure'!$A$5:$A$8,0),MATCH(Calculations!Y$1,'2018_commission_structure'!$A$5:$J$5,0)),0)</f>
        <v>0</v>
      </c>
      <c r="Z121" s="2">
        <f xml:space="preserve"> IF(H121&gt;L121,(H121-L121)*INDEX('2018_commission_structure'!$A$11:$I$14,MATCH(Calculations!$E121,'2018_commission_structure'!$A$11:$A$14,0),MATCH(Calculations!Z$1,'2018_commission_structure'!$A$11:$I$11,0)),0)</f>
        <v>0</v>
      </c>
      <c r="AA121" s="7">
        <f t="shared" si="16"/>
        <v>92492.2</v>
      </c>
      <c r="AB121" s="7">
        <f t="shared" si="17"/>
        <v>127854.2</v>
      </c>
    </row>
    <row r="122" spans="1:28" x14ac:dyDescent="0.25">
      <c r="A122">
        <v>2053848936</v>
      </c>
      <c r="B122" t="s">
        <v>521</v>
      </c>
      <c r="C122" t="s">
        <v>522</v>
      </c>
      <c r="D122" t="str">
        <f>B122&amp;" "&amp;C122</f>
        <v>Ardine Carloni</v>
      </c>
      <c r="E122" t="s">
        <v>29</v>
      </c>
      <c r="F122">
        <v>60956</v>
      </c>
      <c r="G122">
        <f>COUNTIF(deals_closed!D:D,Calculations!A122)</f>
        <v>23</v>
      </c>
      <c r="H122" s="2">
        <f>SUMIF(deals_closed!D:D,Calculations!A122,deals_closed!C:C)</f>
        <v>826675</v>
      </c>
      <c r="I122" s="2">
        <f>VLOOKUP(E122,'2018_commission_structure'!$A$11:$I$14,9,FALSE)</f>
        <v>600000</v>
      </c>
      <c r="J122" s="2">
        <f t="shared" si="9"/>
        <v>750000</v>
      </c>
      <c r="K122" s="2">
        <f t="shared" si="10"/>
        <v>900000</v>
      </c>
      <c r="L122" s="2">
        <f t="shared" si="11"/>
        <v>1200000</v>
      </c>
      <c r="M122" s="6">
        <f t="shared" si="12"/>
        <v>1.3777916666666667</v>
      </c>
      <c r="N122" t="str">
        <f t="shared" si="13"/>
        <v>125-150%</v>
      </c>
      <c r="O122" s="7">
        <f>MIN(I122,H122)*INDEX('2018_commission_structure'!$A$11:$I$14,MATCH(Calculations!$E122,'2018_commission_structure'!$A$11:$A$14,0),MATCH(Calculations!O$1,'2018_commission_structure'!$A$11:$I$11,0))</f>
        <v>78000</v>
      </c>
      <c r="P122" s="7">
        <f>IF($H122&gt;I122,MIN($H122-I122,J122-I122)*INDEX('2018_commission_structure'!$A$11:$I$14,MATCH(Calculations!$E122,'2018_commission_structure'!$A$11:$A$14,0), MATCH(Calculations!P$1,'2018_commission_structure'!$A$11:$I$11,0)),0)</f>
        <v>25500.000000000004</v>
      </c>
      <c r="Q122" s="7">
        <f>IF($H122&gt;J122,MIN($H122-J122,K122-J122)*INDEX('2018_commission_structure'!$A$11:$I$14,MATCH(Calculations!$E122,'2018_commission_structure'!$A$11:$A$14,0), MATCH(Calculations!Q$1,'2018_commission_structure'!$A$11:$I$11,0)),0)</f>
        <v>16101.75</v>
      </c>
      <c r="R122" s="7">
        <f>IF($H122&gt;K122,MIN($H122-K122,L122-K122)*INDEX('2018_commission_structure'!$A$11:$I$14,MATCH(Calculations!$E122,'2018_commission_structure'!$A$11:$A$14,0), MATCH(Calculations!R$1,'2018_commission_structure'!$A$11:$I$11,0)),0)</f>
        <v>0</v>
      </c>
      <c r="S122" s="7">
        <f>IF(H122&gt;L122,(H122-L122)*INDEX('2018_commission_structure'!$A$11:$I$14,MATCH(Calculations!$E122,'2018_commission_structure'!$A$11:$A$14,0),MATCH(Calculations!S$1,'2018_commission_structure'!$A$11:$I$11,0)),0)</f>
        <v>0</v>
      </c>
      <c r="T122" s="7">
        <f t="shared" si="14"/>
        <v>119601.75</v>
      </c>
      <c r="U122" s="7">
        <f t="shared" si="15"/>
        <v>180557.75</v>
      </c>
      <c r="V122" s="7">
        <f>MIN(H122,I122)*INDEX('2018_commission_structure'!$A$5:$J$8,MATCH(Calculations!$E122,'2018_commission_structure'!$A$5:$A$8,0),MATCH(Calculations!V$1,'2018_commission_structure'!$A$5:$J$5,0))</f>
        <v>90000</v>
      </c>
      <c r="W122" s="2">
        <f>IF($H122&gt;I122,MIN($H122-I122,J122-I122)*INDEX('2018_commission_structure'!$A$5:$J$8,MATCH(Calculations!$E122,'2018_commission_structure'!$A$5:$A$8,0),MATCH(Calculations!W$1,'2018_commission_structure'!$A$5:$J$5,0)),0)</f>
        <v>27000</v>
      </c>
      <c r="X122" s="2">
        <f>IF($H122&gt;J122,MIN($H122-J122,K122-J122)*INDEX('2018_commission_structure'!$A$5:$J$8,MATCH(Calculations!$E122,'2018_commission_structure'!$A$5:$A$8,0),MATCH(Calculations!X$1,'2018_commission_structure'!$A$5:$J$5,0)),0)</f>
        <v>19168.75</v>
      </c>
      <c r="Y122" s="2">
        <f>IF($H122&gt;K122,MIN($H122-K122,L122-K122)*INDEX('2018_commission_structure'!$A$5:$J$8,MATCH(Calculations!$E122,'2018_commission_structure'!$A$5:$A$8,0),MATCH(Calculations!Y$1,'2018_commission_structure'!$A$5:$J$5,0)),0)</f>
        <v>0</v>
      </c>
      <c r="Z122" s="2">
        <f xml:space="preserve"> IF(H122&gt;L122,(H122-L122)*INDEX('2018_commission_structure'!$A$11:$I$14,MATCH(Calculations!$E122,'2018_commission_structure'!$A$11:$A$14,0),MATCH(Calculations!Z$1,'2018_commission_structure'!$A$11:$I$11,0)),0)</f>
        <v>0</v>
      </c>
      <c r="AA122" s="7">
        <f t="shared" si="16"/>
        <v>136168.75</v>
      </c>
      <c r="AB122" s="7">
        <f t="shared" si="17"/>
        <v>197124.75</v>
      </c>
    </row>
    <row r="123" spans="1:28" x14ac:dyDescent="0.25">
      <c r="A123">
        <v>2533903736</v>
      </c>
      <c r="B123" t="s">
        <v>457</v>
      </c>
      <c r="C123" t="s">
        <v>458</v>
      </c>
      <c r="D123" t="str">
        <f>B123&amp;" "&amp;C123</f>
        <v>Kalindi Carmel</v>
      </c>
      <c r="E123" t="s">
        <v>7</v>
      </c>
      <c r="F123">
        <v>58051</v>
      </c>
      <c r="G123">
        <f>COUNTIF(deals_closed!D:D,Calculations!A123)</f>
        <v>23</v>
      </c>
      <c r="H123" s="2">
        <f>SUMIF(deals_closed!D:D,Calculations!A123,deals_closed!C:C)</f>
        <v>747840</v>
      </c>
      <c r="I123" s="2">
        <f>VLOOKUP(E123,'2018_commission_structure'!$A$11:$I$14,9,FALSE)</f>
        <v>500000</v>
      </c>
      <c r="J123" s="2">
        <f t="shared" si="9"/>
        <v>625000</v>
      </c>
      <c r="K123" s="2">
        <f t="shared" si="10"/>
        <v>750000</v>
      </c>
      <c r="L123" s="2">
        <f t="shared" si="11"/>
        <v>1000000</v>
      </c>
      <c r="M123" s="6">
        <f t="shared" si="12"/>
        <v>1.4956799999999999</v>
      </c>
      <c r="N123" t="str">
        <f t="shared" si="13"/>
        <v>125-150%</v>
      </c>
      <c r="O123" s="7">
        <f>MIN(I123,H123)*INDEX('2018_commission_structure'!$A$11:$I$14,MATCH(Calculations!$E123,'2018_commission_structure'!$A$11:$A$14,0),MATCH(Calculations!O$1,'2018_commission_structure'!$A$11:$I$11,0))</f>
        <v>50000</v>
      </c>
      <c r="P123" s="7">
        <f>IF($H123&gt;I123,MIN($H123-I123,J123-I123)*INDEX('2018_commission_structure'!$A$11:$I$14,MATCH(Calculations!$E123,'2018_commission_structure'!$A$11:$A$14,0), MATCH(Calculations!P$1,'2018_commission_structure'!$A$11:$I$11,0)),0)</f>
        <v>18750</v>
      </c>
      <c r="Q123" s="7">
        <f>IF($H123&gt;J123,MIN($H123-J123,K123-J123)*INDEX('2018_commission_structure'!$A$11:$I$14,MATCH(Calculations!$E123,'2018_commission_structure'!$A$11:$A$14,0), MATCH(Calculations!Q$1,'2018_commission_structure'!$A$11:$I$11,0)),0)</f>
        <v>22111.200000000001</v>
      </c>
      <c r="R123" s="7">
        <f>IF($H123&gt;K123,MIN($H123-K123,L123-K123)*INDEX('2018_commission_structure'!$A$11:$I$14,MATCH(Calculations!$E123,'2018_commission_structure'!$A$11:$A$14,0), MATCH(Calculations!R$1,'2018_commission_structure'!$A$11:$I$11,0)),0)</f>
        <v>0</v>
      </c>
      <c r="S123" s="7">
        <f>IF(H123&gt;L123,(H123-L123)*INDEX('2018_commission_structure'!$A$11:$I$14,MATCH(Calculations!$E123,'2018_commission_structure'!$A$11:$A$14,0),MATCH(Calculations!S$1,'2018_commission_structure'!$A$11:$I$11,0)),0)</f>
        <v>0</v>
      </c>
      <c r="T123" s="7">
        <f t="shared" si="14"/>
        <v>90861.2</v>
      </c>
      <c r="U123" s="7">
        <f t="shared" si="15"/>
        <v>148912.20000000001</v>
      </c>
      <c r="V123" s="7">
        <f>MIN(H123,I123)*INDEX('2018_commission_structure'!$A$5:$J$8,MATCH(Calculations!$E123,'2018_commission_structure'!$A$5:$A$8,0),MATCH(Calculations!V$1,'2018_commission_structure'!$A$5:$J$5,0))</f>
        <v>60000</v>
      </c>
      <c r="W123" s="2">
        <f>IF($H123&gt;I123,MIN($H123-I123,J123-I123)*INDEX('2018_commission_structure'!$A$5:$J$8,MATCH(Calculations!$E123,'2018_commission_structure'!$A$5:$A$8,0),MATCH(Calculations!W$1,'2018_commission_structure'!$A$5:$J$5,0)),0)</f>
        <v>21250</v>
      </c>
      <c r="X123" s="2">
        <f>IF($H123&gt;J123,MIN($H123-J123,K123-J123)*INDEX('2018_commission_structure'!$A$5:$J$8,MATCH(Calculations!$E123,'2018_commission_structure'!$A$5:$A$8,0),MATCH(Calculations!X$1,'2018_commission_structure'!$A$5:$J$5,0)),0)</f>
        <v>24568</v>
      </c>
      <c r="Y123" s="2">
        <f>IF($H123&gt;K123,MIN($H123-K123,L123-K123)*INDEX('2018_commission_structure'!$A$5:$J$8,MATCH(Calculations!$E123,'2018_commission_structure'!$A$5:$A$8,0),MATCH(Calculations!Y$1,'2018_commission_structure'!$A$5:$J$5,0)),0)</f>
        <v>0</v>
      </c>
      <c r="Z123" s="2">
        <f xml:space="preserve"> IF(H123&gt;L123,(H123-L123)*INDEX('2018_commission_structure'!$A$11:$I$14,MATCH(Calculations!$E123,'2018_commission_structure'!$A$11:$A$14,0),MATCH(Calculations!Z$1,'2018_commission_structure'!$A$11:$I$11,0)),0)</f>
        <v>0</v>
      </c>
      <c r="AA123" s="7">
        <f t="shared" si="16"/>
        <v>105818</v>
      </c>
      <c r="AB123" s="7">
        <f t="shared" si="17"/>
        <v>163869</v>
      </c>
    </row>
    <row r="124" spans="1:28" x14ac:dyDescent="0.25">
      <c r="A124">
        <v>2408183758</v>
      </c>
      <c r="B124" t="s">
        <v>455</v>
      </c>
      <c r="C124" t="s">
        <v>456</v>
      </c>
      <c r="D124" t="str">
        <f>B124&amp;" "&amp;C124</f>
        <v>Tedie Cartmer</v>
      </c>
      <c r="E124" t="s">
        <v>10</v>
      </c>
      <c r="F124">
        <v>121981</v>
      </c>
      <c r="G124">
        <f>COUNTIF(deals_closed!D:D,Calculations!A124)</f>
        <v>20</v>
      </c>
      <c r="H124" s="2">
        <f>SUMIF(deals_closed!D:D,Calculations!A124,deals_closed!C:C)</f>
        <v>704699</v>
      </c>
      <c r="I124" s="2">
        <f>VLOOKUP(E124,'2018_commission_structure'!$A$11:$I$14,9,FALSE)</f>
        <v>750000</v>
      </c>
      <c r="J124" s="2">
        <f t="shared" si="9"/>
        <v>937500</v>
      </c>
      <c r="K124" s="2">
        <f t="shared" si="10"/>
        <v>1125000</v>
      </c>
      <c r="L124" s="2">
        <f t="shared" si="11"/>
        <v>1500000</v>
      </c>
      <c r="M124" s="6">
        <f t="shared" si="12"/>
        <v>0.93959866666666669</v>
      </c>
      <c r="N124" t="str">
        <f t="shared" si="13"/>
        <v>0-100%</v>
      </c>
      <c r="O124" s="7">
        <f>MIN(I124,H124)*INDEX('2018_commission_structure'!$A$11:$I$14,MATCH(Calculations!$E124,'2018_commission_structure'!$A$11:$A$14,0),MATCH(Calculations!O$1,'2018_commission_structure'!$A$11:$I$11,0))</f>
        <v>105704.84999999999</v>
      </c>
      <c r="P124" s="7">
        <f>IF($H124&gt;I124,MIN($H124-I124,J124-I124)*INDEX('2018_commission_structure'!$A$11:$I$14,MATCH(Calculations!$E124,'2018_commission_structure'!$A$11:$A$14,0), MATCH(Calculations!P$1,'2018_commission_structure'!$A$11:$I$11,0)),0)</f>
        <v>0</v>
      </c>
      <c r="Q124" s="7">
        <f>IF($H124&gt;J124,MIN($H124-J124,K124-J124)*INDEX('2018_commission_structure'!$A$11:$I$14,MATCH(Calculations!$E124,'2018_commission_structure'!$A$11:$A$14,0), MATCH(Calculations!Q$1,'2018_commission_structure'!$A$11:$I$11,0)),0)</f>
        <v>0</v>
      </c>
      <c r="R124" s="7">
        <f>IF($H124&gt;K124,MIN($H124-K124,L124-K124)*INDEX('2018_commission_structure'!$A$11:$I$14,MATCH(Calculations!$E124,'2018_commission_structure'!$A$11:$A$14,0), MATCH(Calculations!R$1,'2018_commission_structure'!$A$11:$I$11,0)),0)</f>
        <v>0</v>
      </c>
      <c r="S124" s="7">
        <f>IF(H124&gt;L124,(H124-L124)*INDEX('2018_commission_structure'!$A$11:$I$14,MATCH(Calculations!$E124,'2018_commission_structure'!$A$11:$A$14,0),MATCH(Calculations!S$1,'2018_commission_structure'!$A$11:$I$11,0)),0)</f>
        <v>0</v>
      </c>
      <c r="T124" s="7">
        <f t="shared" si="14"/>
        <v>105704.84999999999</v>
      </c>
      <c r="U124" s="7">
        <f t="shared" si="15"/>
        <v>227685.84999999998</v>
      </c>
      <c r="V124" s="7">
        <f>MIN(H124,I124)*INDEX('2018_commission_structure'!$A$5:$J$8,MATCH(Calculations!$E124,'2018_commission_structure'!$A$5:$A$8,0),MATCH(Calculations!V$1,'2018_commission_structure'!$A$5:$J$5,0))</f>
        <v>105704.84999999999</v>
      </c>
      <c r="W124" s="2">
        <f>IF($H124&gt;I124,MIN($H124-I124,J124-I124)*INDEX('2018_commission_structure'!$A$5:$J$8,MATCH(Calculations!$E124,'2018_commission_structure'!$A$5:$A$8,0),MATCH(Calculations!W$1,'2018_commission_structure'!$A$5:$J$5,0)),0)</f>
        <v>0</v>
      </c>
      <c r="X124" s="2">
        <f>IF($H124&gt;J124,MIN($H124-J124,K124-J124)*INDEX('2018_commission_structure'!$A$5:$J$8,MATCH(Calculations!$E124,'2018_commission_structure'!$A$5:$A$8,0),MATCH(Calculations!X$1,'2018_commission_structure'!$A$5:$J$5,0)),0)</f>
        <v>0</v>
      </c>
      <c r="Y124" s="2">
        <f>IF($H124&gt;K124,MIN($H124-K124,L124-K124)*INDEX('2018_commission_structure'!$A$5:$J$8,MATCH(Calculations!$E124,'2018_commission_structure'!$A$5:$A$8,0),MATCH(Calculations!Y$1,'2018_commission_structure'!$A$5:$J$5,0)),0)</f>
        <v>0</v>
      </c>
      <c r="Z124" s="2">
        <f xml:space="preserve"> IF(H124&gt;L124,(H124-L124)*INDEX('2018_commission_structure'!$A$11:$I$14,MATCH(Calculations!$E124,'2018_commission_structure'!$A$11:$A$14,0),MATCH(Calculations!Z$1,'2018_commission_structure'!$A$11:$I$11,0)),0)</f>
        <v>0</v>
      </c>
      <c r="AA124" s="7">
        <f t="shared" si="16"/>
        <v>105704.84999999999</v>
      </c>
      <c r="AB124" s="7">
        <f t="shared" si="17"/>
        <v>227685.84999999998</v>
      </c>
    </row>
    <row r="125" spans="1:28" x14ac:dyDescent="0.25">
      <c r="A125">
        <v>3670950885</v>
      </c>
      <c r="B125" t="s">
        <v>497</v>
      </c>
      <c r="C125" t="s">
        <v>498</v>
      </c>
      <c r="D125" t="str">
        <f>B125&amp;" "&amp;C125</f>
        <v>Valene Carverhill</v>
      </c>
      <c r="E125" t="s">
        <v>10</v>
      </c>
      <c r="F125">
        <v>120896</v>
      </c>
      <c r="G125">
        <f>COUNTIF(deals_closed!D:D,Calculations!A125)</f>
        <v>19</v>
      </c>
      <c r="H125" s="2">
        <f>SUMIF(deals_closed!D:D,Calculations!A125,deals_closed!C:C)</f>
        <v>686292</v>
      </c>
      <c r="I125" s="2">
        <f>VLOOKUP(E125,'2018_commission_structure'!$A$11:$I$14,9,FALSE)</f>
        <v>750000</v>
      </c>
      <c r="J125" s="2">
        <f t="shared" si="9"/>
        <v>937500</v>
      </c>
      <c r="K125" s="2">
        <f t="shared" si="10"/>
        <v>1125000</v>
      </c>
      <c r="L125" s="2">
        <f t="shared" si="11"/>
        <v>1500000</v>
      </c>
      <c r="M125" s="6">
        <f t="shared" si="12"/>
        <v>0.91505599999999998</v>
      </c>
      <c r="N125" t="str">
        <f t="shared" si="13"/>
        <v>0-100%</v>
      </c>
      <c r="O125" s="7">
        <f>MIN(I125,H125)*INDEX('2018_commission_structure'!$A$11:$I$14,MATCH(Calculations!$E125,'2018_commission_structure'!$A$11:$A$14,0),MATCH(Calculations!O$1,'2018_commission_structure'!$A$11:$I$11,0))</f>
        <v>102943.8</v>
      </c>
      <c r="P125" s="7">
        <f>IF($H125&gt;I125,MIN($H125-I125,J125-I125)*INDEX('2018_commission_structure'!$A$11:$I$14,MATCH(Calculations!$E125,'2018_commission_structure'!$A$11:$A$14,0), MATCH(Calculations!P$1,'2018_commission_structure'!$A$11:$I$11,0)),0)</f>
        <v>0</v>
      </c>
      <c r="Q125" s="7">
        <f>IF($H125&gt;J125,MIN($H125-J125,K125-J125)*INDEX('2018_commission_structure'!$A$11:$I$14,MATCH(Calculations!$E125,'2018_commission_structure'!$A$11:$A$14,0), MATCH(Calculations!Q$1,'2018_commission_structure'!$A$11:$I$11,0)),0)</f>
        <v>0</v>
      </c>
      <c r="R125" s="7">
        <f>IF($H125&gt;K125,MIN($H125-K125,L125-K125)*INDEX('2018_commission_structure'!$A$11:$I$14,MATCH(Calculations!$E125,'2018_commission_structure'!$A$11:$A$14,0), MATCH(Calculations!R$1,'2018_commission_structure'!$A$11:$I$11,0)),0)</f>
        <v>0</v>
      </c>
      <c r="S125" s="7">
        <f>IF(H125&gt;L125,(H125-L125)*INDEX('2018_commission_structure'!$A$11:$I$14,MATCH(Calculations!$E125,'2018_commission_structure'!$A$11:$A$14,0),MATCH(Calculations!S$1,'2018_commission_structure'!$A$11:$I$11,0)),0)</f>
        <v>0</v>
      </c>
      <c r="T125" s="7">
        <f t="shared" si="14"/>
        <v>102943.8</v>
      </c>
      <c r="U125" s="7">
        <f t="shared" si="15"/>
        <v>223839.8</v>
      </c>
      <c r="V125" s="7">
        <f>MIN(H125,I125)*INDEX('2018_commission_structure'!$A$5:$J$8,MATCH(Calculations!$E125,'2018_commission_structure'!$A$5:$A$8,0),MATCH(Calculations!V$1,'2018_commission_structure'!$A$5:$J$5,0))</f>
        <v>102943.8</v>
      </c>
      <c r="W125" s="2">
        <f>IF($H125&gt;I125,MIN($H125-I125,J125-I125)*INDEX('2018_commission_structure'!$A$5:$J$8,MATCH(Calculations!$E125,'2018_commission_structure'!$A$5:$A$8,0),MATCH(Calculations!W$1,'2018_commission_structure'!$A$5:$J$5,0)),0)</f>
        <v>0</v>
      </c>
      <c r="X125" s="2">
        <f>IF($H125&gt;J125,MIN($H125-J125,K125-J125)*INDEX('2018_commission_structure'!$A$5:$J$8,MATCH(Calculations!$E125,'2018_commission_structure'!$A$5:$A$8,0),MATCH(Calculations!X$1,'2018_commission_structure'!$A$5:$J$5,0)),0)</f>
        <v>0</v>
      </c>
      <c r="Y125" s="2">
        <f>IF($H125&gt;K125,MIN($H125-K125,L125-K125)*INDEX('2018_commission_structure'!$A$5:$J$8,MATCH(Calculations!$E125,'2018_commission_structure'!$A$5:$A$8,0),MATCH(Calculations!Y$1,'2018_commission_structure'!$A$5:$J$5,0)),0)</f>
        <v>0</v>
      </c>
      <c r="Z125" s="2">
        <f xml:space="preserve"> IF(H125&gt;L125,(H125-L125)*INDEX('2018_commission_structure'!$A$11:$I$14,MATCH(Calculations!$E125,'2018_commission_structure'!$A$11:$A$14,0),MATCH(Calculations!Z$1,'2018_commission_structure'!$A$11:$I$11,0)),0)</f>
        <v>0</v>
      </c>
      <c r="AA125" s="7">
        <f t="shared" si="16"/>
        <v>102943.8</v>
      </c>
      <c r="AB125" s="7">
        <f t="shared" si="17"/>
        <v>223839.8</v>
      </c>
    </row>
    <row r="126" spans="1:28" x14ac:dyDescent="0.25">
      <c r="A126">
        <v>895027720</v>
      </c>
      <c r="B126" t="s">
        <v>1131</v>
      </c>
      <c r="C126" t="s">
        <v>1132</v>
      </c>
      <c r="D126" t="str">
        <f>B126&amp;" "&amp;C126</f>
        <v>Ddene Castree</v>
      </c>
      <c r="E126" t="s">
        <v>10</v>
      </c>
      <c r="F126">
        <v>110424</v>
      </c>
      <c r="G126">
        <f>COUNTIF(deals_closed!D:D,Calculations!A126)</f>
        <v>16</v>
      </c>
      <c r="H126" s="2">
        <f>SUMIF(deals_closed!D:D,Calculations!A126,deals_closed!C:C)</f>
        <v>478308</v>
      </c>
      <c r="I126" s="2">
        <f>VLOOKUP(E126,'2018_commission_structure'!$A$11:$I$14,9,FALSE)</f>
        <v>750000</v>
      </c>
      <c r="J126" s="2">
        <f t="shared" si="9"/>
        <v>937500</v>
      </c>
      <c r="K126" s="2">
        <f t="shared" si="10"/>
        <v>1125000</v>
      </c>
      <c r="L126" s="2">
        <f t="shared" si="11"/>
        <v>1500000</v>
      </c>
      <c r="M126" s="6">
        <f t="shared" si="12"/>
        <v>0.63774399999999998</v>
      </c>
      <c r="N126" t="str">
        <f t="shared" si="13"/>
        <v>0-100%</v>
      </c>
      <c r="O126" s="7">
        <f>MIN(I126,H126)*INDEX('2018_commission_structure'!$A$11:$I$14,MATCH(Calculations!$E126,'2018_commission_structure'!$A$11:$A$14,0),MATCH(Calculations!O$1,'2018_commission_structure'!$A$11:$I$11,0))</f>
        <v>71746.2</v>
      </c>
      <c r="P126" s="7">
        <f>IF($H126&gt;I126,MIN($H126-I126,J126-I126)*INDEX('2018_commission_structure'!$A$11:$I$14,MATCH(Calculations!$E126,'2018_commission_structure'!$A$11:$A$14,0), MATCH(Calculations!P$1,'2018_commission_structure'!$A$11:$I$11,0)),0)</f>
        <v>0</v>
      </c>
      <c r="Q126" s="7">
        <f>IF($H126&gt;J126,MIN($H126-J126,K126-J126)*INDEX('2018_commission_structure'!$A$11:$I$14,MATCH(Calculations!$E126,'2018_commission_structure'!$A$11:$A$14,0), MATCH(Calculations!Q$1,'2018_commission_structure'!$A$11:$I$11,0)),0)</f>
        <v>0</v>
      </c>
      <c r="R126" s="7">
        <f>IF($H126&gt;K126,MIN($H126-K126,L126-K126)*INDEX('2018_commission_structure'!$A$11:$I$14,MATCH(Calculations!$E126,'2018_commission_structure'!$A$11:$A$14,0), MATCH(Calculations!R$1,'2018_commission_structure'!$A$11:$I$11,0)),0)</f>
        <v>0</v>
      </c>
      <c r="S126" s="7">
        <f>IF(H126&gt;L126,(H126-L126)*INDEX('2018_commission_structure'!$A$11:$I$14,MATCH(Calculations!$E126,'2018_commission_structure'!$A$11:$A$14,0),MATCH(Calculations!S$1,'2018_commission_structure'!$A$11:$I$11,0)),0)</f>
        <v>0</v>
      </c>
      <c r="T126" s="7">
        <f t="shared" si="14"/>
        <v>71746.2</v>
      </c>
      <c r="U126" s="7">
        <f t="shared" si="15"/>
        <v>182170.2</v>
      </c>
      <c r="V126" s="7">
        <f>MIN(H126,I126)*INDEX('2018_commission_structure'!$A$5:$J$8,MATCH(Calculations!$E126,'2018_commission_structure'!$A$5:$A$8,0),MATCH(Calculations!V$1,'2018_commission_structure'!$A$5:$J$5,0))</f>
        <v>71746.2</v>
      </c>
      <c r="W126" s="2">
        <f>IF($H126&gt;I126,MIN($H126-I126,J126-I126)*INDEX('2018_commission_structure'!$A$5:$J$8,MATCH(Calculations!$E126,'2018_commission_structure'!$A$5:$A$8,0),MATCH(Calculations!W$1,'2018_commission_structure'!$A$5:$J$5,0)),0)</f>
        <v>0</v>
      </c>
      <c r="X126" s="2">
        <f>IF($H126&gt;J126,MIN($H126-J126,K126-J126)*INDEX('2018_commission_structure'!$A$5:$J$8,MATCH(Calculations!$E126,'2018_commission_structure'!$A$5:$A$8,0),MATCH(Calculations!X$1,'2018_commission_structure'!$A$5:$J$5,0)),0)</f>
        <v>0</v>
      </c>
      <c r="Y126" s="2">
        <f>IF($H126&gt;K126,MIN($H126-K126,L126-K126)*INDEX('2018_commission_structure'!$A$5:$J$8,MATCH(Calculations!$E126,'2018_commission_structure'!$A$5:$A$8,0),MATCH(Calculations!Y$1,'2018_commission_structure'!$A$5:$J$5,0)),0)</f>
        <v>0</v>
      </c>
      <c r="Z126" s="2">
        <f xml:space="preserve"> IF(H126&gt;L126,(H126-L126)*INDEX('2018_commission_structure'!$A$11:$I$14,MATCH(Calculations!$E126,'2018_commission_structure'!$A$11:$A$14,0),MATCH(Calculations!Z$1,'2018_commission_structure'!$A$11:$I$11,0)),0)</f>
        <v>0</v>
      </c>
      <c r="AA126" s="7">
        <f t="shared" si="16"/>
        <v>71746.2</v>
      </c>
      <c r="AB126" s="7">
        <f t="shared" si="17"/>
        <v>182170.2</v>
      </c>
    </row>
    <row r="127" spans="1:28" x14ac:dyDescent="0.25">
      <c r="A127">
        <v>9155356869</v>
      </c>
      <c r="B127" t="s">
        <v>883</v>
      </c>
      <c r="C127" t="s">
        <v>884</v>
      </c>
      <c r="D127" t="str">
        <f>B127&amp;" "&amp;C127</f>
        <v>Jasmine Cathcart</v>
      </c>
      <c r="E127" t="s">
        <v>10</v>
      </c>
      <c r="F127">
        <v>114884</v>
      </c>
      <c r="G127">
        <f>COUNTIF(deals_closed!D:D,Calculations!A127)</f>
        <v>20</v>
      </c>
      <c r="H127" s="2">
        <f>SUMIF(deals_closed!D:D,Calculations!A127,deals_closed!C:C)</f>
        <v>633620</v>
      </c>
      <c r="I127" s="2">
        <f>VLOOKUP(E127,'2018_commission_structure'!$A$11:$I$14,9,FALSE)</f>
        <v>750000</v>
      </c>
      <c r="J127" s="2">
        <f t="shared" si="9"/>
        <v>937500</v>
      </c>
      <c r="K127" s="2">
        <f t="shared" si="10"/>
        <v>1125000</v>
      </c>
      <c r="L127" s="2">
        <f t="shared" si="11"/>
        <v>1500000</v>
      </c>
      <c r="M127" s="6">
        <f t="shared" si="12"/>
        <v>0.84482666666666661</v>
      </c>
      <c r="N127" t="str">
        <f t="shared" si="13"/>
        <v>0-100%</v>
      </c>
      <c r="O127" s="7">
        <f>MIN(I127,H127)*INDEX('2018_commission_structure'!$A$11:$I$14,MATCH(Calculations!$E127,'2018_commission_structure'!$A$11:$A$14,0),MATCH(Calculations!O$1,'2018_commission_structure'!$A$11:$I$11,0))</f>
        <v>95043</v>
      </c>
      <c r="P127" s="7">
        <f>IF($H127&gt;I127,MIN($H127-I127,J127-I127)*INDEX('2018_commission_structure'!$A$11:$I$14,MATCH(Calculations!$E127,'2018_commission_structure'!$A$11:$A$14,0), MATCH(Calculations!P$1,'2018_commission_structure'!$A$11:$I$11,0)),0)</f>
        <v>0</v>
      </c>
      <c r="Q127" s="7">
        <f>IF($H127&gt;J127,MIN($H127-J127,K127-J127)*INDEX('2018_commission_structure'!$A$11:$I$14,MATCH(Calculations!$E127,'2018_commission_structure'!$A$11:$A$14,0), MATCH(Calculations!Q$1,'2018_commission_structure'!$A$11:$I$11,0)),0)</f>
        <v>0</v>
      </c>
      <c r="R127" s="7">
        <f>IF($H127&gt;K127,MIN($H127-K127,L127-K127)*INDEX('2018_commission_structure'!$A$11:$I$14,MATCH(Calculations!$E127,'2018_commission_structure'!$A$11:$A$14,0), MATCH(Calculations!R$1,'2018_commission_structure'!$A$11:$I$11,0)),0)</f>
        <v>0</v>
      </c>
      <c r="S127" s="7">
        <f>IF(H127&gt;L127,(H127-L127)*INDEX('2018_commission_structure'!$A$11:$I$14,MATCH(Calculations!$E127,'2018_commission_structure'!$A$11:$A$14,0),MATCH(Calculations!S$1,'2018_commission_structure'!$A$11:$I$11,0)),0)</f>
        <v>0</v>
      </c>
      <c r="T127" s="7">
        <f t="shared" si="14"/>
        <v>95043</v>
      </c>
      <c r="U127" s="7">
        <f t="shared" si="15"/>
        <v>209927</v>
      </c>
      <c r="V127" s="7">
        <f>MIN(H127,I127)*INDEX('2018_commission_structure'!$A$5:$J$8,MATCH(Calculations!$E127,'2018_commission_structure'!$A$5:$A$8,0),MATCH(Calculations!V$1,'2018_commission_structure'!$A$5:$J$5,0))</f>
        <v>95043</v>
      </c>
      <c r="W127" s="2">
        <f>IF($H127&gt;I127,MIN($H127-I127,J127-I127)*INDEX('2018_commission_structure'!$A$5:$J$8,MATCH(Calculations!$E127,'2018_commission_structure'!$A$5:$A$8,0),MATCH(Calculations!W$1,'2018_commission_structure'!$A$5:$J$5,0)),0)</f>
        <v>0</v>
      </c>
      <c r="X127" s="2">
        <f>IF($H127&gt;J127,MIN($H127-J127,K127-J127)*INDEX('2018_commission_structure'!$A$5:$J$8,MATCH(Calculations!$E127,'2018_commission_structure'!$A$5:$A$8,0),MATCH(Calculations!X$1,'2018_commission_structure'!$A$5:$J$5,0)),0)</f>
        <v>0</v>
      </c>
      <c r="Y127" s="2">
        <f>IF($H127&gt;K127,MIN($H127-K127,L127-K127)*INDEX('2018_commission_structure'!$A$5:$J$8,MATCH(Calculations!$E127,'2018_commission_structure'!$A$5:$A$8,0),MATCH(Calculations!Y$1,'2018_commission_structure'!$A$5:$J$5,0)),0)</f>
        <v>0</v>
      </c>
      <c r="Z127" s="2">
        <f xml:space="preserve"> IF(H127&gt;L127,(H127-L127)*INDEX('2018_commission_structure'!$A$11:$I$14,MATCH(Calculations!$E127,'2018_commission_structure'!$A$11:$A$14,0),MATCH(Calculations!Z$1,'2018_commission_structure'!$A$11:$I$11,0)),0)</f>
        <v>0</v>
      </c>
      <c r="AA127" s="7">
        <f t="shared" si="16"/>
        <v>95043</v>
      </c>
      <c r="AB127" s="7">
        <f t="shared" si="17"/>
        <v>209927</v>
      </c>
    </row>
    <row r="128" spans="1:28" x14ac:dyDescent="0.25">
      <c r="A128">
        <v>513904581</v>
      </c>
      <c r="B128" t="s">
        <v>1223</v>
      </c>
      <c r="C128" t="s">
        <v>1408</v>
      </c>
      <c r="D128" t="str">
        <f>B128&amp;" "&amp;C128</f>
        <v>Abram Causton</v>
      </c>
      <c r="E128" t="s">
        <v>10</v>
      </c>
      <c r="F128">
        <v>98894</v>
      </c>
      <c r="G128">
        <f>COUNTIF(deals_closed!D:D,Calculations!A128)</f>
        <v>17</v>
      </c>
      <c r="H128" s="2">
        <f>SUMIF(deals_closed!D:D,Calculations!A128,deals_closed!C:C)</f>
        <v>691255</v>
      </c>
      <c r="I128" s="2">
        <f>VLOOKUP(E128,'2018_commission_structure'!$A$11:$I$14,9,FALSE)</f>
        <v>750000</v>
      </c>
      <c r="J128" s="2">
        <f t="shared" si="9"/>
        <v>937500</v>
      </c>
      <c r="K128" s="2">
        <f t="shared" si="10"/>
        <v>1125000</v>
      </c>
      <c r="L128" s="2">
        <f t="shared" si="11"/>
        <v>1500000</v>
      </c>
      <c r="M128" s="6">
        <f t="shared" si="12"/>
        <v>0.92167333333333334</v>
      </c>
      <c r="N128" t="str">
        <f t="shared" si="13"/>
        <v>0-100%</v>
      </c>
      <c r="O128" s="7">
        <f>MIN(I128,H128)*INDEX('2018_commission_structure'!$A$11:$I$14,MATCH(Calculations!$E128,'2018_commission_structure'!$A$11:$A$14,0),MATCH(Calculations!O$1,'2018_commission_structure'!$A$11:$I$11,0))</f>
        <v>103688.25</v>
      </c>
      <c r="P128" s="7">
        <f>IF($H128&gt;I128,MIN($H128-I128,J128-I128)*INDEX('2018_commission_structure'!$A$11:$I$14,MATCH(Calculations!$E128,'2018_commission_structure'!$A$11:$A$14,0), MATCH(Calculations!P$1,'2018_commission_structure'!$A$11:$I$11,0)),0)</f>
        <v>0</v>
      </c>
      <c r="Q128" s="7">
        <f>IF($H128&gt;J128,MIN($H128-J128,K128-J128)*INDEX('2018_commission_structure'!$A$11:$I$14,MATCH(Calculations!$E128,'2018_commission_structure'!$A$11:$A$14,0), MATCH(Calculations!Q$1,'2018_commission_structure'!$A$11:$I$11,0)),0)</f>
        <v>0</v>
      </c>
      <c r="R128" s="7">
        <f>IF($H128&gt;K128,MIN($H128-K128,L128-K128)*INDEX('2018_commission_structure'!$A$11:$I$14,MATCH(Calculations!$E128,'2018_commission_structure'!$A$11:$A$14,0), MATCH(Calculations!R$1,'2018_commission_structure'!$A$11:$I$11,0)),0)</f>
        <v>0</v>
      </c>
      <c r="S128" s="7">
        <f>IF(H128&gt;L128,(H128-L128)*INDEX('2018_commission_structure'!$A$11:$I$14,MATCH(Calculations!$E128,'2018_commission_structure'!$A$11:$A$14,0),MATCH(Calculations!S$1,'2018_commission_structure'!$A$11:$I$11,0)),0)</f>
        <v>0</v>
      </c>
      <c r="T128" s="7">
        <f t="shared" si="14"/>
        <v>103688.25</v>
      </c>
      <c r="U128" s="7">
        <f t="shared" si="15"/>
        <v>202582.25</v>
      </c>
      <c r="V128" s="7">
        <f>MIN(H128,I128)*INDEX('2018_commission_structure'!$A$5:$J$8,MATCH(Calculations!$E128,'2018_commission_structure'!$A$5:$A$8,0),MATCH(Calculations!V$1,'2018_commission_structure'!$A$5:$J$5,0))</f>
        <v>103688.25</v>
      </c>
      <c r="W128" s="2">
        <f>IF($H128&gt;I128,MIN($H128-I128,J128-I128)*INDEX('2018_commission_structure'!$A$5:$J$8,MATCH(Calculations!$E128,'2018_commission_structure'!$A$5:$A$8,0),MATCH(Calculations!W$1,'2018_commission_structure'!$A$5:$J$5,0)),0)</f>
        <v>0</v>
      </c>
      <c r="X128" s="2">
        <f>IF($H128&gt;J128,MIN($H128-J128,K128-J128)*INDEX('2018_commission_structure'!$A$5:$J$8,MATCH(Calculations!$E128,'2018_commission_structure'!$A$5:$A$8,0),MATCH(Calculations!X$1,'2018_commission_structure'!$A$5:$J$5,0)),0)</f>
        <v>0</v>
      </c>
      <c r="Y128" s="2">
        <f>IF($H128&gt;K128,MIN($H128-K128,L128-K128)*INDEX('2018_commission_structure'!$A$5:$J$8,MATCH(Calculations!$E128,'2018_commission_structure'!$A$5:$A$8,0),MATCH(Calculations!Y$1,'2018_commission_structure'!$A$5:$J$5,0)),0)</f>
        <v>0</v>
      </c>
      <c r="Z128" s="2">
        <f xml:space="preserve"> IF(H128&gt;L128,(H128-L128)*INDEX('2018_commission_structure'!$A$11:$I$14,MATCH(Calculations!$E128,'2018_commission_structure'!$A$11:$A$14,0),MATCH(Calculations!Z$1,'2018_commission_structure'!$A$11:$I$11,0)),0)</f>
        <v>0</v>
      </c>
      <c r="AA128" s="7">
        <f t="shared" si="16"/>
        <v>103688.25</v>
      </c>
      <c r="AB128" s="7">
        <f t="shared" si="17"/>
        <v>202582.25</v>
      </c>
    </row>
    <row r="129" spans="1:28" x14ac:dyDescent="0.25">
      <c r="A129">
        <v>4535395691</v>
      </c>
      <c r="B129" t="s">
        <v>1800</v>
      </c>
      <c r="C129" t="s">
        <v>1801</v>
      </c>
      <c r="D129" t="str">
        <f>B129&amp;" "&amp;C129</f>
        <v>Ozzy Cavnor</v>
      </c>
      <c r="E129" t="s">
        <v>10</v>
      </c>
      <c r="F129">
        <v>92475</v>
      </c>
      <c r="G129">
        <f>COUNTIF(deals_closed!D:D,Calculations!A129)</f>
        <v>17</v>
      </c>
      <c r="H129" s="2">
        <f>SUMIF(deals_closed!D:D,Calculations!A129,deals_closed!C:C)</f>
        <v>610839</v>
      </c>
      <c r="I129" s="2">
        <f>VLOOKUP(E129,'2018_commission_structure'!$A$11:$I$14,9,FALSE)</f>
        <v>750000</v>
      </c>
      <c r="J129" s="2">
        <f t="shared" si="9"/>
        <v>937500</v>
      </c>
      <c r="K129" s="2">
        <f t="shared" si="10"/>
        <v>1125000</v>
      </c>
      <c r="L129" s="2">
        <f t="shared" si="11"/>
        <v>1500000</v>
      </c>
      <c r="M129" s="6">
        <f t="shared" si="12"/>
        <v>0.81445199999999995</v>
      </c>
      <c r="N129" t="str">
        <f t="shared" si="13"/>
        <v>0-100%</v>
      </c>
      <c r="O129" s="7">
        <f>MIN(I129,H129)*INDEX('2018_commission_structure'!$A$11:$I$14,MATCH(Calculations!$E129,'2018_commission_structure'!$A$11:$A$14,0),MATCH(Calculations!O$1,'2018_commission_structure'!$A$11:$I$11,0))</f>
        <v>91625.849999999991</v>
      </c>
      <c r="P129" s="7">
        <f>IF($H129&gt;I129,MIN($H129-I129,J129-I129)*INDEX('2018_commission_structure'!$A$11:$I$14,MATCH(Calculations!$E129,'2018_commission_structure'!$A$11:$A$14,0), MATCH(Calculations!P$1,'2018_commission_structure'!$A$11:$I$11,0)),0)</f>
        <v>0</v>
      </c>
      <c r="Q129" s="7">
        <f>IF($H129&gt;J129,MIN($H129-J129,K129-J129)*INDEX('2018_commission_structure'!$A$11:$I$14,MATCH(Calculations!$E129,'2018_commission_structure'!$A$11:$A$14,0), MATCH(Calculations!Q$1,'2018_commission_structure'!$A$11:$I$11,0)),0)</f>
        <v>0</v>
      </c>
      <c r="R129" s="7">
        <f>IF($H129&gt;K129,MIN($H129-K129,L129-K129)*INDEX('2018_commission_structure'!$A$11:$I$14,MATCH(Calculations!$E129,'2018_commission_structure'!$A$11:$A$14,0), MATCH(Calculations!R$1,'2018_commission_structure'!$A$11:$I$11,0)),0)</f>
        <v>0</v>
      </c>
      <c r="S129" s="7">
        <f>IF(H129&gt;L129,(H129-L129)*INDEX('2018_commission_structure'!$A$11:$I$14,MATCH(Calculations!$E129,'2018_commission_structure'!$A$11:$A$14,0),MATCH(Calculations!S$1,'2018_commission_structure'!$A$11:$I$11,0)),0)</f>
        <v>0</v>
      </c>
      <c r="T129" s="7">
        <f t="shared" si="14"/>
        <v>91625.849999999991</v>
      </c>
      <c r="U129" s="7">
        <f t="shared" si="15"/>
        <v>184100.84999999998</v>
      </c>
      <c r="V129" s="7">
        <f>MIN(H129,I129)*INDEX('2018_commission_structure'!$A$5:$J$8,MATCH(Calculations!$E129,'2018_commission_structure'!$A$5:$A$8,0),MATCH(Calculations!V$1,'2018_commission_structure'!$A$5:$J$5,0))</f>
        <v>91625.849999999991</v>
      </c>
      <c r="W129" s="2">
        <f>IF($H129&gt;I129,MIN($H129-I129,J129-I129)*INDEX('2018_commission_structure'!$A$5:$J$8,MATCH(Calculations!$E129,'2018_commission_structure'!$A$5:$A$8,0),MATCH(Calculations!W$1,'2018_commission_structure'!$A$5:$J$5,0)),0)</f>
        <v>0</v>
      </c>
      <c r="X129" s="2">
        <f>IF($H129&gt;J129,MIN($H129-J129,K129-J129)*INDEX('2018_commission_structure'!$A$5:$J$8,MATCH(Calculations!$E129,'2018_commission_structure'!$A$5:$A$8,0),MATCH(Calculations!X$1,'2018_commission_structure'!$A$5:$J$5,0)),0)</f>
        <v>0</v>
      </c>
      <c r="Y129" s="2">
        <f>IF($H129&gt;K129,MIN($H129-K129,L129-K129)*INDEX('2018_commission_structure'!$A$5:$J$8,MATCH(Calculations!$E129,'2018_commission_structure'!$A$5:$A$8,0),MATCH(Calculations!Y$1,'2018_commission_structure'!$A$5:$J$5,0)),0)</f>
        <v>0</v>
      </c>
      <c r="Z129" s="2">
        <f xml:space="preserve"> IF(H129&gt;L129,(H129-L129)*INDEX('2018_commission_structure'!$A$11:$I$14,MATCH(Calculations!$E129,'2018_commission_structure'!$A$11:$A$14,0),MATCH(Calculations!Z$1,'2018_commission_structure'!$A$11:$I$11,0)),0)</f>
        <v>0</v>
      </c>
      <c r="AA129" s="7">
        <f t="shared" si="16"/>
        <v>91625.849999999991</v>
      </c>
      <c r="AB129" s="7">
        <f t="shared" si="17"/>
        <v>184100.84999999998</v>
      </c>
    </row>
    <row r="130" spans="1:28" x14ac:dyDescent="0.25">
      <c r="A130">
        <v>4997183822</v>
      </c>
      <c r="B130" t="s">
        <v>1747</v>
      </c>
      <c r="C130" t="s">
        <v>1748</v>
      </c>
      <c r="D130" t="str">
        <f>B130&amp;" "&amp;C130</f>
        <v>Barbabas Cawt</v>
      </c>
      <c r="E130" t="s">
        <v>29</v>
      </c>
      <c r="F130">
        <v>58138</v>
      </c>
      <c r="G130">
        <f>COUNTIF(deals_closed!D:D,Calculations!A130)</f>
        <v>20</v>
      </c>
      <c r="H130" s="2">
        <f>SUMIF(deals_closed!D:D,Calculations!A130,deals_closed!C:C)</f>
        <v>607881</v>
      </c>
      <c r="I130" s="2">
        <f>VLOOKUP(E130,'2018_commission_structure'!$A$11:$I$14,9,FALSE)</f>
        <v>600000</v>
      </c>
      <c r="J130" s="2">
        <f t="shared" ref="J130:J193" si="18">I130*1.25</f>
        <v>750000</v>
      </c>
      <c r="K130" s="2">
        <f t="shared" ref="K130:K193" si="19">I130*1.5</f>
        <v>900000</v>
      </c>
      <c r="L130" s="2">
        <f t="shared" ref="L130:L193" si="20">I130*2</f>
        <v>1200000</v>
      </c>
      <c r="M130" s="6">
        <f t="shared" ref="M130:M193" si="21">H130/I130</f>
        <v>1.0131349999999999</v>
      </c>
      <c r="N130" t="str">
        <f t="shared" ref="N130:N193" si="22">IF(M130&lt;=1, "0-100%", IF(M130&lt;=1.25, "100-125%", IF(M130&lt;=1.5, "125-150%", IF(M130&lt;=2, "150-200%", "&gt;200%"))))</f>
        <v>100-125%</v>
      </c>
      <c r="O130" s="7">
        <f>MIN(I130,H130)*INDEX('2018_commission_structure'!$A$11:$I$14,MATCH(Calculations!$E130,'2018_commission_structure'!$A$11:$A$14,0),MATCH(Calculations!O$1,'2018_commission_structure'!$A$11:$I$11,0))</f>
        <v>78000</v>
      </c>
      <c r="P130" s="7">
        <f>IF($H130&gt;I130,MIN($H130-I130,J130-I130)*INDEX('2018_commission_structure'!$A$11:$I$14,MATCH(Calculations!$E130,'2018_commission_structure'!$A$11:$A$14,0), MATCH(Calculations!P$1,'2018_commission_structure'!$A$11:$I$11,0)),0)</f>
        <v>1339.7700000000002</v>
      </c>
      <c r="Q130" s="7">
        <f>IF($H130&gt;J130,MIN($H130-J130,K130-J130)*INDEX('2018_commission_structure'!$A$11:$I$14,MATCH(Calculations!$E130,'2018_commission_structure'!$A$11:$A$14,0), MATCH(Calculations!Q$1,'2018_commission_structure'!$A$11:$I$11,0)),0)</f>
        <v>0</v>
      </c>
      <c r="R130" s="7">
        <f>IF($H130&gt;K130,MIN($H130-K130,L130-K130)*INDEX('2018_commission_structure'!$A$11:$I$14,MATCH(Calculations!$E130,'2018_commission_structure'!$A$11:$A$14,0), MATCH(Calculations!R$1,'2018_commission_structure'!$A$11:$I$11,0)),0)</f>
        <v>0</v>
      </c>
      <c r="S130" s="7">
        <f>IF(H130&gt;L130,(H130-L130)*INDEX('2018_commission_structure'!$A$11:$I$14,MATCH(Calculations!$E130,'2018_commission_structure'!$A$11:$A$14,0),MATCH(Calculations!S$1,'2018_commission_structure'!$A$11:$I$11,0)),0)</f>
        <v>0</v>
      </c>
      <c r="T130" s="7">
        <f t="shared" ref="T130:T193" si="23">SUM(O130:S130)</f>
        <v>79339.77</v>
      </c>
      <c r="U130" s="7">
        <f t="shared" ref="U130:U193" si="24">T130+F130</f>
        <v>137477.77000000002</v>
      </c>
      <c r="V130" s="7">
        <f>MIN(H130,I130)*INDEX('2018_commission_structure'!$A$5:$J$8,MATCH(Calculations!$E130,'2018_commission_structure'!$A$5:$A$8,0),MATCH(Calculations!V$1,'2018_commission_structure'!$A$5:$J$5,0))</f>
        <v>90000</v>
      </c>
      <c r="W130" s="2">
        <f>IF($H130&gt;I130,MIN($H130-I130,J130-I130)*INDEX('2018_commission_structure'!$A$5:$J$8,MATCH(Calculations!$E130,'2018_commission_structure'!$A$5:$A$8,0),MATCH(Calculations!W$1,'2018_commission_structure'!$A$5:$J$5,0)),0)</f>
        <v>1418.58</v>
      </c>
      <c r="X130" s="2">
        <f>IF($H130&gt;J130,MIN($H130-J130,K130-J130)*INDEX('2018_commission_structure'!$A$5:$J$8,MATCH(Calculations!$E130,'2018_commission_structure'!$A$5:$A$8,0),MATCH(Calculations!X$1,'2018_commission_structure'!$A$5:$J$5,0)),0)</f>
        <v>0</v>
      </c>
      <c r="Y130" s="2">
        <f>IF($H130&gt;K130,MIN($H130-K130,L130-K130)*INDEX('2018_commission_structure'!$A$5:$J$8,MATCH(Calculations!$E130,'2018_commission_structure'!$A$5:$A$8,0),MATCH(Calculations!Y$1,'2018_commission_structure'!$A$5:$J$5,0)),0)</f>
        <v>0</v>
      </c>
      <c r="Z130" s="2">
        <f xml:space="preserve"> IF(H130&gt;L130,(H130-L130)*INDEX('2018_commission_structure'!$A$11:$I$14,MATCH(Calculations!$E130,'2018_commission_structure'!$A$11:$A$14,0),MATCH(Calculations!Z$1,'2018_commission_structure'!$A$11:$I$11,0)),0)</f>
        <v>0</v>
      </c>
      <c r="AA130" s="7">
        <f t="shared" si="16"/>
        <v>91418.58</v>
      </c>
      <c r="AB130" s="7">
        <f t="shared" si="17"/>
        <v>149556.58000000002</v>
      </c>
    </row>
    <row r="131" spans="1:28" x14ac:dyDescent="0.25">
      <c r="A131">
        <v>8526090127</v>
      </c>
      <c r="B131" t="s">
        <v>1480</v>
      </c>
      <c r="C131" t="s">
        <v>1481</v>
      </c>
      <c r="D131" t="str">
        <f>B131&amp;" "&amp;C131</f>
        <v>Sidnee Chalkly</v>
      </c>
      <c r="E131" t="s">
        <v>7</v>
      </c>
      <c r="F131">
        <v>32505</v>
      </c>
      <c r="G131">
        <f>COUNTIF(deals_closed!D:D,Calculations!A131)</f>
        <v>19</v>
      </c>
      <c r="H131" s="2">
        <f>SUMIF(deals_closed!D:D,Calculations!A131,deals_closed!C:C)</f>
        <v>683280</v>
      </c>
      <c r="I131" s="2">
        <f>VLOOKUP(E131,'2018_commission_structure'!$A$11:$I$14,9,FALSE)</f>
        <v>500000</v>
      </c>
      <c r="J131" s="2">
        <f t="shared" si="18"/>
        <v>625000</v>
      </c>
      <c r="K131" s="2">
        <f t="shared" si="19"/>
        <v>750000</v>
      </c>
      <c r="L131" s="2">
        <f t="shared" si="20"/>
        <v>1000000</v>
      </c>
      <c r="M131" s="6">
        <f t="shared" si="21"/>
        <v>1.36656</v>
      </c>
      <c r="N131" t="str">
        <f t="shared" si="22"/>
        <v>125-150%</v>
      </c>
      <c r="O131" s="7">
        <f>MIN(I131,H131)*INDEX('2018_commission_structure'!$A$11:$I$14,MATCH(Calculations!$E131,'2018_commission_structure'!$A$11:$A$14,0),MATCH(Calculations!O$1,'2018_commission_structure'!$A$11:$I$11,0))</f>
        <v>50000</v>
      </c>
      <c r="P131" s="7">
        <f>IF($H131&gt;I131,MIN($H131-I131,J131-I131)*INDEX('2018_commission_structure'!$A$11:$I$14,MATCH(Calculations!$E131,'2018_commission_structure'!$A$11:$A$14,0), MATCH(Calculations!P$1,'2018_commission_structure'!$A$11:$I$11,0)),0)</f>
        <v>18750</v>
      </c>
      <c r="Q131" s="7">
        <f>IF($H131&gt;J131,MIN($H131-J131,K131-J131)*INDEX('2018_commission_structure'!$A$11:$I$14,MATCH(Calculations!$E131,'2018_commission_structure'!$A$11:$A$14,0), MATCH(Calculations!Q$1,'2018_commission_structure'!$A$11:$I$11,0)),0)</f>
        <v>10490.4</v>
      </c>
      <c r="R131" s="7">
        <f>IF($H131&gt;K131,MIN($H131-K131,L131-K131)*INDEX('2018_commission_structure'!$A$11:$I$14,MATCH(Calculations!$E131,'2018_commission_structure'!$A$11:$A$14,0), MATCH(Calculations!R$1,'2018_commission_structure'!$A$11:$I$11,0)),0)</f>
        <v>0</v>
      </c>
      <c r="S131" s="7">
        <f>IF(H131&gt;L131,(H131-L131)*INDEX('2018_commission_structure'!$A$11:$I$14,MATCH(Calculations!$E131,'2018_commission_structure'!$A$11:$A$14,0),MATCH(Calculations!S$1,'2018_commission_structure'!$A$11:$I$11,0)),0)</f>
        <v>0</v>
      </c>
      <c r="T131" s="7">
        <f t="shared" si="23"/>
        <v>79240.399999999994</v>
      </c>
      <c r="U131" s="7">
        <f t="shared" si="24"/>
        <v>111745.4</v>
      </c>
      <c r="V131" s="7">
        <f>MIN(H131,I131)*INDEX('2018_commission_structure'!$A$5:$J$8,MATCH(Calculations!$E131,'2018_commission_structure'!$A$5:$A$8,0),MATCH(Calculations!V$1,'2018_commission_structure'!$A$5:$J$5,0))</f>
        <v>60000</v>
      </c>
      <c r="W131" s="2">
        <f>IF($H131&gt;I131,MIN($H131-I131,J131-I131)*INDEX('2018_commission_structure'!$A$5:$J$8,MATCH(Calculations!$E131,'2018_commission_structure'!$A$5:$A$8,0),MATCH(Calculations!W$1,'2018_commission_structure'!$A$5:$J$5,0)),0)</f>
        <v>21250</v>
      </c>
      <c r="X131" s="2">
        <f>IF($H131&gt;J131,MIN($H131-J131,K131-J131)*INDEX('2018_commission_structure'!$A$5:$J$8,MATCH(Calculations!$E131,'2018_commission_structure'!$A$5:$A$8,0),MATCH(Calculations!X$1,'2018_commission_structure'!$A$5:$J$5,0)),0)</f>
        <v>11656</v>
      </c>
      <c r="Y131" s="2">
        <f>IF($H131&gt;K131,MIN($H131-K131,L131-K131)*INDEX('2018_commission_structure'!$A$5:$J$8,MATCH(Calculations!$E131,'2018_commission_structure'!$A$5:$A$8,0),MATCH(Calculations!Y$1,'2018_commission_structure'!$A$5:$J$5,0)),0)</f>
        <v>0</v>
      </c>
      <c r="Z131" s="2">
        <f xml:space="preserve"> IF(H131&gt;L131,(H131-L131)*INDEX('2018_commission_structure'!$A$11:$I$14,MATCH(Calculations!$E131,'2018_commission_structure'!$A$11:$A$14,0),MATCH(Calculations!Z$1,'2018_commission_structure'!$A$11:$I$11,0)),0)</f>
        <v>0</v>
      </c>
      <c r="AA131" s="7">
        <f t="shared" ref="AA131:AA194" si="25">SUM(V131:Z131)</f>
        <v>92906</v>
      </c>
      <c r="AB131" s="7">
        <f t="shared" ref="AB131:AB194" si="26">AA131+F131</f>
        <v>125411</v>
      </c>
    </row>
    <row r="132" spans="1:28" x14ac:dyDescent="0.25">
      <c r="A132">
        <v>4076701275</v>
      </c>
      <c r="B132" t="s">
        <v>173</v>
      </c>
      <c r="C132" t="s">
        <v>174</v>
      </c>
      <c r="D132" t="str">
        <f>B132&amp;" "&amp;C132</f>
        <v>Arlene Charlin</v>
      </c>
      <c r="E132" t="s">
        <v>7</v>
      </c>
      <c r="F132">
        <v>51875</v>
      </c>
      <c r="G132">
        <f>COUNTIF(deals_closed!D:D,Calculations!A132)</f>
        <v>19</v>
      </c>
      <c r="H132" s="2">
        <f>SUMIF(deals_closed!D:D,Calculations!A132,deals_closed!C:C)</f>
        <v>632643</v>
      </c>
      <c r="I132" s="2">
        <f>VLOOKUP(E132,'2018_commission_structure'!$A$11:$I$14,9,FALSE)</f>
        <v>500000</v>
      </c>
      <c r="J132" s="2">
        <f t="shared" si="18"/>
        <v>625000</v>
      </c>
      <c r="K132" s="2">
        <f t="shared" si="19"/>
        <v>750000</v>
      </c>
      <c r="L132" s="2">
        <f t="shared" si="20"/>
        <v>1000000</v>
      </c>
      <c r="M132" s="6">
        <f t="shared" si="21"/>
        <v>1.2652859999999999</v>
      </c>
      <c r="N132" t="str">
        <f t="shared" si="22"/>
        <v>125-150%</v>
      </c>
      <c r="O132" s="7">
        <f>MIN(I132,H132)*INDEX('2018_commission_structure'!$A$11:$I$14,MATCH(Calculations!$E132,'2018_commission_structure'!$A$11:$A$14,0),MATCH(Calculations!O$1,'2018_commission_structure'!$A$11:$I$11,0))</f>
        <v>50000</v>
      </c>
      <c r="P132" s="7">
        <f>IF($H132&gt;I132,MIN($H132-I132,J132-I132)*INDEX('2018_commission_structure'!$A$11:$I$14,MATCH(Calculations!$E132,'2018_commission_structure'!$A$11:$A$14,0), MATCH(Calculations!P$1,'2018_commission_structure'!$A$11:$I$11,0)),0)</f>
        <v>18750</v>
      </c>
      <c r="Q132" s="7">
        <f>IF($H132&gt;J132,MIN($H132-J132,K132-J132)*INDEX('2018_commission_structure'!$A$11:$I$14,MATCH(Calculations!$E132,'2018_commission_structure'!$A$11:$A$14,0), MATCH(Calculations!Q$1,'2018_commission_structure'!$A$11:$I$11,0)),0)</f>
        <v>1375.74</v>
      </c>
      <c r="R132" s="7">
        <f>IF($H132&gt;K132,MIN($H132-K132,L132-K132)*INDEX('2018_commission_structure'!$A$11:$I$14,MATCH(Calculations!$E132,'2018_commission_structure'!$A$11:$A$14,0), MATCH(Calculations!R$1,'2018_commission_structure'!$A$11:$I$11,0)),0)</f>
        <v>0</v>
      </c>
      <c r="S132" s="7">
        <f>IF(H132&gt;L132,(H132-L132)*INDEX('2018_commission_structure'!$A$11:$I$14,MATCH(Calculations!$E132,'2018_commission_structure'!$A$11:$A$14,0),MATCH(Calculations!S$1,'2018_commission_structure'!$A$11:$I$11,0)),0)</f>
        <v>0</v>
      </c>
      <c r="T132" s="7">
        <f t="shared" si="23"/>
        <v>70125.740000000005</v>
      </c>
      <c r="U132" s="7">
        <f t="shared" si="24"/>
        <v>122000.74</v>
      </c>
      <c r="V132" s="7">
        <f>MIN(H132,I132)*INDEX('2018_commission_structure'!$A$5:$J$8,MATCH(Calculations!$E132,'2018_commission_structure'!$A$5:$A$8,0),MATCH(Calculations!V$1,'2018_commission_structure'!$A$5:$J$5,0))</f>
        <v>60000</v>
      </c>
      <c r="W132" s="2">
        <f>IF($H132&gt;I132,MIN($H132-I132,J132-I132)*INDEX('2018_commission_structure'!$A$5:$J$8,MATCH(Calculations!$E132,'2018_commission_structure'!$A$5:$A$8,0),MATCH(Calculations!W$1,'2018_commission_structure'!$A$5:$J$5,0)),0)</f>
        <v>21250</v>
      </c>
      <c r="X132" s="2">
        <f>IF($H132&gt;J132,MIN($H132-J132,K132-J132)*INDEX('2018_commission_structure'!$A$5:$J$8,MATCH(Calculations!$E132,'2018_commission_structure'!$A$5:$A$8,0),MATCH(Calculations!X$1,'2018_commission_structure'!$A$5:$J$5,0)),0)</f>
        <v>1528.6000000000001</v>
      </c>
      <c r="Y132" s="2">
        <f>IF($H132&gt;K132,MIN($H132-K132,L132-K132)*INDEX('2018_commission_structure'!$A$5:$J$8,MATCH(Calculations!$E132,'2018_commission_structure'!$A$5:$A$8,0),MATCH(Calculations!Y$1,'2018_commission_structure'!$A$5:$J$5,0)),0)</f>
        <v>0</v>
      </c>
      <c r="Z132" s="2">
        <f xml:space="preserve"> IF(H132&gt;L132,(H132-L132)*INDEX('2018_commission_structure'!$A$11:$I$14,MATCH(Calculations!$E132,'2018_commission_structure'!$A$11:$A$14,0),MATCH(Calculations!Z$1,'2018_commission_structure'!$A$11:$I$11,0)),0)</f>
        <v>0</v>
      </c>
      <c r="AA132" s="7">
        <f t="shared" si="25"/>
        <v>82778.600000000006</v>
      </c>
      <c r="AB132" s="7">
        <f t="shared" si="26"/>
        <v>134653.6</v>
      </c>
    </row>
    <row r="133" spans="1:28" x14ac:dyDescent="0.25">
      <c r="A133">
        <v>5405945366</v>
      </c>
      <c r="B133" t="s">
        <v>1282</v>
      </c>
      <c r="C133" t="s">
        <v>1283</v>
      </c>
      <c r="D133" t="str">
        <f>B133&amp;" "&amp;C133</f>
        <v>Miguel Chasemore</v>
      </c>
      <c r="E133" t="s">
        <v>29</v>
      </c>
      <c r="F133">
        <v>68841</v>
      </c>
      <c r="G133">
        <f>COUNTIF(deals_closed!D:D,Calculations!A133)</f>
        <v>16</v>
      </c>
      <c r="H133" s="2">
        <f>SUMIF(deals_closed!D:D,Calculations!A133,deals_closed!C:C)</f>
        <v>585898</v>
      </c>
      <c r="I133" s="2">
        <f>VLOOKUP(E133,'2018_commission_structure'!$A$11:$I$14,9,FALSE)</f>
        <v>600000</v>
      </c>
      <c r="J133" s="2">
        <f t="shared" si="18"/>
        <v>750000</v>
      </c>
      <c r="K133" s="2">
        <f t="shared" si="19"/>
        <v>900000</v>
      </c>
      <c r="L133" s="2">
        <f t="shared" si="20"/>
        <v>1200000</v>
      </c>
      <c r="M133" s="6">
        <f t="shared" si="21"/>
        <v>0.97649666666666668</v>
      </c>
      <c r="N133" t="str">
        <f t="shared" si="22"/>
        <v>0-100%</v>
      </c>
      <c r="O133" s="7">
        <f>MIN(I133,H133)*INDEX('2018_commission_structure'!$A$11:$I$14,MATCH(Calculations!$E133,'2018_commission_structure'!$A$11:$A$14,0),MATCH(Calculations!O$1,'2018_commission_structure'!$A$11:$I$11,0))</f>
        <v>76166.740000000005</v>
      </c>
      <c r="P133" s="7">
        <f>IF($H133&gt;I133,MIN($H133-I133,J133-I133)*INDEX('2018_commission_structure'!$A$11:$I$14,MATCH(Calculations!$E133,'2018_commission_structure'!$A$11:$A$14,0), MATCH(Calculations!P$1,'2018_commission_structure'!$A$11:$I$11,0)),0)</f>
        <v>0</v>
      </c>
      <c r="Q133" s="7">
        <f>IF($H133&gt;J133,MIN($H133-J133,K133-J133)*INDEX('2018_commission_structure'!$A$11:$I$14,MATCH(Calculations!$E133,'2018_commission_structure'!$A$11:$A$14,0), MATCH(Calculations!Q$1,'2018_commission_structure'!$A$11:$I$11,0)),0)</f>
        <v>0</v>
      </c>
      <c r="R133" s="7">
        <f>IF($H133&gt;K133,MIN($H133-K133,L133-K133)*INDEX('2018_commission_structure'!$A$11:$I$14,MATCH(Calculations!$E133,'2018_commission_structure'!$A$11:$A$14,0), MATCH(Calculations!R$1,'2018_commission_structure'!$A$11:$I$11,0)),0)</f>
        <v>0</v>
      </c>
      <c r="S133" s="7">
        <f>IF(H133&gt;L133,(H133-L133)*INDEX('2018_commission_structure'!$A$11:$I$14,MATCH(Calculations!$E133,'2018_commission_structure'!$A$11:$A$14,0),MATCH(Calculations!S$1,'2018_commission_structure'!$A$11:$I$11,0)),0)</f>
        <v>0</v>
      </c>
      <c r="T133" s="7">
        <f t="shared" si="23"/>
        <v>76166.740000000005</v>
      </c>
      <c r="U133" s="7">
        <f t="shared" si="24"/>
        <v>145007.74</v>
      </c>
      <c r="V133" s="7">
        <f>MIN(H133,I133)*INDEX('2018_commission_structure'!$A$5:$J$8,MATCH(Calculations!$E133,'2018_commission_structure'!$A$5:$A$8,0),MATCH(Calculations!V$1,'2018_commission_structure'!$A$5:$J$5,0))</f>
        <v>87884.7</v>
      </c>
      <c r="W133" s="2">
        <f>IF($H133&gt;I133,MIN($H133-I133,J133-I133)*INDEX('2018_commission_structure'!$A$5:$J$8,MATCH(Calculations!$E133,'2018_commission_structure'!$A$5:$A$8,0),MATCH(Calculations!W$1,'2018_commission_structure'!$A$5:$J$5,0)),0)</f>
        <v>0</v>
      </c>
      <c r="X133" s="2">
        <f>IF($H133&gt;J133,MIN($H133-J133,K133-J133)*INDEX('2018_commission_structure'!$A$5:$J$8,MATCH(Calculations!$E133,'2018_commission_structure'!$A$5:$A$8,0),MATCH(Calculations!X$1,'2018_commission_structure'!$A$5:$J$5,0)),0)</f>
        <v>0</v>
      </c>
      <c r="Y133" s="2">
        <f>IF($H133&gt;K133,MIN($H133-K133,L133-K133)*INDEX('2018_commission_structure'!$A$5:$J$8,MATCH(Calculations!$E133,'2018_commission_structure'!$A$5:$A$8,0),MATCH(Calculations!Y$1,'2018_commission_structure'!$A$5:$J$5,0)),0)</f>
        <v>0</v>
      </c>
      <c r="Z133" s="2">
        <f xml:space="preserve"> IF(H133&gt;L133,(H133-L133)*INDEX('2018_commission_structure'!$A$11:$I$14,MATCH(Calculations!$E133,'2018_commission_structure'!$A$11:$A$14,0),MATCH(Calculations!Z$1,'2018_commission_structure'!$A$11:$I$11,0)),0)</f>
        <v>0</v>
      </c>
      <c r="AA133" s="7">
        <f t="shared" si="25"/>
        <v>87884.7</v>
      </c>
      <c r="AB133" s="7">
        <f t="shared" si="26"/>
        <v>156725.70000000001</v>
      </c>
    </row>
    <row r="134" spans="1:28" x14ac:dyDescent="0.25">
      <c r="A134">
        <v>8733080267</v>
      </c>
      <c r="B134" t="s">
        <v>240</v>
      </c>
      <c r="C134" t="s">
        <v>241</v>
      </c>
      <c r="D134" t="str">
        <f>B134&amp;" "&amp;C134</f>
        <v>Lavinia Chasier</v>
      </c>
      <c r="E134" t="s">
        <v>7</v>
      </c>
      <c r="F134">
        <v>49825</v>
      </c>
      <c r="G134">
        <f>COUNTIF(deals_closed!D:D,Calculations!A134)</f>
        <v>18</v>
      </c>
      <c r="H134" s="2">
        <f>SUMIF(deals_closed!D:D,Calculations!A134,deals_closed!C:C)</f>
        <v>721356</v>
      </c>
      <c r="I134" s="2">
        <f>VLOOKUP(E134,'2018_commission_structure'!$A$11:$I$14,9,FALSE)</f>
        <v>500000</v>
      </c>
      <c r="J134" s="2">
        <f t="shared" si="18"/>
        <v>625000</v>
      </c>
      <c r="K134" s="2">
        <f t="shared" si="19"/>
        <v>750000</v>
      </c>
      <c r="L134" s="2">
        <f t="shared" si="20"/>
        <v>1000000</v>
      </c>
      <c r="M134" s="6">
        <f t="shared" si="21"/>
        <v>1.442712</v>
      </c>
      <c r="N134" t="str">
        <f t="shared" si="22"/>
        <v>125-150%</v>
      </c>
      <c r="O134" s="7">
        <f>MIN(I134,H134)*INDEX('2018_commission_structure'!$A$11:$I$14,MATCH(Calculations!$E134,'2018_commission_structure'!$A$11:$A$14,0),MATCH(Calculations!O$1,'2018_commission_structure'!$A$11:$I$11,0))</f>
        <v>50000</v>
      </c>
      <c r="P134" s="7">
        <f>IF($H134&gt;I134,MIN($H134-I134,J134-I134)*INDEX('2018_commission_structure'!$A$11:$I$14,MATCH(Calculations!$E134,'2018_commission_structure'!$A$11:$A$14,0), MATCH(Calculations!P$1,'2018_commission_structure'!$A$11:$I$11,0)),0)</f>
        <v>18750</v>
      </c>
      <c r="Q134" s="7">
        <f>IF($H134&gt;J134,MIN($H134-J134,K134-J134)*INDEX('2018_commission_structure'!$A$11:$I$14,MATCH(Calculations!$E134,'2018_commission_structure'!$A$11:$A$14,0), MATCH(Calculations!Q$1,'2018_commission_structure'!$A$11:$I$11,0)),0)</f>
        <v>17344.079999999998</v>
      </c>
      <c r="R134" s="7">
        <f>IF($H134&gt;K134,MIN($H134-K134,L134-K134)*INDEX('2018_commission_structure'!$A$11:$I$14,MATCH(Calculations!$E134,'2018_commission_structure'!$A$11:$A$14,0), MATCH(Calculations!R$1,'2018_commission_structure'!$A$11:$I$11,0)),0)</f>
        <v>0</v>
      </c>
      <c r="S134" s="7">
        <f>IF(H134&gt;L134,(H134-L134)*INDEX('2018_commission_structure'!$A$11:$I$14,MATCH(Calculations!$E134,'2018_commission_structure'!$A$11:$A$14,0),MATCH(Calculations!S$1,'2018_commission_structure'!$A$11:$I$11,0)),0)</f>
        <v>0</v>
      </c>
      <c r="T134" s="7">
        <f t="shared" si="23"/>
        <v>86094.080000000002</v>
      </c>
      <c r="U134" s="7">
        <f t="shared" si="24"/>
        <v>135919.08000000002</v>
      </c>
      <c r="V134" s="7">
        <f>MIN(H134,I134)*INDEX('2018_commission_structure'!$A$5:$J$8,MATCH(Calculations!$E134,'2018_commission_structure'!$A$5:$A$8,0),MATCH(Calculations!V$1,'2018_commission_structure'!$A$5:$J$5,0))</f>
        <v>60000</v>
      </c>
      <c r="W134" s="2">
        <f>IF($H134&gt;I134,MIN($H134-I134,J134-I134)*INDEX('2018_commission_structure'!$A$5:$J$8,MATCH(Calculations!$E134,'2018_commission_structure'!$A$5:$A$8,0),MATCH(Calculations!W$1,'2018_commission_structure'!$A$5:$J$5,0)),0)</f>
        <v>21250</v>
      </c>
      <c r="X134" s="2">
        <f>IF($H134&gt;J134,MIN($H134-J134,K134-J134)*INDEX('2018_commission_structure'!$A$5:$J$8,MATCH(Calculations!$E134,'2018_commission_structure'!$A$5:$A$8,0),MATCH(Calculations!X$1,'2018_commission_structure'!$A$5:$J$5,0)),0)</f>
        <v>19271.2</v>
      </c>
      <c r="Y134" s="2">
        <f>IF($H134&gt;K134,MIN($H134-K134,L134-K134)*INDEX('2018_commission_structure'!$A$5:$J$8,MATCH(Calculations!$E134,'2018_commission_structure'!$A$5:$A$8,0),MATCH(Calculations!Y$1,'2018_commission_structure'!$A$5:$J$5,0)),0)</f>
        <v>0</v>
      </c>
      <c r="Z134" s="2">
        <f xml:space="preserve"> IF(H134&gt;L134,(H134-L134)*INDEX('2018_commission_structure'!$A$11:$I$14,MATCH(Calculations!$E134,'2018_commission_structure'!$A$11:$A$14,0),MATCH(Calculations!Z$1,'2018_commission_structure'!$A$11:$I$11,0)),0)</f>
        <v>0</v>
      </c>
      <c r="AA134" s="7">
        <f t="shared" si="25"/>
        <v>100521.2</v>
      </c>
      <c r="AB134" s="7">
        <f t="shared" si="26"/>
        <v>150346.20000000001</v>
      </c>
    </row>
    <row r="135" spans="1:28" x14ac:dyDescent="0.25">
      <c r="A135">
        <v>299663825</v>
      </c>
      <c r="B135" t="s">
        <v>250</v>
      </c>
      <c r="C135" t="s">
        <v>705</v>
      </c>
      <c r="D135" t="str">
        <f>B135&amp;" "&amp;C135</f>
        <v>Prentiss Chastaing</v>
      </c>
      <c r="E135" t="s">
        <v>29</v>
      </c>
      <c r="F135">
        <v>51063</v>
      </c>
      <c r="G135">
        <f>COUNTIF(deals_closed!D:D,Calculations!A135)</f>
        <v>16</v>
      </c>
      <c r="H135" s="2">
        <f>SUMIF(deals_closed!D:D,Calculations!A135,deals_closed!C:C)</f>
        <v>642284</v>
      </c>
      <c r="I135" s="2">
        <f>VLOOKUP(E135,'2018_commission_structure'!$A$11:$I$14,9,FALSE)</f>
        <v>600000</v>
      </c>
      <c r="J135" s="2">
        <f t="shared" si="18"/>
        <v>750000</v>
      </c>
      <c r="K135" s="2">
        <f t="shared" si="19"/>
        <v>900000</v>
      </c>
      <c r="L135" s="2">
        <f t="shared" si="20"/>
        <v>1200000</v>
      </c>
      <c r="M135" s="6">
        <f t="shared" si="21"/>
        <v>1.0704733333333334</v>
      </c>
      <c r="N135" t="str">
        <f t="shared" si="22"/>
        <v>100-125%</v>
      </c>
      <c r="O135" s="7">
        <f>MIN(I135,H135)*INDEX('2018_commission_structure'!$A$11:$I$14,MATCH(Calculations!$E135,'2018_commission_structure'!$A$11:$A$14,0),MATCH(Calculations!O$1,'2018_commission_structure'!$A$11:$I$11,0))</f>
        <v>78000</v>
      </c>
      <c r="P135" s="7">
        <f>IF($H135&gt;I135,MIN($H135-I135,J135-I135)*INDEX('2018_commission_structure'!$A$11:$I$14,MATCH(Calculations!$E135,'2018_commission_structure'!$A$11:$A$14,0), MATCH(Calculations!P$1,'2018_commission_structure'!$A$11:$I$11,0)),0)</f>
        <v>7188.2800000000007</v>
      </c>
      <c r="Q135" s="7">
        <f>IF($H135&gt;J135,MIN($H135-J135,K135-J135)*INDEX('2018_commission_structure'!$A$11:$I$14,MATCH(Calculations!$E135,'2018_commission_structure'!$A$11:$A$14,0), MATCH(Calculations!Q$1,'2018_commission_structure'!$A$11:$I$11,0)),0)</f>
        <v>0</v>
      </c>
      <c r="R135" s="7">
        <f>IF($H135&gt;K135,MIN($H135-K135,L135-K135)*INDEX('2018_commission_structure'!$A$11:$I$14,MATCH(Calculations!$E135,'2018_commission_structure'!$A$11:$A$14,0), MATCH(Calculations!R$1,'2018_commission_structure'!$A$11:$I$11,0)),0)</f>
        <v>0</v>
      </c>
      <c r="S135" s="7">
        <f>IF(H135&gt;L135,(H135-L135)*INDEX('2018_commission_structure'!$A$11:$I$14,MATCH(Calculations!$E135,'2018_commission_structure'!$A$11:$A$14,0),MATCH(Calculations!S$1,'2018_commission_structure'!$A$11:$I$11,0)),0)</f>
        <v>0</v>
      </c>
      <c r="T135" s="7">
        <f t="shared" si="23"/>
        <v>85188.28</v>
      </c>
      <c r="U135" s="7">
        <f t="shared" si="24"/>
        <v>136251.28</v>
      </c>
      <c r="V135" s="7">
        <f>MIN(H135,I135)*INDEX('2018_commission_structure'!$A$5:$J$8,MATCH(Calculations!$E135,'2018_commission_structure'!$A$5:$A$8,0),MATCH(Calculations!V$1,'2018_commission_structure'!$A$5:$J$5,0))</f>
        <v>90000</v>
      </c>
      <c r="W135" s="2">
        <f>IF($H135&gt;I135,MIN($H135-I135,J135-I135)*INDEX('2018_commission_structure'!$A$5:$J$8,MATCH(Calculations!$E135,'2018_commission_structure'!$A$5:$A$8,0),MATCH(Calculations!W$1,'2018_commission_structure'!$A$5:$J$5,0)),0)</f>
        <v>7611.12</v>
      </c>
      <c r="X135" s="2">
        <f>IF($H135&gt;J135,MIN($H135-J135,K135-J135)*INDEX('2018_commission_structure'!$A$5:$J$8,MATCH(Calculations!$E135,'2018_commission_structure'!$A$5:$A$8,0),MATCH(Calculations!X$1,'2018_commission_structure'!$A$5:$J$5,0)),0)</f>
        <v>0</v>
      </c>
      <c r="Y135" s="2">
        <f>IF($H135&gt;K135,MIN($H135-K135,L135-K135)*INDEX('2018_commission_structure'!$A$5:$J$8,MATCH(Calculations!$E135,'2018_commission_structure'!$A$5:$A$8,0),MATCH(Calculations!Y$1,'2018_commission_structure'!$A$5:$J$5,0)),0)</f>
        <v>0</v>
      </c>
      <c r="Z135" s="2">
        <f xml:space="preserve"> IF(H135&gt;L135,(H135-L135)*INDEX('2018_commission_structure'!$A$11:$I$14,MATCH(Calculations!$E135,'2018_commission_structure'!$A$11:$A$14,0),MATCH(Calculations!Z$1,'2018_commission_structure'!$A$11:$I$11,0)),0)</f>
        <v>0</v>
      </c>
      <c r="AA135" s="7">
        <f t="shared" si="25"/>
        <v>97611.12</v>
      </c>
      <c r="AB135" s="7">
        <f t="shared" si="26"/>
        <v>148674.12</v>
      </c>
    </row>
    <row r="136" spans="1:28" x14ac:dyDescent="0.25">
      <c r="A136">
        <v>3642452728</v>
      </c>
      <c r="B136" t="s">
        <v>1918</v>
      </c>
      <c r="C136" t="s">
        <v>1919</v>
      </c>
      <c r="D136" t="str">
        <f>B136&amp;" "&amp;C136</f>
        <v>Burch Chat</v>
      </c>
      <c r="E136" t="s">
        <v>10</v>
      </c>
      <c r="F136">
        <v>84611</v>
      </c>
      <c r="G136">
        <f>COUNTIF(deals_closed!D:D,Calculations!A136)</f>
        <v>18</v>
      </c>
      <c r="H136" s="2">
        <f>SUMIF(deals_closed!D:D,Calculations!A136,deals_closed!C:C)</f>
        <v>677142</v>
      </c>
      <c r="I136" s="2">
        <f>VLOOKUP(E136,'2018_commission_structure'!$A$11:$I$14,9,FALSE)</f>
        <v>750000</v>
      </c>
      <c r="J136" s="2">
        <f t="shared" si="18"/>
        <v>937500</v>
      </c>
      <c r="K136" s="2">
        <f t="shared" si="19"/>
        <v>1125000</v>
      </c>
      <c r="L136" s="2">
        <f t="shared" si="20"/>
        <v>1500000</v>
      </c>
      <c r="M136" s="6">
        <f t="shared" si="21"/>
        <v>0.90285599999999999</v>
      </c>
      <c r="N136" t="str">
        <f t="shared" si="22"/>
        <v>0-100%</v>
      </c>
      <c r="O136" s="7">
        <f>MIN(I136,H136)*INDEX('2018_commission_structure'!$A$11:$I$14,MATCH(Calculations!$E136,'2018_commission_structure'!$A$11:$A$14,0),MATCH(Calculations!O$1,'2018_commission_structure'!$A$11:$I$11,0))</f>
        <v>101571.3</v>
      </c>
      <c r="P136" s="7">
        <f>IF($H136&gt;I136,MIN($H136-I136,J136-I136)*INDEX('2018_commission_structure'!$A$11:$I$14,MATCH(Calculations!$E136,'2018_commission_structure'!$A$11:$A$14,0), MATCH(Calculations!P$1,'2018_commission_structure'!$A$11:$I$11,0)),0)</f>
        <v>0</v>
      </c>
      <c r="Q136" s="7">
        <f>IF($H136&gt;J136,MIN($H136-J136,K136-J136)*INDEX('2018_commission_structure'!$A$11:$I$14,MATCH(Calculations!$E136,'2018_commission_structure'!$A$11:$A$14,0), MATCH(Calculations!Q$1,'2018_commission_structure'!$A$11:$I$11,0)),0)</f>
        <v>0</v>
      </c>
      <c r="R136" s="7">
        <f>IF($H136&gt;K136,MIN($H136-K136,L136-K136)*INDEX('2018_commission_structure'!$A$11:$I$14,MATCH(Calculations!$E136,'2018_commission_structure'!$A$11:$A$14,0), MATCH(Calculations!R$1,'2018_commission_structure'!$A$11:$I$11,0)),0)</f>
        <v>0</v>
      </c>
      <c r="S136" s="7">
        <f>IF(H136&gt;L136,(H136-L136)*INDEX('2018_commission_structure'!$A$11:$I$14,MATCH(Calculations!$E136,'2018_commission_structure'!$A$11:$A$14,0),MATCH(Calculations!S$1,'2018_commission_structure'!$A$11:$I$11,0)),0)</f>
        <v>0</v>
      </c>
      <c r="T136" s="7">
        <f t="shared" si="23"/>
        <v>101571.3</v>
      </c>
      <c r="U136" s="7">
        <f t="shared" si="24"/>
        <v>186182.3</v>
      </c>
      <c r="V136" s="7">
        <f>MIN(H136,I136)*INDEX('2018_commission_structure'!$A$5:$J$8,MATCH(Calculations!$E136,'2018_commission_structure'!$A$5:$A$8,0),MATCH(Calculations!V$1,'2018_commission_structure'!$A$5:$J$5,0))</f>
        <v>101571.3</v>
      </c>
      <c r="W136" s="2">
        <f>IF($H136&gt;I136,MIN($H136-I136,J136-I136)*INDEX('2018_commission_structure'!$A$5:$J$8,MATCH(Calculations!$E136,'2018_commission_structure'!$A$5:$A$8,0),MATCH(Calculations!W$1,'2018_commission_structure'!$A$5:$J$5,0)),0)</f>
        <v>0</v>
      </c>
      <c r="X136" s="2">
        <f>IF($H136&gt;J136,MIN($H136-J136,K136-J136)*INDEX('2018_commission_structure'!$A$5:$J$8,MATCH(Calculations!$E136,'2018_commission_structure'!$A$5:$A$8,0),MATCH(Calculations!X$1,'2018_commission_structure'!$A$5:$J$5,0)),0)</f>
        <v>0</v>
      </c>
      <c r="Y136" s="2">
        <f>IF($H136&gt;K136,MIN($H136-K136,L136-K136)*INDEX('2018_commission_structure'!$A$5:$J$8,MATCH(Calculations!$E136,'2018_commission_structure'!$A$5:$A$8,0),MATCH(Calculations!Y$1,'2018_commission_structure'!$A$5:$J$5,0)),0)</f>
        <v>0</v>
      </c>
      <c r="Z136" s="2">
        <f xml:space="preserve"> IF(H136&gt;L136,(H136-L136)*INDEX('2018_commission_structure'!$A$11:$I$14,MATCH(Calculations!$E136,'2018_commission_structure'!$A$11:$A$14,0),MATCH(Calculations!Z$1,'2018_commission_structure'!$A$11:$I$11,0)),0)</f>
        <v>0</v>
      </c>
      <c r="AA136" s="7">
        <f t="shared" si="25"/>
        <v>101571.3</v>
      </c>
      <c r="AB136" s="7">
        <f t="shared" si="26"/>
        <v>186182.3</v>
      </c>
    </row>
    <row r="137" spans="1:28" x14ac:dyDescent="0.25">
      <c r="A137">
        <v>2702941109</v>
      </c>
      <c r="B137" t="s">
        <v>359</v>
      </c>
      <c r="C137" t="s">
        <v>360</v>
      </c>
      <c r="D137" t="str">
        <f>B137&amp;" "&amp;C137</f>
        <v>Inger Chatenet</v>
      </c>
      <c r="E137" t="s">
        <v>10</v>
      </c>
      <c r="F137">
        <v>89034</v>
      </c>
      <c r="G137">
        <f>COUNTIF(deals_closed!D:D,Calculations!A137)</f>
        <v>25</v>
      </c>
      <c r="H137" s="2">
        <f>SUMIF(deals_closed!D:D,Calculations!A137,deals_closed!C:C)</f>
        <v>851032</v>
      </c>
      <c r="I137" s="2">
        <f>VLOOKUP(E137,'2018_commission_structure'!$A$11:$I$14,9,FALSE)</f>
        <v>750000</v>
      </c>
      <c r="J137" s="2">
        <f t="shared" si="18"/>
        <v>937500</v>
      </c>
      <c r="K137" s="2">
        <f t="shared" si="19"/>
        <v>1125000</v>
      </c>
      <c r="L137" s="2">
        <f t="shared" si="20"/>
        <v>1500000</v>
      </c>
      <c r="M137" s="6">
        <f t="shared" si="21"/>
        <v>1.1347093333333333</v>
      </c>
      <c r="N137" t="str">
        <f t="shared" si="22"/>
        <v>100-125%</v>
      </c>
      <c r="O137" s="7">
        <f>MIN(I137,H137)*INDEX('2018_commission_structure'!$A$11:$I$14,MATCH(Calculations!$E137,'2018_commission_structure'!$A$11:$A$14,0),MATCH(Calculations!O$1,'2018_commission_structure'!$A$11:$I$11,0))</f>
        <v>112500</v>
      </c>
      <c r="P137" s="7">
        <f>IF($H137&gt;I137,MIN($H137-I137,J137-I137)*INDEX('2018_commission_structure'!$A$11:$I$14,MATCH(Calculations!$E137,'2018_commission_structure'!$A$11:$A$14,0), MATCH(Calculations!P$1,'2018_commission_structure'!$A$11:$I$11,0)),0)</f>
        <v>19196.080000000002</v>
      </c>
      <c r="Q137" s="7">
        <f>IF($H137&gt;J137,MIN($H137-J137,K137-J137)*INDEX('2018_commission_structure'!$A$11:$I$14,MATCH(Calculations!$E137,'2018_commission_structure'!$A$11:$A$14,0), MATCH(Calculations!Q$1,'2018_commission_structure'!$A$11:$I$11,0)),0)</f>
        <v>0</v>
      </c>
      <c r="R137" s="7">
        <f>IF($H137&gt;K137,MIN($H137-K137,L137-K137)*INDEX('2018_commission_structure'!$A$11:$I$14,MATCH(Calculations!$E137,'2018_commission_structure'!$A$11:$A$14,0), MATCH(Calculations!R$1,'2018_commission_structure'!$A$11:$I$11,0)),0)</f>
        <v>0</v>
      </c>
      <c r="S137" s="7">
        <f>IF(H137&gt;L137,(H137-L137)*INDEX('2018_commission_structure'!$A$11:$I$14,MATCH(Calculations!$E137,'2018_commission_structure'!$A$11:$A$14,0),MATCH(Calculations!S$1,'2018_commission_structure'!$A$11:$I$11,0)),0)</f>
        <v>0</v>
      </c>
      <c r="T137" s="7">
        <f t="shared" si="23"/>
        <v>131696.08000000002</v>
      </c>
      <c r="U137" s="7">
        <f t="shared" si="24"/>
        <v>220730.08000000002</v>
      </c>
      <c r="V137" s="7">
        <f>MIN(H137,I137)*INDEX('2018_commission_structure'!$A$5:$J$8,MATCH(Calculations!$E137,'2018_commission_structure'!$A$5:$A$8,0),MATCH(Calculations!V$1,'2018_commission_structure'!$A$5:$J$5,0))</f>
        <v>112500</v>
      </c>
      <c r="W137" s="2">
        <f>IF($H137&gt;I137,MIN($H137-I137,J137-I137)*INDEX('2018_commission_structure'!$A$5:$J$8,MATCH(Calculations!$E137,'2018_commission_structure'!$A$5:$A$8,0),MATCH(Calculations!W$1,'2018_commission_structure'!$A$5:$J$5,0)),0)</f>
        <v>22227.040000000001</v>
      </c>
      <c r="X137" s="2">
        <f>IF($H137&gt;J137,MIN($H137-J137,K137-J137)*INDEX('2018_commission_structure'!$A$5:$J$8,MATCH(Calculations!$E137,'2018_commission_structure'!$A$5:$A$8,0),MATCH(Calculations!X$1,'2018_commission_structure'!$A$5:$J$5,0)),0)</f>
        <v>0</v>
      </c>
      <c r="Y137" s="2">
        <f>IF($H137&gt;K137,MIN($H137-K137,L137-K137)*INDEX('2018_commission_structure'!$A$5:$J$8,MATCH(Calculations!$E137,'2018_commission_structure'!$A$5:$A$8,0),MATCH(Calculations!Y$1,'2018_commission_structure'!$A$5:$J$5,0)),0)</f>
        <v>0</v>
      </c>
      <c r="Z137" s="2">
        <f xml:space="preserve"> IF(H137&gt;L137,(H137-L137)*INDEX('2018_commission_structure'!$A$11:$I$14,MATCH(Calculations!$E137,'2018_commission_structure'!$A$11:$A$14,0),MATCH(Calculations!Z$1,'2018_commission_structure'!$A$11:$I$11,0)),0)</f>
        <v>0</v>
      </c>
      <c r="AA137" s="7">
        <f t="shared" si="25"/>
        <v>134727.04000000001</v>
      </c>
      <c r="AB137" s="7">
        <f t="shared" si="26"/>
        <v>223761.04</v>
      </c>
    </row>
    <row r="138" spans="1:28" x14ac:dyDescent="0.25">
      <c r="A138">
        <v>4039266773</v>
      </c>
      <c r="B138" t="s">
        <v>343</v>
      </c>
      <c r="C138" t="s">
        <v>344</v>
      </c>
      <c r="D138" t="str">
        <f>B138&amp;" "&amp;C138</f>
        <v>Keven Chatters</v>
      </c>
      <c r="E138" t="s">
        <v>29</v>
      </c>
      <c r="F138">
        <v>70198</v>
      </c>
      <c r="G138">
        <f>COUNTIF(deals_closed!D:D,Calculations!A138)</f>
        <v>18</v>
      </c>
      <c r="H138" s="2">
        <f>SUMIF(deals_closed!D:D,Calculations!A138,deals_closed!C:C)</f>
        <v>554263</v>
      </c>
      <c r="I138" s="2">
        <f>VLOOKUP(E138,'2018_commission_structure'!$A$11:$I$14,9,FALSE)</f>
        <v>600000</v>
      </c>
      <c r="J138" s="2">
        <f t="shared" si="18"/>
        <v>750000</v>
      </c>
      <c r="K138" s="2">
        <f t="shared" si="19"/>
        <v>900000</v>
      </c>
      <c r="L138" s="2">
        <f t="shared" si="20"/>
        <v>1200000</v>
      </c>
      <c r="M138" s="6">
        <f t="shared" si="21"/>
        <v>0.92377166666666666</v>
      </c>
      <c r="N138" t="str">
        <f t="shared" si="22"/>
        <v>0-100%</v>
      </c>
      <c r="O138" s="7">
        <f>MIN(I138,H138)*INDEX('2018_commission_structure'!$A$11:$I$14,MATCH(Calculations!$E138,'2018_commission_structure'!$A$11:$A$14,0),MATCH(Calculations!O$1,'2018_commission_structure'!$A$11:$I$11,0))</f>
        <v>72054.19</v>
      </c>
      <c r="P138" s="7">
        <f>IF($H138&gt;I138,MIN($H138-I138,J138-I138)*INDEX('2018_commission_structure'!$A$11:$I$14,MATCH(Calculations!$E138,'2018_commission_structure'!$A$11:$A$14,0), MATCH(Calculations!P$1,'2018_commission_structure'!$A$11:$I$11,0)),0)</f>
        <v>0</v>
      </c>
      <c r="Q138" s="7">
        <f>IF($H138&gt;J138,MIN($H138-J138,K138-J138)*INDEX('2018_commission_structure'!$A$11:$I$14,MATCH(Calculations!$E138,'2018_commission_structure'!$A$11:$A$14,0), MATCH(Calculations!Q$1,'2018_commission_structure'!$A$11:$I$11,0)),0)</f>
        <v>0</v>
      </c>
      <c r="R138" s="7">
        <f>IF($H138&gt;K138,MIN($H138-K138,L138-K138)*INDEX('2018_commission_structure'!$A$11:$I$14,MATCH(Calculations!$E138,'2018_commission_structure'!$A$11:$A$14,0), MATCH(Calculations!R$1,'2018_commission_structure'!$A$11:$I$11,0)),0)</f>
        <v>0</v>
      </c>
      <c r="S138" s="7">
        <f>IF(H138&gt;L138,(H138-L138)*INDEX('2018_commission_structure'!$A$11:$I$14,MATCH(Calculations!$E138,'2018_commission_structure'!$A$11:$A$14,0),MATCH(Calculations!S$1,'2018_commission_structure'!$A$11:$I$11,0)),0)</f>
        <v>0</v>
      </c>
      <c r="T138" s="7">
        <f t="shared" si="23"/>
        <v>72054.19</v>
      </c>
      <c r="U138" s="7">
        <f t="shared" si="24"/>
        <v>142252.19</v>
      </c>
      <c r="V138" s="7">
        <f>MIN(H138,I138)*INDEX('2018_commission_structure'!$A$5:$J$8,MATCH(Calculations!$E138,'2018_commission_structure'!$A$5:$A$8,0),MATCH(Calculations!V$1,'2018_commission_structure'!$A$5:$J$5,0))</f>
        <v>83139.45</v>
      </c>
      <c r="W138" s="2">
        <f>IF($H138&gt;I138,MIN($H138-I138,J138-I138)*INDEX('2018_commission_structure'!$A$5:$J$8,MATCH(Calculations!$E138,'2018_commission_structure'!$A$5:$A$8,0),MATCH(Calculations!W$1,'2018_commission_structure'!$A$5:$J$5,0)),0)</f>
        <v>0</v>
      </c>
      <c r="X138" s="2">
        <f>IF($H138&gt;J138,MIN($H138-J138,K138-J138)*INDEX('2018_commission_structure'!$A$5:$J$8,MATCH(Calculations!$E138,'2018_commission_structure'!$A$5:$A$8,0),MATCH(Calculations!X$1,'2018_commission_structure'!$A$5:$J$5,0)),0)</f>
        <v>0</v>
      </c>
      <c r="Y138" s="2">
        <f>IF($H138&gt;K138,MIN($H138-K138,L138-K138)*INDEX('2018_commission_structure'!$A$5:$J$8,MATCH(Calculations!$E138,'2018_commission_structure'!$A$5:$A$8,0),MATCH(Calculations!Y$1,'2018_commission_structure'!$A$5:$J$5,0)),0)</f>
        <v>0</v>
      </c>
      <c r="Z138" s="2">
        <f xml:space="preserve"> IF(H138&gt;L138,(H138-L138)*INDEX('2018_commission_structure'!$A$11:$I$14,MATCH(Calculations!$E138,'2018_commission_structure'!$A$11:$A$14,0),MATCH(Calculations!Z$1,'2018_commission_structure'!$A$11:$I$11,0)),0)</f>
        <v>0</v>
      </c>
      <c r="AA138" s="7">
        <f t="shared" si="25"/>
        <v>83139.45</v>
      </c>
      <c r="AB138" s="7">
        <f t="shared" si="26"/>
        <v>153337.45000000001</v>
      </c>
    </row>
    <row r="139" spans="1:28" x14ac:dyDescent="0.25">
      <c r="A139">
        <v>6007705854</v>
      </c>
      <c r="B139" t="s">
        <v>1327</v>
      </c>
      <c r="C139" t="s">
        <v>1328</v>
      </c>
      <c r="D139" t="str">
        <f>B139&amp;" "&amp;C139</f>
        <v>Donavon Cheer</v>
      </c>
      <c r="E139" t="s">
        <v>10</v>
      </c>
      <c r="F139">
        <v>107921</v>
      </c>
      <c r="G139">
        <f>COUNTIF(deals_closed!D:D,Calculations!A139)</f>
        <v>23</v>
      </c>
      <c r="H139" s="2">
        <f>SUMIF(deals_closed!D:D,Calculations!A139,deals_closed!C:C)</f>
        <v>825058</v>
      </c>
      <c r="I139" s="2">
        <f>VLOOKUP(E139,'2018_commission_structure'!$A$11:$I$14,9,FALSE)</f>
        <v>750000</v>
      </c>
      <c r="J139" s="2">
        <f t="shared" si="18"/>
        <v>937500</v>
      </c>
      <c r="K139" s="2">
        <f t="shared" si="19"/>
        <v>1125000</v>
      </c>
      <c r="L139" s="2">
        <f t="shared" si="20"/>
        <v>1500000</v>
      </c>
      <c r="M139" s="6">
        <f t="shared" si="21"/>
        <v>1.1000773333333334</v>
      </c>
      <c r="N139" t="str">
        <f t="shared" si="22"/>
        <v>100-125%</v>
      </c>
      <c r="O139" s="7">
        <f>MIN(I139,H139)*INDEX('2018_commission_structure'!$A$11:$I$14,MATCH(Calculations!$E139,'2018_commission_structure'!$A$11:$A$14,0),MATCH(Calculations!O$1,'2018_commission_structure'!$A$11:$I$11,0))</f>
        <v>112500</v>
      </c>
      <c r="P139" s="7">
        <f>IF($H139&gt;I139,MIN($H139-I139,J139-I139)*INDEX('2018_commission_structure'!$A$11:$I$14,MATCH(Calculations!$E139,'2018_commission_structure'!$A$11:$A$14,0), MATCH(Calculations!P$1,'2018_commission_structure'!$A$11:$I$11,0)),0)</f>
        <v>14261.02</v>
      </c>
      <c r="Q139" s="7">
        <f>IF($H139&gt;J139,MIN($H139-J139,K139-J139)*INDEX('2018_commission_structure'!$A$11:$I$14,MATCH(Calculations!$E139,'2018_commission_structure'!$A$11:$A$14,0), MATCH(Calculations!Q$1,'2018_commission_structure'!$A$11:$I$11,0)),0)</f>
        <v>0</v>
      </c>
      <c r="R139" s="7">
        <f>IF($H139&gt;K139,MIN($H139-K139,L139-K139)*INDEX('2018_commission_structure'!$A$11:$I$14,MATCH(Calculations!$E139,'2018_commission_structure'!$A$11:$A$14,0), MATCH(Calculations!R$1,'2018_commission_structure'!$A$11:$I$11,0)),0)</f>
        <v>0</v>
      </c>
      <c r="S139" s="7">
        <f>IF(H139&gt;L139,(H139-L139)*INDEX('2018_commission_structure'!$A$11:$I$14,MATCH(Calculations!$E139,'2018_commission_structure'!$A$11:$A$14,0),MATCH(Calculations!S$1,'2018_commission_structure'!$A$11:$I$11,0)),0)</f>
        <v>0</v>
      </c>
      <c r="T139" s="7">
        <f t="shared" si="23"/>
        <v>126761.02</v>
      </c>
      <c r="U139" s="7">
        <f t="shared" si="24"/>
        <v>234682.02000000002</v>
      </c>
      <c r="V139" s="7">
        <f>MIN(H139,I139)*INDEX('2018_commission_structure'!$A$5:$J$8,MATCH(Calculations!$E139,'2018_commission_structure'!$A$5:$A$8,0),MATCH(Calculations!V$1,'2018_commission_structure'!$A$5:$J$5,0))</f>
        <v>112500</v>
      </c>
      <c r="W139" s="2">
        <f>IF($H139&gt;I139,MIN($H139-I139,J139-I139)*INDEX('2018_commission_structure'!$A$5:$J$8,MATCH(Calculations!$E139,'2018_commission_structure'!$A$5:$A$8,0),MATCH(Calculations!W$1,'2018_commission_structure'!$A$5:$J$5,0)),0)</f>
        <v>16512.759999999998</v>
      </c>
      <c r="X139" s="2">
        <f>IF($H139&gt;J139,MIN($H139-J139,K139-J139)*INDEX('2018_commission_structure'!$A$5:$J$8,MATCH(Calculations!$E139,'2018_commission_structure'!$A$5:$A$8,0),MATCH(Calculations!X$1,'2018_commission_structure'!$A$5:$J$5,0)),0)</f>
        <v>0</v>
      </c>
      <c r="Y139" s="2">
        <f>IF($H139&gt;K139,MIN($H139-K139,L139-K139)*INDEX('2018_commission_structure'!$A$5:$J$8,MATCH(Calculations!$E139,'2018_commission_structure'!$A$5:$A$8,0),MATCH(Calculations!Y$1,'2018_commission_structure'!$A$5:$J$5,0)),0)</f>
        <v>0</v>
      </c>
      <c r="Z139" s="2">
        <f xml:space="preserve"> IF(H139&gt;L139,(H139-L139)*INDEX('2018_commission_structure'!$A$11:$I$14,MATCH(Calculations!$E139,'2018_commission_structure'!$A$11:$A$14,0),MATCH(Calculations!Z$1,'2018_commission_structure'!$A$11:$I$11,0)),0)</f>
        <v>0</v>
      </c>
      <c r="AA139" s="7">
        <f t="shared" si="25"/>
        <v>129012.76</v>
      </c>
      <c r="AB139" s="7">
        <f t="shared" si="26"/>
        <v>236933.76000000001</v>
      </c>
    </row>
    <row r="140" spans="1:28" x14ac:dyDescent="0.25">
      <c r="A140">
        <v>9412192312</v>
      </c>
      <c r="B140" t="s">
        <v>369</v>
      </c>
      <c r="C140" t="s">
        <v>370</v>
      </c>
      <c r="D140" t="str">
        <f>B140&amp;" "&amp;C140</f>
        <v>Mattias Cheers</v>
      </c>
      <c r="E140" t="s">
        <v>7</v>
      </c>
      <c r="F140">
        <v>44442</v>
      </c>
      <c r="G140">
        <f>COUNTIF(deals_closed!D:D,Calculations!A140)</f>
        <v>26</v>
      </c>
      <c r="H140" s="2">
        <f>SUMIF(deals_closed!D:D,Calculations!A140,deals_closed!C:C)</f>
        <v>1100641</v>
      </c>
      <c r="I140" s="2">
        <f>VLOOKUP(E140,'2018_commission_structure'!$A$11:$I$14,9,FALSE)</f>
        <v>500000</v>
      </c>
      <c r="J140" s="2">
        <f t="shared" si="18"/>
        <v>625000</v>
      </c>
      <c r="K140" s="2">
        <f t="shared" si="19"/>
        <v>750000</v>
      </c>
      <c r="L140" s="2">
        <f t="shared" si="20"/>
        <v>1000000</v>
      </c>
      <c r="M140" s="6">
        <f t="shared" si="21"/>
        <v>2.201282</v>
      </c>
      <c r="N140" t="str">
        <f t="shared" si="22"/>
        <v>&gt;200%</v>
      </c>
      <c r="O140" s="7">
        <f>MIN(I140,H140)*INDEX('2018_commission_structure'!$A$11:$I$14,MATCH(Calculations!$E140,'2018_commission_structure'!$A$11:$A$14,0),MATCH(Calculations!O$1,'2018_commission_structure'!$A$11:$I$11,0))</f>
        <v>50000</v>
      </c>
      <c r="P140" s="7">
        <f>IF($H140&gt;I140,MIN($H140-I140,J140-I140)*INDEX('2018_commission_structure'!$A$11:$I$14,MATCH(Calculations!$E140,'2018_commission_structure'!$A$11:$A$14,0), MATCH(Calculations!P$1,'2018_commission_structure'!$A$11:$I$11,0)),0)</f>
        <v>18750</v>
      </c>
      <c r="Q140" s="7">
        <f>IF($H140&gt;J140,MIN($H140-J140,K140-J140)*INDEX('2018_commission_structure'!$A$11:$I$14,MATCH(Calculations!$E140,'2018_commission_structure'!$A$11:$A$14,0), MATCH(Calculations!Q$1,'2018_commission_structure'!$A$11:$I$11,0)),0)</f>
        <v>22500</v>
      </c>
      <c r="R140" s="7">
        <f>IF($H140&gt;K140,MIN($H140-K140,L140-K140)*INDEX('2018_commission_structure'!$A$11:$I$14,MATCH(Calculations!$E140,'2018_commission_structure'!$A$11:$A$14,0), MATCH(Calculations!R$1,'2018_commission_structure'!$A$11:$I$11,0)),0)</f>
        <v>55000</v>
      </c>
      <c r="S140" s="7">
        <f>IF(H140&gt;L140,(H140-L140)*INDEX('2018_commission_structure'!$A$11:$I$14,MATCH(Calculations!$E140,'2018_commission_structure'!$A$11:$A$14,0),MATCH(Calculations!S$1,'2018_commission_structure'!$A$11:$I$11,0)),0)</f>
        <v>10064.1</v>
      </c>
      <c r="T140" s="7">
        <f t="shared" si="23"/>
        <v>156314.1</v>
      </c>
      <c r="U140" s="7">
        <f t="shared" si="24"/>
        <v>200756.1</v>
      </c>
      <c r="V140" s="7">
        <f>MIN(H140,I140)*INDEX('2018_commission_structure'!$A$5:$J$8,MATCH(Calculations!$E140,'2018_commission_structure'!$A$5:$A$8,0),MATCH(Calculations!V$1,'2018_commission_structure'!$A$5:$J$5,0))</f>
        <v>60000</v>
      </c>
      <c r="W140" s="2">
        <f>IF($H140&gt;I140,MIN($H140-I140,J140-I140)*INDEX('2018_commission_structure'!$A$5:$J$8,MATCH(Calculations!$E140,'2018_commission_structure'!$A$5:$A$8,0),MATCH(Calculations!W$1,'2018_commission_structure'!$A$5:$J$5,0)),0)</f>
        <v>21250</v>
      </c>
      <c r="X140" s="2">
        <f>IF($H140&gt;J140,MIN($H140-J140,K140-J140)*INDEX('2018_commission_structure'!$A$5:$J$8,MATCH(Calculations!$E140,'2018_commission_structure'!$A$5:$A$8,0),MATCH(Calculations!X$1,'2018_commission_structure'!$A$5:$J$5,0)),0)</f>
        <v>25000</v>
      </c>
      <c r="Y140" s="2">
        <f>IF($H140&gt;K140,MIN($H140-K140,L140-K140)*INDEX('2018_commission_structure'!$A$5:$J$8,MATCH(Calculations!$E140,'2018_commission_structure'!$A$5:$A$8,0),MATCH(Calculations!Y$1,'2018_commission_structure'!$A$5:$J$5,0)),0)</f>
        <v>55000</v>
      </c>
      <c r="Z140" s="2">
        <f xml:space="preserve"> IF(H140&gt;L140,(H140-L140)*INDEX('2018_commission_structure'!$A$11:$I$14,MATCH(Calculations!$E140,'2018_commission_structure'!$A$11:$A$14,0),MATCH(Calculations!Z$1,'2018_commission_structure'!$A$11:$I$11,0)),0)</f>
        <v>10064.1</v>
      </c>
      <c r="AA140" s="7">
        <f t="shared" si="25"/>
        <v>171314.1</v>
      </c>
      <c r="AB140" s="7">
        <f t="shared" si="26"/>
        <v>215756.1</v>
      </c>
    </row>
    <row r="141" spans="1:28" x14ac:dyDescent="0.25">
      <c r="A141">
        <v>9267164694</v>
      </c>
      <c r="B141" t="s">
        <v>379</v>
      </c>
      <c r="C141" t="s">
        <v>380</v>
      </c>
      <c r="D141" t="str">
        <f>B141&amp;" "&amp;C141</f>
        <v>Vanni Cheston</v>
      </c>
      <c r="E141" t="s">
        <v>7</v>
      </c>
      <c r="F141">
        <v>58087</v>
      </c>
      <c r="G141">
        <f>COUNTIF(deals_closed!D:D,Calculations!A141)</f>
        <v>23</v>
      </c>
      <c r="H141" s="2">
        <f>SUMIF(deals_closed!D:D,Calculations!A141,deals_closed!C:C)</f>
        <v>795625</v>
      </c>
      <c r="I141" s="2">
        <f>VLOOKUP(E141,'2018_commission_structure'!$A$11:$I$14,9,FALSE)</f>
        <v>500000</v>
      </c>
      <c r="J141" s="2">
        <f t="shared" si="18"/>
        <v>625000</v>
      </c>
      <c r="K141" s="2">
        <f t="shared" si="19"/>
        <v>750000</v>
      </c>
      <c r="L141" s="2">
        <f t="shared" si="20"/>
        <v>1000000</v>
      </c>
      <c r="M141" s="6">
        <f t="shared" si="21"/>
        <v>1.5912500000000001</v>
      </c>
      <c r="N141" t="str">
        <f t="shared" si="22"/>
        <v>150-200%</v>
      </c>
      <c r="O141" s="7">
        <f>MIN(I141,H141)*INDEX('2018_commission_structure'!$A$11:$I$14,MATCH(Calculations!$E141,'2018_commission_structure'!$A$11:$A$14,0),MATCH(Calculations!O$1,'2018_commission_structure'!$A$11:$I$11,0))</f>
        <v>50000</v>
      </c>
      <c r="P141" s="7">
        <f>IF($H141&gt;I141,MIN($H141-I141,J141-I141)*INDEX('2018_commission_structure'!$A$11:$I$14,MATCH(Calculations!$E141,'2018_commission_structure'!$A$11:$A$14,0), MATCH(Calculations!P$1,'2018_commission_structure'!$A$11:$I$11,0)),0)</f>
        <v>18750</v>
      </c>
      <c r="Q141" s="7">
        <f>IF($H141&gt;J141,MIN($H141-J141,K141-J141)*INDEX('2018_commission_structure'!$A$11:$I$14,MATCH(Calculations!$E141,'2018_commission_structure'!$A$11:$A$14,0), MATCH(Calculations!Q$1,'2018_commission_structure'!$A$11:$I$11,0)),0)</f>
        <v>22500</v>
      </c>
      <c r="R141" s="7">
        <f>IF($H141&gt;K141,MIN($H141-K141,L141-K141)*INDEX('2018_commission_structure'!$A$11:$I$14,MATCH(Calculations!$E141,'2018_commission_structure'!$A$11:$A$14,0), MATCH(Calculations!R$1,'2018_commission_structure'!$A$11:$I$11,0)),0)</f>
        <v>10037.5</v>
      </c>
      <c r="S141" s="7">
        <f>IF(H141&gt;L141,(H141-L141)*INDEX('2018_commission_structure'!$A$11:$I$14,MATCH(Calculations!$E141,'2018_commission_structure'!$A$11:$A$14,0),MATCH(Calculations!S$1,'2018_commission_structure'!$A$11:$I$11,0)),0)</f>
        <v>0</v>
      </c>
      <c r="T141" s="7">
        <f t="shared" si="23"/>
        <v>101287.5</v>
      </c>
      <c r="U141" s="7">
        <f t="shared" si="24"/>
        <v>159374.5</v>
      </c>
      <c r="V141" s="7">
        <f>MIN(H141,I141)*INDEX('2018_commission_structure'!$A$5:$J$8,MATCH(Calculations!$E141,'2018_commission_structure'!$A$5:$A$8,0),MATCH(Calculations!V$1,'2018_commission_structure'!$A$5:$J$5,0))</f>
        <v>60000</v>
      </c>
      <c r="W141" s="2">
        <f>IF($H141&gt;I141,MIN($H141-I141,J141-I141)*INDEX('2018_commission_structure'!$A$5:$J$8,MATCH(Calculations!$E141,'2018_commission_structure'!$A$5:$A$8,0),MATCH(Calculations!W$1,'2018_commission_structure'!$A$5:$J$5,0)),0)</f>
        <v>21250</v>
      </c>
      <c r="X141" s="2">
        <f>IF($H141&gt;J141,MIN($H141-J141,K141-J141)*INDEX('2018_commission_structure'!$A$5:$J$8,MATCH(Calculations!$E141,'2018_commission_structure'!$A$5:$A$8,0),MATCH(Calculations!X$1,'2018_commission_structure'!$A$5:$J$5,0)),0)</f>
        <v>25000</v>
      </c>
      <c r="Y141" s="2">
        <f>IF($H141&gt;K141,MIN($H141-K141,L141-K141)*INDEX('2018_commission_structure'!$A$5:$J$8,MATCH(Calculations!$E141,'2018_commission_structure'!$A$5:$A$8,0),MATCH(Calculations!Y$1,'2018_commission_structure'!$A$5:$J$5,0)),0)</f>
        <v>10037.5</v>
      </c>
      <c r="Z141" s="2">
        <f xml:space="preserve"> IF(H141&gt;L141,(H141-L141)*INDEX('2018_commission_structure'!$A$11:$I$14,MATCH(Calculations!$E141,'2018_commission_structure'!$A$11:$A$14,0),MATCH(Calculations!Z$1,'2018_commission_structure'!$A$11:$I$11,0)),0)</f>
        <v>0</v>
      </c>
      <c r="AA141" s="7">
        <f t="shared" si="25"/>
        <v>116287.5</v>
      </c>
      <c r="AB141" s="7">
        <f t="shared" si="26"/>
        <v>174374.5</v>
      </c>
    </row>
    <row r="142" spans="1:28" x14ac:dyDescent="0.25">
      <c r="A142">
        <v>6520635286</v>
      </c>
      <c r="B142" t="s">
        <v>1302</v>
      </c>
      <c r="C142" t="s">
        <v>1303</v>
      </c>
      <c r="D142" t="str">
        <f>B142&amp;" "&amp;C142</f>
        <v>Zane Cheverton</v>
      </c>
      <c r="E142" t="s">
        <v>10</v>
      </c>
      <c r="F142">
        <v>113407</v>
      </c>
      <c r="G142">
        <f>COUNTIF(deals_closed!D:D,Calculations!A142)</f>
        <v>14</v>
      </c>
      <c r="H142" s="2">
        <f>SUMIF(deals_closed!D:D,Calculations!A142,deals_closed!C:C)</f>
        <v>471697</v>
      </c>
      <c r="I142" s="2">
        <f>VLOOKUP(E142,'2018_commission_structure'!$A$11:$I$14,9,FALSE)</f>
        <v>750000</v>
      </c>
      <c r="J142" s="2">
        <f t="shared" si="18"/>
        <v>937500</v>
      </c>
      <c r="K142" s="2">
        <f t="shared" si="19"/>
        <v>1125000</v>
      </c>
      <c r="L142" s="2">
        <f t="shared" si="20"/>
        <v>1500000</v>
      </c>
      <c r="M142" s="6">
        <f t="shared" si="21"/>
        <v>0.62892933333333334</v>
      </c>
      <c r="N142" t="str">
        <f t="shared" si="22"/>
        <v>0-100%</v>
      </c>
      <c r="O142" s="7">
        <f>MIN(I142,H142)*INDEX('2018_commission_structure'!$A$11:$I$14,MATCH(Calculations!$E142,'2018_commission_structure'!$A$11:$A$14,0),MATCH(Calculations!O$1,'2018_commission_structure'!$A$11:$I$11,0))</f>
        <v>70754.55</v>
      </c>
      <c r="P142" s="7">
        <f>IF($H142&gt;I142,MIN($H142-I142,J142-I142)*INDEX('2018_commission_structure'!$A$11:$I$14,MATCH(Calculations!$E142,'2018_commission_structure'!$A$11:$A$14,0), MATCH(Calculations!P$1,'2018_commission_structure'!$A$11:$I$11,0)),0)</f>
        <v>0</v>
      </c>
      <c r="Q142" s="7">
        <f>IF($H142&gt;J142,MIN($H142-J142,K142-J142)*INDEX('2018_commission_structure'!$A$11:$I$14,MATCH(Calculations!$E142,'2018_commission_structure'!$A$11:$A$14,0), MATCH(Calculations!Q$1,'2018_commission_structure'!$A$11:$I$11,0)),0)</f>
        <v>0</v>
      </c>
      <c r="R142" s="7">
        <f>IF($H142&gt;K142,MIN($H142-K142,L142-K142)*INDEX('2018_commission_structure'!$A$11:$I$14,MATCH(Calculations!$E142,'2018_commission_structure'!$A$11:$A$14,0), MATCH(Calculations!R$1,'2018_commission_structure'!$A$11:$I$11,0)),0)</f>
        <v>0</v>
      </c>
      <c r="S142" s="7">
        <f>IF(H142&gt;L142,(H142-L142)*INDEX('2018_commission_structure'!$A$11:$I$14,MATCH(Calculations!$E142,'2018_commission_structure'!$A$11:$A$14,0),MATCH(Calculations!S$1,'2018_commission_structure'!$A$11:$I$11,0)),0)</f>
        <v>0</v>
      </c>
      <c r="T142" s="7">
        <f t="shared" si="23"/>
        <v>70754.55</v>
      </c>
      <c r="U142" s="7">
        <f t="shared" si="24"/>
        <v>184161.55</v>
      </c>
      <c r="V142" s="7">
        <f>MIN(H142,I142)*INDEX('2018_commission_structure'!$A$5:$J$8,MATCH(Calculations!$E142,'2018_commission_structure'!$A$5:$A$8,0),MATCH(Calculations!V$1,'2018_commission_structure'!$A$5:$J$5,0))</f>
        <v>70754.55</v>
      </c>
      <c r="W142" s="2">
        <f>IF($H142&gt;I142,MIN($H142-I142,J142-I142)*INDEX('2018_commission_structure'!$A$5:$J$8,MATCH(Calculations!$E142,'2018_commission_structure'!$A$5:$A$8,0),MATCH(Calculations!W$1,'2018_commission_structure'!$A$5:$J$5,0)),0)</f>
        <v>0</v>
      </c>
      <c r="X142" s="2">
        <f>IF($H142&gt;J142,MIN($H142-J142,K142-J142)*INDEX('2018_commission_structure'!$A$5:$J$8,MATCH(Calculations!$E142,'2018_commission_structure'!$A$5:$A$8,0),MATCH(Calculations!X$1,'2018_commission_structure'!$A$5:$J$5,0)),0)</f>
        <v>0</v>
      </c>
      <c r="Y142" s="2">
        <f>IF($H142&gt;K142,MIN($H142-K142,L142-K142)*INDEX('2018_commission_structure'!$A$5:$J$8,MATCH(Calculations!$E142,'2018_commission_structure'!$A$5:$A$8,0),MATCH(Calculations!Y$1,'2018_commission_structure'!$A$5:$J$5,0)),0)</f>
        <v>0</v>
      </c>
      <c r="Z142" s="2">
        <f xml:space="preserve"> IF(H142&gt;L142,(H142-L142)*INDEX('2018_commission_structure'!$A$11:$I$14,MATCH(Calculations!$E142,'2018_commission_structure'!$A$11:$A$14,0),MATCH(Calculations!Z$1,'2018_commission_structure'!$A$11:$I$11,0)),0)</f>
        <v>0</v>
      </c>
      <c r="AA142" s="7">
        <f t="shared" si="25"/>
        <v>70754.55</v>
      </c>
      <c r="AB142" s="7">
        <f t="shared" si="26"/>
        <v>184161.55</v>
      </c>
    </row>
    <row r="143" spans="1:28" x14ac:dyDescent="0.25">
      <c r="A143">
        <v>5075915108</v>
      </c>
      <c r="B143" t="s">
        <v>1591</v>
      </c>
      <c r="C143" t="s">
        <v>1592</v>
      </c>
      <c r="D143" t="str">
        <f>B143&amp;" "&amp;C143</f>
        <v>Veronike Chidwick</v>
      </c>
      <c r="E143" t="s">
        <v>29</v>
      </c>
      <c r="F143">
        <v>76714</v>
      </c>
      <c r="G143">
        <f>COUNTIF(deals_closed!D:D,Calculations!A143)</f>
        <v>17</v>
      </c>
      <c r="H143" s="2">
        <f>SUMIF(deals_closed!D:D,Calculations!A143,deals_closed!C:C)</f>
        <v>614133</v>
      </c>
      <c r="I143" s="2">
        <f>VLOOKUP(E143,'2018_commission_structure'!$A$11:$I$14,9,FALSE)</f>
        <v>600000</v>
      </c>
      <c r="J143" s="2">
        <f t="shared" si="18"/>
        <v>750000</v>
      </c>
      <c r="K143" s="2">
        <f t="shared" si="19"/>
        <v>900000</v>
      </c>
      <c r="L143" s="2">
        <f t="shared" si="20"/>
        <v>1200000</v>
      </c>
      <c r="M143" s="6">
        <f t="shared" si="21"/>
        <v>1.023555</v>
      </c>
      <c r="N143" t="str">
        <f t="shared" si="22"/>
        <v>100-125%</v>
      </c>
      <c r="O143" s="7">
        <f>MIN(I143,H143)*INDEX('2018_commission_structure'!$A$11:$I$14,MATCH(Calculations!$E143,'2018_commission_structure'!$A$11:$A$14,0),MATCH(Calculations!O$1,'2018_commission_structure'!$A$11:$I$11,0))</f>
        <v>78000</v>
      </c>
      <c r="P143" s="7">
        <f>IF($H143&gt;I143,MIN($H143-I143,J143-I143)*INDEX('2018_commission_structure'!$A$11:$I$14,MATCH(Calculations!$E143,'2018_commission_structure'!$A$11:$A$14,0), MATCH(Calculations!P$1,'2018_commission_structure'!$A$11:$I$11,0)),0)</f>
        <v>2402.61</v>
      </c>
      <c r="Q143" s="7">
        <f>IF($H143&gt;J143,MIN($H143-J143,K143-J143)*INDEX('2018_commission_structure'!$A$11:$I$14,MATCH(Calculations!$E143,'2018_commission_structure'!$A$11:$A$14,0), MATCH(Calculations!Q$1,'2018_commission_structure'!$A$11:$I$11,0)),0)</f>
        <v>0</v>
      </c>
      <c r="R143" s="7">
        <f>IF($H143&gt;K143,MIN($H143-K143,L143-K143)*INDEX('2018_commission_structure'!$A$11:$I$14,MATCH(Calculations!$E143,'2018_commission_structure'!$A$11:$A$14,0), MATCH(Calculations!R$1,'2018_commission_structure'!$A$11:$I$11,0)),0)</f>
        <v>0</v>
      </c>
      <c r="S143" s="7">
        <f>IF(H143&gt;L143,(H143-L143)*INDEX('2018_commission_structure'!$A$11:$I$14,MATCH(Calculations!$E143,'2018_commission_structure'!$A$11:$A$14,0),MATCH(Calculations!S$1,'2018_commission_structure'!$A$11:$I$11,0)),0)</f>
        <v>0</v>
      </c>
      <c r="T143" s="7">
        <f t="shared" si="23"/>
        <v>80402.61</v>
      </c>
      <c r="U143" s="7">
        <f t="shared" si="24"/>
        <v>157116.60999999999</v>
      </c>
      <c r="V143" s="7">
        <f>MIN(H143,I143)*INDEX('2018_commission_structure'!$A$5:$J$8,MATCH(Calculations!$E143,'2018_commission_structure'!$A$5:$A$8,0),MATCH(Calculations!V$1,'2018_commission_structure'!$A$5:$J$5,0))</f>
        <v>90000</v>
      </c>
      <c r="W143" s="2">
        <f>IF($H143&gt;I143,MIN($H143-I143,J143-I143)*INDEX('2018_commission_structure'!$A$5:$J$8,MATCH(Calculations!$E143,'2018_commission_structure'!$A$5:$A$8,0),MATCH(Calculations!W$1,'2018_commission_structure'!$A$5:$J$5,0)),0)</f>
        <v>2543.94</v>
      </c>
      <c r="X143" s="2">
        <f>IF($H143&gt;J143,MIN($H143-J143,K143-J143)*INDEX('2018_commission_structure'!$A$5:$J$8,MATCH(Calculations!$E143,'2018_commission_structure'!$A$5:$A$8,0),MATCH(Calculations!X$1,'2018_commission_structure'!$A$5:$J$5,0)),0)</f>
        <v>0</v>
      </c>
      <c r="Y143" s="2">
        <f>IF($H143&gt;K143,MIN($H143-K143,L143-K143)*INDEX('2018_commission_structure'!$A$5:$J$8,MATCH(Calculations!$E143,'2018_commission_structure'!$A$5:$A$8,0),MATCH(Calculations!Y$1,'2018_commission_structure'!$A$5:$J$5,0)),0)</f>
        <v>0</v>
      </c>
      <c r="Z143" s="2">
        <f xml:space="preserve"> IF(H143&gt;L143,(H143-L143)*INDEX('2018_commission_structure'!$A$11:$I$14,MATCH(Calculations!$E143,'2018_commission_structure'!$A$11:$A$14,0),MATCH(Calculations!Z$1,'2018_commission_structure'!$A$11:$I$11,0)),0)</f>
        <v>0</v>
      </c>
      <c r="AA143" s="7">
        <f t="shared" si="25"/>
        <v>92543.94</v>
      </c>
      <c r="AB143" s="7">
        <f t="shared" si="26"/>
        <v>169257.94</v>
      </c>
    </row>
    <row r="144" spans="1:28" x14ac:dyDescent="0.25">
      <c r="A144">
        <v>6283719635</v>
      </c>
      <c r="B144" t="s">
        <v>642</v>
      </c>
      <c r="C144" t="s">
        <v>643</v>
      </c>
      <c r="D144" t="str">
        <f>B144&amp;" "&amp;C144</f>
        <v>Rafe Chorlton</v>
      </c>
      <c r="E144" t="s">
        <v>29</v>
      </c>
      <c r="F144">
        <v>59500</v>
      </c>
      <c r="G144">
        <f>COUNTIF(deals_closed!D:D,Calculations!A144)</f>
        <v>16</v>
      </c>
      <c r="H144" s="2">
        <f>SUMIF(deals_closed!D:D,Calculations!A144,deals_closed!C:C)</f>
        <v>476791</v>
      </c>
      <c r="I144" s="2">
        <f>VLOOKUP(E144,'2018_commission_structure'!$A$11:$I$14,9,FALSE)</f>
        <v>600000</v>
      </c>
      <c r="J144" s="2">
        <f t="shared" si="18"/>
        <v>750000</v>
      </c>
      <c r="K144" s="2">
        <f t="shared" si="19"/>
        <v>900000</v>
      </c>
      <c r="L144" s="2">
        <f t="shared" si="20"/>
        <v>1200000</v>
      </c>
      <c r="M144" s="6">
        <f t="shared" si="21"/>
        <v>0.79465166666666665</v>
      </c>
      <c r="N144" t="str">
        <f t="shared" si="22"/>
        <v>0-100%</v>
      </c>
      <c r="O144" s="7">
        <f>MIN(I144,H144)*INDEX('2018_commission_structure'!$A$11:$I$14,MATCH(Calculations!$E144,'2018_commission_structure'!$A$11:$A$14,0),MATCH(Calculations!O$1,'2018_commission_structure'!$A$11:$I$11,0))</f>
        <v>61982.83</v>
      </c>
      <c r="P144" s="7">
        <f>IF($H144&gt;I144,MIN($H144-I144,J144-I144)*INDEX('2018_commission_structure'!$A$11:$I$14,MATCH(Calculations!$E144,'2018_commission_structure'!$A$11:$A$14,0), MATCH(Calculations!P$1,'2018_commission_structure'!$A$11:$I$11,0)),0)</f>
        <v>0</v>
      </c>
      <c r="Q144" s="7">
        <f>IF($H144&gt;J144,MIN($H144-J144,K144-J144)*INDEX('2018_commission_structure'!$A$11:$I$14,MATCH(Calculations!$E144,'2018_commission_structure'!$A$11:$A$14,0), MATCH(Calculations!Q$1,'2018_commission_structure'!$A$11:$I$11,0)),0)</f>
        <v>0</v>
      </c>
      <c r="R144" s="7">
        <f>IF($H144&gt;K144,MIN($H144-K144,L144-K144)*INDEX('2018_commission_structure'!$A$11:$I$14,MATCH(Calculations!$E144,'2018_commission_structure'!$A$11:$A$14,0), MATCH(Calculations!R$1,'2018_commission_structure'!$A$11:$I$11,0)),0)</f>
        <v>0</v>
      </c>
      <c r="S144" s="7">
        <f>IF(H144&gt;L144,(H144-L144)*INDEX('2018_commission_structure'!$A$11:$I$14,MATCH(Calculations!$E144,'2018_commission_structure'!$A$11:$A$14,0),MATCH(Calculations!S$1,'2018_commission_structure'!$A$11:$I$11,0)),0)</f>
        <v>0</v>
      </c>
      <c r="T144" s="7">
        <f t="shared" si="23"/>
        <v>61982.83</v>
      </c>
      <c r="U144" s="7">
        <f t="shared" si="24"/>
        <v>121482.83</v>
      </c>
      <c r="V144" s="7">
        <f>MIN(H144,I144)*INDEX('2018_commission_structure'!$A$5:$J$8,MATCH(Calculations!$E144,'2018_commission_structure'!$A$5:$A$8,0),MATCH(Calculations!V$1,'2018_commission_structure'!$A$5:$J$5,0))</f>
        <v>71518.649999999994</v>
      </c>
      <c r="W144" s="2">
        <f>IF($H144&gt;I144,MIN($H144-I144,J144-I144)*INDEX('2018_commission_structure'!$A$5:$J$8,MATCH(Calculations!$E144,'2018_commission_structure'!$A$5:$A$8,0),MATCH(Calculations!W$1,'2018_commission_structure'!$A$5:$J$5,0)),0)</f>
        <v>0</v>
      </c>
      <c r="X144" s="2">
        <f>IF($H144&gt;J144,MIN($H144-J144,K144-J144)*INDEX('2018_commission_structure'!$A$5:$J$8,MATCH(Calculations!$E144,'2018_commission_structure'!$A$5:$A$8,0),MATCH(Calculations!X$1,'2018_commission_structure'!$A$5:$J$5,0)),0)</f>
        <v>0</v>
      </c>
      <c r="Y144" s="2">
        <f>IF($H144&gt;K144,MIN($H144-K144,L144-K144)*INDEX('2018_commission_structure'!$A$5:$J$8,MATCH(Calculations!$E144,'2018_commission_structure'!$A$5:$A$8,0),MATCH(Calculations!Y$1,'2018_commission_structure'!$A$5:$J$5,0)),0)</f>
        <v>0</v>
      </c>
      <c r="Z144" s="2">
        <f xml:space="preserve"> IF(H144&gt;L144,(H144-L144)*INDEX('2018_commission_structure'!$A$11:$I$14,MATCH(Calculations!$E144,'2018_commission_structure'!$A$11:$A$14,0),MATCH(Calculations!Z$1,'2018_commission_structure'!$A$11:$I$11,0)),0)</f>
        <v>0</v>
      </c>
      <c r="AA144" s="7">
        <f t="shared" si="25"/>
        <v>71518.649999999994</v>
      </c>
      <c r="AB144" s="7">
        <f t="shared" si="26"/>
        <v>131018.65</v>
      </c>
    </row>
    <row r="145" spans="1:28" x14ac:dyDescent="0.25">
      <c r="A145">
        <v>4876404933</v>
      </c>
      <c r="B145" t="s">
        <v>1431</v>
      </c>
      <c r="C145" t="s">
        <v>1432</v>
      </c>
      <c r="D145" t="str">
        <f>B145&amp;" "&amp;C145</f>
        <v>Megan Churchard</v>
      </c>
      <c r="E145" t="s">
        <v>29</v>
      </c>
      <c r="F145">
        <v>79018</v>
      </c>
      <c r="G145">
        <f>COUNTIF(deals_closed!D:D,Calculations!A145)</f>
        <v>22</v>
      </c>
      <c r="H145" s="2">
        <f>SUMIF(deals_closed!D:D,Calculations!A145,deals_closed!C:C)</f>
        <v>737282</v>
      </c>
      <c r="I145" s="2">
        <f>VLOOKUP(E145,'2018_commission_structure'!$A$11:$I$14,9,FALSE)</f>
        <v>600000</v>
      </c>
      <c r="J145" s="2">
        <f t="shared" si="18"/>
        <v>750000</v>
      </c>
      <c r="K145" s="2">
        <f t="shared" si="19"/>
        <v>900000</v>
      </c>
      <c r="L145" s="2">
        <f t="shared" si="20"/>
        <v>1200000</v>
      </c>
      <c r="M145" s="6">
        <f t="shared" si="21"/>
        <v>1.2288033333333332</v>
      </c>
      <c r="N145" t="str">
        <f t="shared" si="22"/>
        <v>100-125%</v>
      </c>
      <c r="O145" s="7">
        <f>MIN(I145,H145)*INDEX('2018_commission_structure'!$A$11:$I$14,MATCH(Calculations!$E145,'2018_commission_structure'!$A$11:$A$14,0),MATCH(Calculations!O$1,'2018_commission_structure'!$A$11:$I$11,0))</f>
        <v>78000</v>
      </c>
      <c r="P145" s="7">
        <f>IF($H145&gt;I145,MIN($H145-I145,J145-I145)*INDEX('2018_commission_structure'!$A$11:$I$14,MATCH(Calculations!$E145,'2018_commission_structure'!$A$11:$A$14,0), MATCH(Calculations!P$1,'2018_commission_structure'!$A$11:$I$11,0)),0)</f>
        <v>23337.940000000002</v>
      </c>
      <c r="Q145" s="7">
        <f>IF($H145&gt;J145,MIN($H145-J145,K145-J145)*INDEX('2018_commission_structure'!$A$11:$I$14,MATCH(Calculations!$E145,'2018_commission_structure'!$A$11:$A$14,0), MATCH(Calculations!Q$1,'2018_commission_structure'!$A$11:$I$11,0)),0)</f>
        <v>0</v>
      </c>
      <c r="R145" s="7">
        <f>IF($H145&gt;K145,MIN($H145-K145,L145-K145)*INDEX('2018_commission_structure'!$A$11:$I$14,MATCH(Calculations!$E145,'2018_commission_structure'!$A$11:$A$14,0), MATCH(Calculations!R$1,'2018_commission_structure'!$A$11:$I$11,0)),0)</f>
        <v>0</v>
      </c>
      <c r="S145" s="7">
        <f>IF(H145&gt;L145,(H145-L145)*INDEX('2018_commission_structure'!$A$11:$I$14,MATCH(Calculations!$E145,'2018_commission_structure'!$A$11:$A$14,0),MATCH(Calculations!S$1,'2018_commission_structure'!$A$11:$I$11,0)),0)</f>
        <v>0</v>
      </c>
      <c r="T145" s="7">
        <f t="shared" si="23"/>
        <v>101337.94</v>
      </c>
      <c r="U145" s="7">
        <f t="shared" si="24"/>
        <v>180355.94</v>
      </c>
      <c r="V145" s="7">
        <f>MIN(H145,I145)*INDEX('2018_commission_structure'!$A$5:$J$8,MATCH(Calculations!$E145,'2018_commission_structure'!$A$5:$A$8,0),MATCH(Calculations!V$1,'2018_commission_structure'!$A$5:$J$5,0))</f>
        <v>90000</v>
      </c>
      <c r="W145" s="2">
        <f>IF($H145&gt;I145,MIN($H145-I145,J145-I145)*INDEX('2018_commission_structure'!$A$5:$J$8,MATCH(Calculations!$E145,'2018_commission_structure'!$A$5:$A$8,0),MATCH(Calculations!W$1,'2018_commission_structure'!$A$5:$J$5,0)),0)</f>
        <v>24710.76</v>
      </c>
      <c r="X145" s="2">
        <f>IF($H145&gt;J145,MIN($H145-J145,K145-J145)*INDEX('2018_commission_structure'!$A$5:$J$8,MATCH(Calculations!$E145,'2018_commission_structure'!$A$5:$A$8,0),MATCH(Calculations!X$1,'2018_commission_structure'!$A$5:$J$5,0)),0)</f>
        <v>0</v>
      </c>
      <c r="Y145" s="2">
        <f>IF($H145&gt;K145,MIN($H145-K145,L145-K145)*INDEX('2018_commission_structure'!$A$5:$J$8,MATCH(Calculations!$E145,'2018_commission_structure'!$A$5:$A$8,0),MATCH(Calculations!Y$1,'2018_commission_structure'!$A$5:$J$5,0)),0)</f>
        <v>0</v>
      </c>
      <c r="Z145" s="2">
        <f xml:space="preserve"> IF(H145&gt;L145,(H145-L145)*INDEX('2018_commission_structure'!$A$11:$I$14,MATCH(Calculations!$E145,'2018_commission_structure'!$A$11:$A$14,0),MATCH(Calculations!Z$1,'2018_commission_structure'!$A$11:$I$11,0)),0)</f>
        <v>0</v>
      </c>
      <c r="AA145" s="7">
        <f t="shared" si="25"/>
        <v>114710.76</v>
      </c>
      <c r="AB145" s="7">
        <f t="shared" si="26"/>
        <v>193728.76</v>
      </c>
    </row>
    <row r="146" spans="1:28" x14ac:dyDescent="0.25">
      <c r="A146">
        <v>7906441400</v>
      </c>
      <c r="B146" t="s">
        <v>442</v>
      </c>
      <c r="C146" t="s">
        <v>443</v>
      </c>
      <c r="D146" t="str">
        <f>B146&amp;" "&amp;C146</f>
        <v>Loretta Churchward</v>
      </c>
      <c r="E146" t="s">
        <v>7</v>
      </c>
      <c r="F146">
        <v>46268</v>
      </c>
      <c r="G146">
        <f>COUNTIF(deals_closed!D:D,Calculations!A146)</f>
        <v>22</v>
      </c>
      <c r="H146" s="2">
        <f>SUMIF(deals_closed!D:D,Calculations!A146,deals_closed!C:C)</f>
        <v>640512</v>
      </c>
      <c r="I146" s="2">
        <f>VLOOKUP(E146,'2018_commission_structure'!$A$11:$I$14,9,FALSE)</f>
        <v>500000</v>
      </c>
      <c r="J146" s="2">
        <f t="shared" si="18"/>
        <v>625000</v>
      </c>
      <c r="K146" s="2">
        <f t="shared" si="19"/>
        <v>750000</v>
      </c>
      <c r="L146" s="2">
        <f t="shared" si="20"/>
        <v>1000000</v>
      </c>
      <c r="M146" s="6">
        <f t="shared" si="21"/>
        <v>1.2810239999999999</v>
      </c>
      <c r="N146" t="str">
        <f t="shared" si="22"/>
        <v>125-150%</v>
      </c>
      <c r="O146" s="7">
        <f>MIN(I146,H146)*INDEX('2018_commission_structure'!$A$11:$I$14,MATCH(Calculations!$E146,'2018_commission_structure'!$A$11:$A$14,0),MATCH(Calculations!O$1,'2018_commission_structure'!$A$11:$I$11,0))</f>
        <v>50000</v>
      </c>
      <c r="P146" s="7">
        <f>IF($H146&gt;I146,MIN($H146-I146,J146-I146)*INDEX('2018_commission_structure'!$A$11:$I$14,MATCH(Calculations!$E146,'2018_commission_structure'!$A$11:$A$14,0), MATCH(Calculations!P$1,'2018_commission_structure'!$A$11:$I$11,0)),0)</f>
        <v>18750</v>
      </c>
      <c r="Q146" s="7">
        <f>IF($H146&gt;J146,MIN($H146-J146,K146-J146)*INDEX('2018_commission_structure'!$A$11:$I$14,MATCH(Calculations!$E146,'2018_commission_structure'!$A$11:$A$14,0), MATCH(Calculations!Q$1,'2018_commission_structure'!$A$11:$I$11,0)),0)</f>
        <v>2792.16</v>
      </c>
      <c r="R146" s="7">
        <f>IF($H146&gt;K146,MIN($H146-K146,L146-K146)*INDEX('2018_commission_structure'!$A$11:$I$14,MATCH(Calculations!$E146,'2018_commission_structure'!$A$11:$A$14,0), MATCH(Calculations!R$1,'2018_commission_structure'!$A$11:$I$11,0)),0)</f>
        <v>0</v>
      </c>
      <c r="S146" s="7">
        <f>IF(H146&gt;L146,(H146-L146)*INDEX('2018_commission_structure'!$A$11:$I$14,MATCH(Calculations!$E146,'2018_commission_structure'!$A$11:$A$14,0),MATCH(Calculations!S$1,'2018_commission_structure'!$A$11:$I$11,0)),0)</f>
        <v>0</v>
      </c>
      <c r="T146" s="7">
        <f t="shared" si="23"/>
        <v>71542.16</v>
      </c>
      <c r="U146" s="7">
        <f t="shared" si="24"/>
        <v>117810.16</v>
      </c>
      <c r="V146" s="7">
        <f>MIN(H146,I146)*INDEX('2018_commission_structure'!$A$5:$J$8,MATCH(Calculations!$E146,'2018_commission_structure'!$A$5:$A$8,0),MATCH(Calculations!V$1,'2018_commission_structure'!$A$5:$J$5,0))</f>
        <v>60000</v>
      </c>
      <c r="W146" s="2">
        <f>IF($H146&gt;I146,MIN($H146-I146,J146-I146)*INDEX('2018_commission_structure'!$A$5:$J$8,MATCH(Calculations!$E146,'2018_commission_structure'!$A$5:$A$8,0),MATCH(Calculations!W$1,'2018_commission_structure'!$A$5:$J$5,0)),0)</f>
        <v>21250</v>
      </c>
      <c r="X146" s="2">
        <f>IF($H146&gt;J146,MIN($H146-J146,K146-J146)*INDEX('2018_commission_structure'!$A$5:$J$8,MATCH(Calculations!$E146,'2018_commission_structure'!$A$5:$A$8,0),MATCH(Calculations!X$1,'2018_commission_structure'!$A$5:$J$5,0)),0)</f>
        <v>3102.4</v>
      </c>
      <c r="Y146" s="2">
        <f>IF($H146&gt;K146,MIN($H146-K146,L146-K146)*INDEX('2018_commission_structure'!$A$5:$J$8,MATCH(Calculations!$E146,'2018_commission_structure'!$A$5:$A$8,0),MATCH(Calculations!Y$1,'2018_commission_structure'!$A$5:$J$5,0)),0)</f>
        <v>0</v>
      </c>
      <c r="Z146" s="2">
        <f xml:space="preserve"> IF(H146&gt;L146,(H146-L146)*INDEX('2018_commission_structure'!$A$11:$I$14,MATCH(Calculations!$E146,'2018_commission_structure'!$A$11:$A$14,0),MATCH(Calculations!Z$1,'2018_commission_structure'!$A$11:$I$11,0)),0)</f>
        <v>0</v>
      </c>
      <c r="AA146" s="7">
        <f t="shared" si="25"/>
        <v>84352.4</v>
      </c>
      <c r="AB146" s="7">
        <f t="shared" si="26"/>
        <v>130620.4</v>
      </c>
    </row>
    <row r="147" spans="1:28" x14ac:dyDescent="0.25">
      <c r="A147">
        <v>5637692440</v>
      </c>
      <c r="B147" t="s">
        <v>728</v>
      </c>
      <c r="C147" t="s">
        <v>1023</v>
      </c>
      <c r="D147" t="str">
        <f>B147&amp;" "&amp;C147</f>
        <v>Minetta Claeskens</v>
      </c>
      <c r="E147" t="s">
        <v>29</v>
      </c>
      <c r="F147">
        <v>63493</v>
      </c>
      <c r="G147">
        <f>COUNTIF(deals_closed!D:D,Calculations!A147)</f>
        <v>16</v>
      </c>
      <c r="H147" s="2">
        <f>SUMIF(deals_closed!D:D,Calculations!A147,deals_closed!C:C)</f>
        <v>531435</v>
      </c>
      <c r="I147" s="2">
        <f>VLOOKUP(E147,'2018_commission_structure'!$A$11:$I$14,9,FALSE)</f>
        <v>600000</v>
      </c>
      <c r="J147" s="2">
        <f t="shared" si="18"/>
        <v>750000</v>
      </c>
      <c r="K147" s="2">
        <f t="shared" si="19"/>
        <v>900000</v>
      </c>
      <c r="L147" s="2">
        <f t="shared" si="20"/>
        <v>1200000</v>
      </c>
      <c r="M147" s="6">
        <f t="shared" si="21"/>
        <v>0.88572499999999998</v>
      </c>
      <c r="N147" t="str">
        <f t="shared" si="22"/>
        <v>0-100%</v>
      </c>
      <c r="O147" s="7">
        <f>MIN(I147,H147)*INDEX('2018_commission_structure'!$A$11:$I$14,MATCH(Calculations!$E147,'2018_commission_structure'!$A$11:$A$14,0),MATCH(Calculations!O$1,'2018_commission_structure'!$A$11:$I$11,0))</f>
        <v>69086.55</v>
      </c>
      <c r="P147" s="7">
        <f>IF($H147&gt;I147,MIN($H147-I147,J147-I147)*INDEX('2018_commission_structure'!$A$11:$I$14,MATCH(Calculations!$E147,'2018_commission_structure'!$A$11:$A$14,0), MATCH(Calculations!P$1,'2018_commission_structure'!$A$11:$I$11,0)),0)</f>
        <v>0</v>
      </c>
      <c r="Q147" s="7">
        <f>IF($H147&gt;J147,MIN($H147-J147,K147-J147)*INDEX('2018_commission_structure'!$A$11:$I$14,MATCH(Calculations!$E147,'2018_commission_structure'!$A$11:$A$14,0), MATCH(Calculations!Q$1,'2018_commission_structure'!$A$11:$I$11,0)),0)</f>
        <v>0</v>
      </c>
      <c r="R147" s="7">
        <f>IF($H147&gt;K147,MIN($H147-K147,L147-K147)*INDEX('2018_commission_structure'!$A$11:$I$14,MATCH(Calculations!$E147,'2018_commission_structure'!$A$11:$A$14,0), MATCH(Calculations!R$1,'2018_commission_structure'!$A$11:$I$11,0)),0)</f>
        <v>0</v>
      </c>
      <c r="S147" s="7">
        <f>IF(H147&gt;L147,(H147-L147)*INDEX('2018_commission_structure'!$A$11:$I$14,MATCH(Calculations!$E147,'2018_commission_structure'!$A$11:$A$14,0),MATCH(Calculations!S$1,'2018_commission_structure'!$A$11:$I$11,0)),0)</f>
        <v>0</v>
      </c>
      <c r="T147" s="7">
        <f t="shared" si="23"/>
        <v>69086.55</v>
      </c>
      <c r="U147" s="7">
        <f t="shared" si="24"/>
        <v>132579.54999999999</v>
      </c>
      <c r="V147" s="7">
        <f>MIN(H147,I147)*INDEX('2018_commission_structure'!$A$5:$J$8,MATCH(Calculations!$E147,'2018_commission_structure'!$A$5:$A$8,0),MATCH(Calculations!V$1,'2018_commission_structure'!$A$5:$J$5,0))</f>
        <v>79715.25</v>
      </c>
      <c r="W147" s="2">
        <f>IF($H147&gt;I147,MIN($H147-I147,J147-I147)*INDEX('2018_commission_structure'!$A$5:$J$8,MATCH(Calculations!$E147,'2018_commission_structure'!$A$5:$A$8,0),MATCH(Calculations!W$1,'2018_commission_structure'!$A$5:$J$5,0)),0)</f>
        <v>0</v>
      </c>
      <c r="X147" s="2">
        <f>IF($H147&gt;J147,MIN($H147-J147,K147-J147)*INDEX('2018_commission_structure'!$A$5:$J$8,MATCH(Calculations!$E147,'2018_commission_structure'!$A$5:$A$8,0),MATCH(Calculations!X$1,'2018_commission_structure'!$A$5:$J$5,0)),0)</f>
        <v>0</v>
      </c>
      <c r="Y147" s="2">
        <f>IF($H147&gt;K147,MIN($H147-K147,L147-K147)*INDEX('2018_commission_structure'!$A$5:$J$8,MATCH(Calculations!$E147,'2018_commission_structure'!$A$5:$A$8,0),MATCH(Calculations!Y$1,'2018_commission_structure'!$A$5:$J$5,0)),0)</f>
        <v>0</v>
      </c>
      <c r="Z147" s="2">
        <f xml:space="preserve"> IF(H147&gt;L147,(H147-L147)*INDEX('2018_commission_structure'!$A$11:$I$14,MATCH(Calculations!$E147,'2018_commission_structure'!$A$11:$A$14,0),MATCH(Calculations!Z$1,'2018_commission_structure'!$A$11:$I$11,0)),0)</f>
        <v>0</v>
      </c>
      <c r="AA147" s="7">
        <f t="shared" si="25"/>
        <v>79715.25</v>
      </c>
      <c r="AB147" s="7">
        <f t="shared" si="26"/>
        <v>143208.25</v>
      </c>
    </row>
    <row r="148" spans="1:28" x14ac:dyDescent="0.25">
      <c r="A148">
        <v>3016446324</v>
      </c>
      <c r="B148" t="s">
        <v>1628</v>
      </c>
      <c r="C148" t="s">
        <v>1629</v>
      </c>
      <c r="D148" t="str">
        <f>B148&amp;" "&amp;C148</f>
        <v>Kristoforo Claremont</v>
      </c>
      <c r="E148" t="s">
        <v>7</v>
      </c>
      <c r="F148">
        <v>45261</v>
      </c>
      <c r="G148">
        <f>COUNTIF(deals_closed!D:D,Calculations!A148)</f>
        <v>26</v>
      </c>
      <c r="H148" s="2">
        <f>SUMIF(deals_closed!D:D,Calculations!A148,deals_closed!C:C)</f>
        <v>970661</v>
      </c>
      <c r="I148" s="2">
        <f>VLOOKUP(E148,'2018_commission_structure'!$A$11:$I$14,9,FALSE)</f>
        <v>500000</v>
      </c>
      <c r="J148" s="2">
        <f t="shared" si="18"/>
        <v>625000</v>
      </c>
      <c r="K148" s="2">
        <f t="shared" si="19"/>
        <v>750000</v>
      </c>
      <c r="L148" s="2">
        <f t="shared" si="20"/>
        <v>1000000</v>
      </c>
      <c r="M148" s="6">
        <f t="shared" si="21"/>
        <v>1.941322</v>
      </c>
      <c r="N148" t="str">
        <f t="shared" si="22"/>
        <v>150-200%</v>
      </c>
      <c r="O148" s="7">
        <f>MIN(I148,H148)*INDEX('2018_commission_structure'!$A$11:$I$14,MATCH(Calculations!$E148,'2018_commission_structure'!$A$11:$A$14,0),MATCH(Calculations!O$1,'2018_commission_structure'!$A$11:$I$11,0))</f>
        <v>50000</v>
      </c>
      <c r="P148" s="7">
        <f>IF($H148&gt;I148,MIN($H148-I148,J148-I148)*INDEX('2018_commission_structure'!$A$11:$I$14,MATCH(Calculations!$E148,'2018_commission_structure'!$A$11:$A$14,0), MATCH(Calculations!P$1,'2018_commission_structure'!$A$11:$I$11,0)),0)</f>
        <v>18750</v>
      </c>
      <c r="Q148" s="7">
        <f>IF($H148&gt;J148,MIN($H148-J148,K148-J148)*INDEX('2018_commission_structure'!$A$11:$I$14,MATCH(Calculations!$E148,'2018_commission_structure'!$A$11:$A$14,0), MATCH(Calculations!Q$1,'2018_commission_structure'!$A$11:$I$11,0)),0)</f>
        <v>22500</v>
      </c>
      <c r="R148" s="7">
        <f>IF($H148&gt;K148,MIN($H148-K148,L148-K148)*INDEX('2018_commission_structure'!$A$11:$I$14,MATCH(Calculations!$E148,'2018_commission_structure'!$A$11:$A$14,0), MATCH(Calculations!R$1,'2018_commission_structure'!$A$11:$I$11,0)),0)</f>
        <v>48545.42</v>
      </c>
      <c r="S148" s="7">
        <f>IF(H148&gt;L148,(H148-L148)*INDEX('2018_commission_structure'!$A$11:$I$14,MATCH(Calculations!$E148,'2018_commission_structure'!$A$11:$A$14,0),MATCH(Calculations!S$1,'2018_commission_structure'!$A$11:$I$11,0)),0)</f>
        <v>0</v>
      </c>
      <c r="T148" s="7">
        <f t="shared" si="23"/>
        <v>139795.41999999998</v>
      </c>
      <c r="U148" s="7">
        <f t="shared" si="24"/>
        <v>185056.41999999998</v>
      </c>
      <c r="V148" s="7">
        <f>MIN(H148,I148)*INDEX('2018_commission_structure'!$A$5:$J$8,MATCH(Calculations!$E148,'2018_commission_structure'!$A$5:$A$8,0),MATCH(Calculations!V$1,'2018_commission_structure'!$A$5:$J$5,0))</f>
        <v>60000</v>
      </c>
      <c r="W148" s="2">
        <f>IF($H148&gt;I148,MIN($H148-I148,J148-I148)*INDEX('2018_commission_structure'!$A$5:$J$8,MATCH(Calculations!$E148,'2018_commission_structure'!$A$5:$A$8,0),MATCH(Calculations!W$1,'2018_commission_structure'!$A$5:$J$5,0)),0)</f>
        <v>21250</v>
      </c>
      <c r="X148" s="2">
        <f>IF($H148&gt;J148,MIN($H148-J148,K148-J148)*INDEX('2018_commission_structure'!$A$5:$J$8,MATCH(Calculations!$E148,'2018_commission_structure'!$A$5:$A$8,0),MATCH(Calculations!X$1,'2018_commission_structure'!$A$5:$J$5,0)),0)</f>
        <v>25000</v>
      </c>
      <c r="Y148" s="2">
        <f>IF($H148&gt;K148,MIN($H148-K148,L148-K148)*INDEX('2018_commission_structure'!$A$5:$J$8,MATCH(Calculations!$E148,'2018_commission_structure'!$A$5:$A$8,0),MATCH(Calculations!Y$1,'2018_commission_structure'!$A$5:$J$5,0)),0)</f>
        <v>48545.42</v>
      </c>
      <c r="Z148" s="2">
        <f xml:space="preserve"> IF(H148&gt;L148,(H148-L148)*INDEX('2018_commission_structure'!$A$11:$I$14,MATCH(Calculations!$E148,'2018_commission_structure'!$A$11:$A$14,0),MATCH(Calculations!Z$1,'2018_commission_structure'!$A$11:$I$11,0)),0)</f>
        <v>0</v>
      </c>
      <c r="AA148" s="7">
        <f t="shared" si="25"/>
        <v>154795.41999999998</v>
      </c>
      <c r="AB148" s="7">
        <f t="shared" si="26"/>
        <v>200056.41999999998</v>
      </c>
    </row>
    <row r="149" spans="1:28" x14ac:dyDescent="0.25">
      <c r="A149">
        <v>5928086253</v>
      </c>
      <c r="B149" t="s">
        <v>1562</v>
      </c>
      <c r="C149" t="s">
        <v>1563</v>
      </c>
      <c r="D149" t="str">
        <f>B149&amp;" "&amp;C149</f>
        <v>Carlos Claxson</v>
      </c>
      <c r="E149" t="s">
        <v>10</v>
      </c>
      <c r="F149">
        <v>123100</v>
      </c>
      <c r="G149">
        <f>COUNTIF(deals_closed!D:D,Calculations!A149)</f>
        <v>15</v>
      </c>
      <c r="H149" s="2">
        <f>SUMIF(deals_closed!D:D,Calculations!A149,deals_closed!C:C)</f>
        <v>549442</v>
      </c>
      <c r="I149" s="2">
        <f>VLOOKUP(E149,'2018_commission_structure'!$A$11:$I$14,9,FALSE)</f>
        <v>750000</v>
      </c>
      <c r="J149" s="2">
        <f t="shared" si="18"/>
        <v>937500</v>
      </c>
      <c r="K149" s="2">
        <f t="shared" si="19"/>
        <v>1125000</v>
      </c>
      <c r="L149" s="2">
        <f t="shared" si="20"/>
        <v>1500000</v>
      </c>
      <c r="M149" s="6">
        <f t="shared" si="21"/>
        <v>0.73258933333333331</v>
      </c>
      <c r="N149" t="str">
        <f t="shared" si="22"/>
        <v>0-100%</v>
      </c>
      <c r="O149" s="7">
        <f>MIN(I149,H149)*INDEX('2018_commission_structure'!$A$11:$I$14,MATCH(Calculations!$E149,'2018_commission_structure'!$A$11:$A$14,0),MATCH(Calculations!O$1,'2018_commission_structure'!$A$11:$I$11,0))</f>
        <v>82416.3</v>
      </c>
      <c r="P149" s="7">
        <f>IF($H149&gt;I149,MIN($H149-I149,J149-I149)*INDEX('2018_commission_structure'!$A$11:$I$14,MATCH(Calculations!$E149,'2018_commission_structure'!$A$11:$A$14,0), MATCH(Calculations!P$1,'2018_commission_structure'!$A$11:$I$11,0)),0)</f>
        <v>0</v>
      </c>
      <c r="Q149" s="7">
        <f>IF($H149&gt;J149,MIN($H149-J149,K149-J149)*INDEX('2018_commission_structure'!$A$11:$I$14,MATCH(Calculations!$E149,'2018_commission_structure'!$A$11:$A$14,0), MATCH(Calculations!Q$1,'2018_commission_structure'!$A$11:$I$11,0)),0)</f>
        <v>0</v>
      </c>
      <c r="R149" s="7">
        <f>IF($H149&gt;K149,MIN($H149-K149,L149-K149)*INDEX('2018_commission_structure'!$A$11:$I$14,MATCH(Calculations!$E149,'2018_commission_structure'!$A$11:$A$14,0), MATCH(Calculations!R$1,'2018_commission_structure'!$A$11:$I$11,0)),0)</f>
        <v>0</v>
      </c>
      <c r="S149" s="7">
        <f>IF(H149&gt;L149,(H149-L149)*INDEX('2018_commission_structure'!$A$11:$I$14,MATCH(Calculations!$E149,'2018_commission_structure'!$A$11:$A$14,0),MATCH(Calculations!S$1,'2018_commission_structure'!$A$11:$I$11,0)),0)</f>
        <v>0</v>
      </c>
      <c r="T149" s="7">
        <f t="shared" si="23"/>
        <v>82416.3</v>
      </c>
      <c r="U149" s="7">
        <f t="shared" si="24"/>
        <v>205516.3</v>
      </c>
      <c r="V149" s="7">
        <f>MIN(H149,I149)*INDEX('2018_commission_structure'!$A$5:$J$8,MATCH(Calculations!$E149,'2018_commission_structure'!$A$5:$A$8,0),MATCH(Calculations!V$1,'2018_commission_structure'!$A$5:$J$5,0))</f>
        <v>82416.3</v>
      </c>
      <c r="W149" s="2">
        <f>IF($H149&gt;I149,MIN($H149-I149,J149-I149)*INDEX('2018_commission_structure'!$A$5:$J$8,MATCH(Calculations!$E149,'2018_commission_structure'!$A$5:$A$8,0),MATCH(Calculations!W$1,'2018_commission_structure'!$A$5:$J$5,0)),0)</f>
        <v>0</v>
      </c>
      <c r="X149" s="2">
        <f>IF($H149&gt;J149,MIN($H149-J149,K149-J149)*INDEX('2018_commission_structure'!$A$5:$J$8,MATCH(Calculations!$E149,'2018_commission_structure'!$A$5:$A$8,0),MATCH(Calculations!X$1,'2018_commission_structure'!$A$5:$J$5,0)),0)</f>
        <v>0</v>
      </c>
      <c r="Y149" s="2">
        <f>IF($H149&gt;K149,MIN($H149-K149,L149-K149)*INDEX('2018_commission_structure'!$A$5:$J$8,MATCH(Calculations!$E149,'2018_commission_structure'!$A$5:$A$8,0),MATCH(Calculations!Y$1,'2018_commission_structure'!$A$5:$J$5,0)),0)</f>
        <v>0</v>
      </c>
      <c r="Z149" s="2">
        <f xml:space="preserve"> IF(H149&gt;L149,(H149-L149)*INDEX('2018_commission_structure'!$A$11:$I$14,MATCH(Calculations!$E149,'2018_commission_structure'!$A$11:$A$14,0),MATCH(Calculations!Z$1,'2018_commission_structure'!$A$11:$I$11,0)),0)</f>
        <v>0</v>
      </c>
      <c r="AA149" s="7">
        <f t="shared" si="25"/>
        <v>82416.3</v>
      </c>
      <c r="AB149" s="7">
        <f t="shared" si="26"/>
        <v>205516.3</v>
      </c>
    </row>
    <row r="150" spans="1:28" x14ac:dyDescent="0.25">
      <c r="A150">
        <v>8401146046</v>
      </c>
      <c r="B150" t="s">
        <v>434</v>
      </c>
      <c r="C150" t="s">
        <v>435</v>
      </c>
      <c r="D150" t="str">
        <f>B150&amp;" "&amp;C150</f>
        <v>Franni Clemencet</v>
      </c>
      <c r="E150" t="s">
        <v>29</v>
      </c>
      <c r="F150">
        <v>54722</v>
      </c>
      <c r="G150">
        <f>COUNTIF(deals_closed!D:D,Calculations!A150)</f>
        <v>22</v>
      </c>
      <c r="H150" s="2">
        <f>SUMIF(deals_closed!D:D,Calculations!A150,deals_closed!C:C)</f>
        <v>588509</v>
      </c>
      <c r="I150" s="2">
        <f>VLOOKUP(E150,'2018_commission_structure'!$A$11:$I$14,9,FALSE)</f>
        <v>600000</v>
      </c>
      <c r="J150" s="2">
        <f t="shared" si="18"/>
        <v>750000</v>
      </c>
      <c r="K150" s="2">
        <f t="shared" si="19"/>
        <v>900000</v>
      </c>
      <c r="L150" s="2">
        <f t="shared" si="20"/>
        <v>1200000</v>
      </c>
      <c r="M150" s="6">
        <f t="shared" si="21"/>
        <v>0.98084833333333332</v>
      </c>
      <c r="N150" t="str">
        <f t="shared" si="22"/>
        <v>0-100%</v>
      </c>
      <c r="O150" s="7">
        <f>MIN(I150,H150)*INDEX('2018_commission_structure'!$A$11:$I$14,MATCH(Calculations!$E150,'2018_commission_structure'!$A$11:$A$14,0),MATCH(Calculations!O$1,'2018_commission_structure'!$A$11:$I$11,0))</f>
        <v>76506.17</v>
      </c>
      <c r="P150" s="7">
        <f>IF($H150&gt;I150,MIN($H150-I150,J150-I150)*INDEX('2018_commission_structure'!$A$11:$I$14,MATCH(Calculations!$E150,'2018_commission_structure'!$A$11:$A$14,0), MATCH(Calculations!P$1,'2018_commission_structure'!$A$11:$I$11,0)),0)</f>
        <v>0</v>
      </c>
      <c r="Q150" s="7">
        <f>IF($H150&gt;J150,MIN($H150-J150,K150-J150)*INDEX('2018_commission_structure'!$A$11:$I$14,MATCH(Calculations!$E150,'2018_commission_structure'!$A$11:$A$14,0), MATCH(Calculations!Q$1,'2018_commission_structure'!$A$11:$I$11,0)),0)</f>
        <v>0</v>
      </c>
      <c r="R150" s="7">
        <f>IF($H150&gt;K150,MIN($H150-K150,L150-K150)*INDEX('2018_commission_structure'!$A$11:$I$14,MATCH(Calculations!$E150,'2018_commission_structure'!$A$11:$A$14,0), MATCH(Calculations!R$1,'2018_commission_structure'!$A$11:$I$11,0)),0)</f>
        <v>0</v>
      </c>
      <c r="S150" s="7">
        <f>IF(H150&gt;L150,(H150-L150)*INDEX('2018_commission_structure'!$A$11:$I$14,MATCH(Calculations!$E150,'2018_commission_structure'!$A$11:$A$14,0),MATCH(Calculations!S$1,'2018_commission_structure'!$A$11:$I$11,0)),0)</f>
        <v>0</v>
      </c>
      <c r="T150" s="7">
        <f t="shared" si="23"/>
        <v>76506.17</v>
      </c>
      <c r="U150" s="7">
        <f t="shared" si="24"/>
        <v>131228.16999999998</v>
      </c>
      <c r="V150" s="7">
        <f>MIN(H150,I150)*INDEX('2018_commission_structure'!$A$5:$J$8,MATCH(Calculations!$E150,'2018_commission_structure'!$A$5:$A$8,0),MATCH(Calculations!V$1,'2018_commission_structure'!$A$5:$J$5,0))</f>
        <v>88276.349999999991</v>
      </c>
      <c r="W150" s="2">
        <f>IF($H150&gt;I150,MIN($H150-I150,J150-I150)*INDEX('2018_commission_structure'!$A$5:$J$8,MATCH(Calculations!$E150,'2018_commission_structure'!$A$5:$A$8,0),MATCH(Calculations!W$1,'2018_commission_structure'!$A$5:$J$5,0)),0)</f>
        <v>0</v>
      </c>
      <c r="X150" s="2">
        <f>IF($H150&gt;J150,MIN($H150-J150,K150-J150)*INDEX('2018_commission_structure'!$A$5:$J$8,MATCH(Calculations!$E150,'2018_commission_structure'!$A$5:$A$8,0),MATCH(Calculations!X$1,'2018_commission_structure'!$A$5:$J$5,0)),0)</f>
        <v>0</v>
      </c>
      <c r="Y150" s="2">
        <f>IF($H150&gt;K150,MIN($H150-K150,L150-K150)*INDEX('2018_commission_structure'!$A$5:$J$8,MATCH(Calculations!$E150,'2018_commission_structure'!$A$5:$A$8,0),MATCH(Calculations!Y$1,'2018_commission_structure'!$A$5:$J$5,0)),0)</f>
        <v>0</v>
      </c>
      <c r="Z150" s="2">
        <f xml:space="preserve"> IF(H150&gt;L150,(H150-L150)*INDEX('2018_commission_structure'!$A$11:$I$14,MATCH(Calculations!$E150,'2018_commission_structure'!$A$11:$A$14,0),MATCH(Calculations!Z$1,'2018_commission_structure'!$A$11:$I$11,0)),0)</f>
        <v>0</v>
      </c>
      <c r="AA150" s="7">
        <f t="shared" si="25"/>
        <v>88276.349999999991</v>
      </c>
      <c r="AB150" s="7">
        <f t="shared" si="26"/>
        <v>142998.34999999998</v>
      </c>
    </row>
    <row r="151" spans="1:28" x14ac:dyDescent="0.25">
      <c r="A151">
        <v>8731494560</v>
      </c>
      <c r="B151" t="s">
        <v>1749</v>
      </c>
      <c r="C151" t="s">
        <v>1878</v>
      </c>
      <c r="D151" t="str">
        <f>B151&amp;" "&amp;C151</f>
        <v>Dionis Climie</v>
      </c>
      <c r="E151" t="s">
        <v>29</v>
      </c>
      <c r="F151">
        <v>77055</v>
      </c>
      <c r="G151">
        <f>COUNTIF(deals_closed!D:D,Calculations!A151)</f>
        <v>20</v>
      </c>
      <c r="H151" s="2">
        <f>SUMIF(deals_closed!D:D,Calculations!A151,deals_closed!C:C)</f>
        <v>671623</v>
      </c>
      <c r="I151" s="2">
        <f>VLOOKUP(E151,'2018_commission_structure'!$A$11:$I$14,9,FALSE)</f>
        <v>600000</v>
      </c>
      <c r="J151" s="2">
        <f t="shared" si="18"/>
        <v>750000</v>
      </c>
      <c r="K151" s="2">
        <f t="shared" si="19"/>
        <v>900000</v>
      </c>
      <c r="L151" s="2">
        <f t="shared" si="20"/>
        <v>1200000</v>
      </c>
      <c r="M151" s="6">
        <f t="shared" si="21"/>
        <v>1.1193716666666667</v>
      </c>
      <c r="N151" t="str">
        <f t="shared" si="22"/>
        <v>100-125%</v>
      </c>
      <c r="O151" s="7">
        <f>MIN(I151,H151)*INDEX('2018_commission_structure'!$A$11:$I$14,MATCH(Calculations!$E151,'2018_commission_structure'!$A$11:$A$14,0),MATCH(Calculations!O$1,'2018_commission_structure'!$A$11:$I$11,0))</f>
        <v>78000</v>
      </c>
      <c r="P151" s="7">
        <f>IF($H151&gt;I151,MIN($H151-I151,J151-I151)*INDEX('2018_commission_structure'!$A$11:$I$14,MATCH(Calculations!$E151,'2018_commission_structure'!$A$11:$A$14,0), MATCH(Calculations!P$1,'2018_commission_structure'!$A$11:$I$11,0)),0)</f>
        <v>12175.910000000002</v>
      </c>
      <c r="Q151" s="7">
        <f>IF($H151&gt;J151,MIN($H151-J151,K151-J151)*INDEX('2018_commission_structure'!$A$11:$I$14,MATCH(Calculations!$E151,'2018_commission_structure'!$A$11:$A$14,0), MATCH(Calculations!Q$1,'2018_commission_structure'!$A$11:$I$11,0)),0)</f>
        <v>0</v>
      </c>
      <c r="R151" s="7">
        <f>IF($H151&gt;K151,MIN($H151-K151,L151-K151)*INDEX('2018_commission_structure'!$A$11:$I$14,MATCH(Calculations!$E151,'2018_commission_structure'!$A$11:$A$14,0), MATCH(Calculations!R$1,'2018_commission_structure'!$A$11:$I$11,0)),0)</f>
        <v>0</v>
      </c>
      <c r="S151" s="7">
        <f>IF(H151&gt;L151,(H151-L151)*INDEX('2018_commission_structure'!$A$11:$I$14,MATCH(Calculations!$E151,'2018_commission_structure'!$A$11:$A$14,0),MATCH(Calculations!S$1,'2018_commission_structure'!$A$11:$I$11,0)),0)</f>
        <v>0</v>
      </c>
      <c r="T151" s="7">
        <f t="shared" si="23"/>
        <v>90175.91</v>
      </c>
      <c r="U151" s="7">
        <f t="shared" si="24"/>
        <v>167230.91</v>
      </c>
      <c r="V151" s="7">
        <f>MIN(H151,I151)*INDEX('2018_commission_structure'!$A$5:$J$8,MATCH(Calculations!$E151,'2018_commission_structure'!$A$5:$A$8,0),MATCH(Calculations!V$1,'2018_commission_structure'!$A$5:$J$5,0))</f>
        <v>90000</v>
      </c>
      <c r="W151" s="2">
        <f>IF($H151&gt;I151,MIN($H151-I151,J151-I151)*INDEX('2018_commission_structure'!$A$5:$J$8,MATCH(Calculations!$E151,'2018_commission_structure'!$A$5:$A$8,0),MATCH(Calculations!W$1,'2018_commission_structure'!$A$5:$J$5,0)),0)</f>
        <v>12892.14</v>
      </c>
      <c r="X151" s="2">
        <f>IF($H151&gt;J151,MIN($H151-J151,K151-J151)*INDEX('2018_commission_structure'!$A$5:$J$8,MATCH(Calculations!$E151,'2018_commission_structure'!$A$5:$A$8,0),MATCH(Calculations!X$1,'2018_commission_structure'!$A$5:$J$5,0)),0)</f>
        <v>0</v>
      </c>
      <c r="Y151" s="2">
        <f>IF($H151&gt;K151,MIN($H151-K151,L151-K151)*INDEX('2018_commission_structure'!$A$5:$J$8,MATCH(Calculations!$E151,'2018_commission_structure'!$A$5:$A$8,0),MATCH(Calculations!Y$1,'2018_commission_structure'!$A$5:$J$5,0)),0)</f>
        <v>0</v>
      </c>
      <c r="Z151" s="2">
        <f xml:space="preserve"> IF(H151&gt;L151,(H151-L151)*INDEX('2018_commission_structure'!$A$11:$I$14,MATCH(Calculations!$E151,'2018_commission_structure'!$A$11:$A$14,0),MATCH(Calculations!Z$1,'2018_commission_structure'!$A$11:$I$11,0)),0)</f>
        <v>0</v>
      </c>
      <c r="AA151" s="7">
        <f t="shared" si="25"/>
        <v>102892.14</v>
      </c>
      <c r="AB151" s="7">
        <f t="shared" si="26"/>
        <v>179947.14</v>
      </c>
    </row>
    <row r="152" spans="1:28" x14ac:dyDescent="0.25">
      <c r="A152">
        <v>9260254965</v>
      </c>
      <c r="B152" t="s">
        <v>1811</v>
      </c>
      <c r="C152" t="s">
        <v>1812</v>
      </c>
      <c r="D152" t="str">
        <f>B152&amp;" "&amp;C152</f>
        <v>Fancy Clitsome</v>
      </c>
      <c r="E152" t="s">
        <v>7</v>
      </c>
      <c r="F152">
        <v>59588</v>
      </c>
      <c r="G152">
        <f>COUNTIF(deals_closed!D:D,Calculations!A152)</f>
        <v>24</v>
      </c>
      <c r="H152" s="2">
        <f>SUMIF(deals_closed!D:D,Calculations!A152,deals_closed!C:C)</f>
        <v>894395</v>
      </c>
      <c r="I152" s="2">
        <f>VLOOKUP(E152,'2018_commission_structure'!$A$11:$I$14,9,FALSE)</f>
        <v>500000</v>
      </c>
      <c r="J152" s="2">
        <f t="shared" si="18"/>
        <v>625000</v>
      </c>
      <c r="K152" s="2">
        <f t="shared" si="19"/>
        <v>750000</v>
      </c>
      <c r="L152" s="2">
        <f t="shared" si="20"/>
        <v>1000000</v>
      </c>
      <c r="M152" s="6">
        <f t="shared" si="21"/>
        <v>1.7887900000000001</v>
      </c>
      <c r="N152" t="str">
        <f t="shared" si="22"/>
        <v>150-200%</v>
      </c>
      <c r="O152" s="7">
        <f>MIN(I152,H152)*INDEX('2018_commission_structure'!$A$11:$I$14,MATCH(Calculations!$E152,'2018_commission_structure'!$A$11:$A$14,0),MATCH(Calculations!O$1,'2018_commission_structure'!$A$11:$I$11,0))</f>
        <v>50000</v>
      </c>
      <c r="P152" s="7">
        <f>IF($H152&gt;I152,MIN($H152-I152,J152-I152)*INDEX('2018_commission_structure'!$A$11:$I$14,MATCH(Calculations!$E152,'2018_commission_structure'!$A$11:$A$14,0), MATCH(Calculations!P$1,'2018_commission_structure'!$A$11:$I$11,0)),0)</f>
        <v>18750</v>
      </c>
      <c r="Q152" s="7">
        <f>IF($H152&gt;J152,MIN($H152-J152,K152-J152)*INDEX('2018_commission_structure'!$A$11:$I$14,MATCH(Calculations!$E152,'2018_commission_structure'!$A$11:$A$14,0), MATCH(Calculations!Q$1,'2018_commission_structure'!$A$11:$I$11,0)),0)</f>
        <v>22500</v>
      </c>
      <c r="R152" s="7">
        <f>IF($H152&gt;K152,MIN($H152-K152,L152-K152)*INDEX('2018_commission_structure'!$A$11:$I$14,MATCH(Calculations!$E152,'2018_commission_structure'!$A$11:$A$14,0), MATCH(Calculations!R$1,'2018_commission_structure'!$A$11:$I$11,0)),0)</f>
        <v>31766.9</v>
      </c>
      <c r="S152" s="7">
        <f>IF(H152&gt;L152,(H152-L152)*INDEX('2018_commission_structure'!$A$11:$I$14,MATCH(Calculations!$E152,'2018_commission_structure'!$A$11:$A$14,0),MATCH(Calculations!S$1,'2018_commission_structure'!$A$11:$I$11,0)),0)</f>
        <v>0</v>
      </c>
      <c r="T152" s="7">
        <f t="shared" si="23"/>
        <v>123016.9</v>
      </c>
      <c r="U152" s="7">
        <f t="shared" si="24"/>
        <v>182604.9</v>
      </c>
      <c r="V152" s="7">
        <f>MIN(H152,I152)*INDEX('2018_commission_structure'!$A$5:$J$8,MATCH(Calculations!$E152,'2018_commission_structure'!$A$5:$A$8,0),MATCH(Calculations!V$1,'2018_commission_structure'!$A$5:$J$5,0))</f>
        <v>60000</v>
      </c>
      <c r="W152" s="2">
        <f>IF($H152&gt;I152,MIN($H152-I152,J152-I152)*INDEX('2018_commission_structure'!$A$5:$J$8,MATCH(Calculations!$E152,'2018_commission_structure'!$A$5:$A$8,0),MATCH(Calculations!W$1,'2018_commission_structure'!$A$5:$J$5,0)),0)</f>
        <v>21250</v>
      </c>
      <c r="X152" s="2">
        <f>IF($H152&gt;J152,MIN($H152-J152,K152-J152)*INDEX('2018_commission_structure'!$A$5:$J$8,MATCH(Calculations!$E152,'2018_commission_structure'!$A$5:$A$8,0),MATCH(Calculations!X$1,'2018_commission_structure'!$A$5:$J$5,0)),0)</f>
        <v>25000</v>
      </c>
      <c r="Y152" s="2">
        <f>IF($H152&gt;K152,MIN($H152-K152,L152-K152)*INDEX('2018_commission_structure'!$A$5:$J$8,MATCH(Calculations!$E152,'2018_commission_structure'!$A$5:$A$8,0),MATCH(Calculations!Y$1,'2018_commission_structure'!$A$5:$J$5,0)),0)</f>
        <v>31766.9</v>
      </c>
      <c r="Z152" s="2">
        <f xml:space="preserve"> IF(H152&gt;L152,(H152-L152)*INDEX('2018_commission_structure'!$A$11:$I$14,MATCH(Calculations!$E152,'2018_commission_structure'!$A$11:$A$14,0),MATCH(Calculations!Z$1,'2018_commission_structure'!$A$11:$I$11,0)),0)</f>
        <v>0</v>
      </c>
      <c r="AA152" s="7">
        <f t="shared" si="25"/>
        <v>138016.9</v>
      </c>
      <c r="AB152" s="7">
        <f t="shared" si="26"/>
        <v>197604.9</v>
      </c>
    </row>
    <row r="153" spans="1:28" x14ac:dyDescent="0.25">
      <c r="A153">
        <v>3991175401</v>
      </c>
      <c r="B153" t="s">
        <v>1321</v>
      </c>
      <c r="C153" t="s">
        <v>1322</v>
      </c>
      <c r="D153" t="str">
        <f>B153&amp;" "&amp;C153</f>
        <v>Sebastiano Cloute</v>
      </c>
      <c r="E153" t="s">
        <v>10</v>
      </c>
      <c r="F153">
        <v>85616</v>
      </c>
      <c r="G153">
        <f>COUNTIF(deals_closed!D:D,Calculations!A153)</f>
        <v>14</v>
      </c>
      <c r="H153" s="2">
        <f>SUMIF(deals_closed!D:D,Calculations!A153,deals_closed!C:C)</f>
        <v>503861</v>
      </c>
      <c r="I153" s="2">
        <f>VLOOKUP(E153,'2018_commission_structure'!$A$11:$I$14,9,FALSE)</f>
        <v>750000</v>
      </c>
      <c r="J153" s="2">
        <f t="shared" si="18"/>
        <v>937500</v>
      </c>
      <c r="K153" s="2">
        <f t="shared" si="19"/>
        <v>1125000</v>
      </c>
      <c r="L153" s="2">
        <f t="shared" si="20"/>
        <v>1500000</v>
      </c>
      <c r="M153" s="6">
        <f t="shared" si="21"/>
        <v>0.67181466666666667</v>
      </c>
      <c r="N153" t="str">
        <f t="shared" si="22"/>
        <v>0-100%</v>
      </c>
      <c r="O153" s="7">
        <f>MIN(I153,H153)*INDEX('2018_commission_structure'!$A$11:$I$14,MATCH(Calculations!$E153,'2018_commission_structure'!$A$11:$A$14,0),MATCH(Calculations!O$1,'2018_commission_structure'!$A$11:$I$11,0))</f>
        <v>75579.149999999994</v>
      </c>
      <c r="P153" s="7">
        <f>IF($H153&gt;I153,MIN($H153-I153,J153-I153)*INDEX('2018_commission_structure'!$A$11:$I$14,MATCH(Calculations!$E153,'2018_commission_structure'!$A$11:$A$14,0), MATCH(Calculations!P$1,'2018_commission_structure'!$A$11:$I$11,0)),0)</f>
        <v>0</v>
      </c>
      <c r="Q153" s="7">
        <f>IF($H153&gt;J153,MIN($H153-J153,K153-J153)*INDEX('2018_commission_structure'!$A$11:$I$14,MATCH(Calculations!$E153,'2018_commission_structure'!$A$11:$A$14,0), MATCH(Calculations!Q$1,'2018_commission_structure'!$A$11:$I$11,0)),0)</f>
        <v>0</v>
      </c>
      <c r="R153" s="7">
        <f>IF($H153&gt;K153,MIN($H153-K153,L153-K153)*INDEX('2018_commission_structure'!$A$11:$I$14,MATCH(Calculations!$E153,'2018_commission_structure'!$A$11:$A$14,0), MATCH(Calculations!R$1,'2018_commission_structure'!$A$11:$I$11,0)),0)</f>
        <v>0</v>
      </c>
      <c r="S153" s="7">
        <f>IF(H153&gt;L153,(H153-L153)*INDEX('2018_commission_structure'!$A$11:$I$14,MATCH(Calculations!$E153,'2018_commission_structure'!$A$11:$A$14,0),MATCH(Calculations!S$1,'2018_commission_structure'!$A$11:$I$11,0)),0)</f>
        <v>0</v>
      </c>
      <c r="T153" s="7">
        <f t="shared" si="23"/>
        <v>75579.149999999994</v>
      </c>
      <c r="U153" s="7">
        <f t="shared" si="24"/>
        <v>161195.15</v>
      </c>
      <c r="V153" s="7">
        <f>MIN(H153,I153)*INDEX('2018_commission_structure'!$A$5:$J$8,MATCH(Calculations!$E153,'2018_commission_structure'!$A$5:$A$8,0),MATCH(Calculations!V$1,'2018_commission_structure'!$A$5:$J$5,0))</f>
        <v>75579.149999999994</v>
      </c>
      <c r="W153" s="2">
        <f>IF($H153&gt;I153,MIN($H153-I153,J153-I153)*INDEX('2018_commission_structure'!$A$5:$J$8,MATCH(Calculations!$E153,'2018_commission_structure'!$A$5:$A$8,0),MATCH(Calculations!W$1,'2018_commission_structure'!$A$5:$J$5,0)),0)</f>
        <v>0</v>
      </c>
      <c r="X153" s="2">
        <f>IF($H153&gt;J153,MIN($H153-J153,K153-J153)*INDEX('2018_commission_structure'!$A$5:$J$8,MATCH(Calculations!$E153,'2018_commission_structure'!$A$5:$A$8,0),MATCH(Calculations!X$1,'2018_commission_structure'!$A$5:$J$5,0)),0)</f>
        <v>0</v>
      </c>
      <c r="Y153" s="2">
        <f>IF($H153&gt;K153,MIN($H153-K153,L153-K153)*INDEX('2018_commission_structure'!$A$5:$J$8,MATCH(Calculations!$E153,'2018_commission_structure'!$A$5:$A$8,0),MATCH(Calculations!Y$1,'2018_commission_structure'!$A$5:$J$5,0)),0)</f>
        <v>0</v>
      </c>
      <c r="Z153" s="2">
        <f xml:space="preserve"> IF(H153&gt;L153,(H153-L153)*INDEX('2018_commission_structure'!$A$11:$I$14,MATCH(Calculations!$E153,'2018_commission_structure'!$A$11:$A$14,0),MATCH(Calculations!Z$1,'2018_commission_structure'!$A$11:$I$11,0)),0)</f>
        <v>0</v>
      </c>
      <c r="AA153" s="7">
        <f t="shared" si="25"/>
        <v>75579.149999999994</v>
      </c>
      <c r="AB153" s="7">
        <f t="shared" si="26"/>
        <v>161195.15</v>
      </c>
    </row>
    <row r="154" spans="1:28" x14ac:dyDescent="0.25">
      <c r="A154">
        <v>8858733592</v>
      </c>
      <c r="B154" t="s">
        <v>105</v>
      </c>
      <c r="C154" t="s">
        <v>106</v>
      </c>
      <c r="D154" t="str">
        <f>B154&amp;" "&amp;C154</f>
        <v>Ashli Clynter</v>
      </c>
      <c r="E154" t="s">
        <v>29</v>
      </c>
      <c r="F154">
        <v>66730</v>
      </c>
      <c r="G154">
        <f>COUNTIF(deals_closed!D:D,Calculations!A154)</f>
        <v>21</v>
      </c>
      <c r="H154" s="2">
        <f>SUMIF(deals_closed!D:D,Calculations!A154,deals_closed!C:C)</f>
        <v>723173</v>
      </c>
      <c r="I154" s="2">
        <f>VLOOKUP(E154,'2018_commission_structure'!$A$11:$I$14,9,FALSE)</f>
        <v>600000</v>
      </c>
      <c r="J154" s="2">
        <f t="shared" si="18"/>
        <v>750000</v>
      </c>
      <c r="K154" s="2">
        <f t="shared" si="19"/>
        <v>900000</v>
      </c>
      <c r="L154" s="2">
        <f t="shared" si="20"/>
        <v>1200000</v>
      </c>
      <c r="M154" s="6">
        <f t="shared" si="21"/>
        <v>1.2052883333333333</v>
      </c>
      <c r="N154" t="str">
        <f t="shared" si="22"/>
        <v>100-125%</v>
      </c>
      <c r="O154" s="7">
        <f>MIN(I154,H154)*INDEX('2018_commission_structure'!$A$11:$I$14,MATCH(Calculations!$E154,'2018_commission_structure'!$A$11:$A$14,0),MATCH(Calculations!O$1,'2018_commission_structure'!$A$11:$I$11,0))</f>
        <v>78000</v>
      </c>
      <c r="P154" s="7">
        <f>IF($H154&gt;I154,MIN($H154-I154,J154-I154)*INDEX('2018_commission_structure'!$A$11:$I$14,MATCH(Calculations!$E154,'2018_commission_structure'!$A$11:$A$14,0), MATCH(Calculations!P$1,'2018_commission_structure'!$A$11:$I$11,0)),0)</f>
        <v>20939.41</v>
      </c>
      <c r="Q154" s="7">
        <f>IF($H154&gt;J154,MIN($H154-J154,K154-J154)*INDEX('2018_commission_structure'!$A$11:$I$14,MATCH(Calculations!$E154,'2018_commission_structure'!$A$11:$A$14,0), MATCH(Calculations!Q$1,'2018_commission_structure'!$A$11:$I$11,0)),0)</f>
        <v>0</v>
      </c>
      <c r="R154" s="7">
        <f>IF($H154&gt;K154,MIN($H154-K154,L154-K154)*INDEX('2018_commission_structure'!$A$11:$I$14,MATCH(Calculations!$E154,'2018_commission_structure'!$A$11:$A$14,0), MATCH(Calculations!R$1,'2018_commission_structure'!$A$11:$I$11,0)),0)</f>
        <v>0</v>
      </c>
      <c r="S154" s="7">
        <f>IF(H154&gt;L154,(H154-L154)*INDEX('2018_commission_structure'!$A$11:$I$14,MATCH(Calculations!$E154,'2018_commission_structure'!$A$11:$A$14,0),MATCH(Calculations!S$1,'2018_commission_structure'!$A$11:$I$11,0)),0)</f>
        <v>0</v>
      </c>
      <c r="T154" s="7">
        <f t="shared" si="23"/>
        <v>98939.41</v>
      </c>
      <c r="U154" s="7">
        <f t="shared" si="24"/>
        <v>165669.41</v>
      </c>
      <c r="V154" s="7">
        <f>MIN(H154,I154)*INDEX('2018_commission_structure'!$A$5:$J$8,MATCH(Calculations!$E154,'2018_commission_structure'!$A$5:$A$8,0),MATCH(Calculations!V$1,'2018_commission_structure'!$A$5:$J$5,0))</f>
        <v>90000</v>
      </c>
      <c r="W154" s="2">
        <f>IF($H154&gt;I154,MIN($H154-I154,J154-I154)*INDEX('2018_commission_structure'!$A$5:$J$8,MATCH(Calculations!$E154,'2018_commission_structure'!$A$5:$A$8,0),MATCH(Calculations!W$1,'2018_commission_structure'!$A$5:$J$5,0)),0)</f>
        <v>22171.14</v>
      </c>
      <c r="X154" s="2">
        <f>IF($H154&gt;J154,MIN($H154-J154,K154-J154)*INDEX('2018_commission_structure'!$A$5:$J$8,MATCH(Calculations!$E154,'2018_commission_structure'!$A$5:$A$8,0),MATCH(Calculations!X$1,'2018_commission_structure'!$A$5:$J$5,0)),0)</f>
        <v>0</v>
      </c>
      <c r="Y154" s="2">
        <f>IF($H154&gt;K154,MIN($H154-K154,L154-K154)*INDEX('2018_commission_structure'!$A$5:$J$8,MATCH(Calculations!$E154,'2018_commission_structure'!$A$5:$A$8,0),MATCH(Calculations!Y$1,'2018_commission_structure'!$A$5:$J$5,0)),0)</f>
        <v>0</v>
      </c>
      <c r="Z154" s="2">
        <f xml:space="preserve"> IF(H154&gt;L154,(H154-L154)*INDEX('2018_commission_structure'!$A$11:$I$14,MATCH(Calculations!$E154,'2018_commission_structure'!$A$11:$A$14,0),MATCH(Calculations!Z$1,'2018_commission_structure'!$A$11:$I$11,0)),0)</f>
        <v>0</v>
      </c>
      <c r="AA154" s="7">
        <f t="shared" si="25"/>
        <v>112171.14</v>
      </c>
      <c r="AB154" s="7">
        <f t="shared" si="26"/>
        <v>178901.14</v>
      </c>
    </row>
    <row r="155" spans="1:28" x14ac:dyDescent="0.25">
      <c r="A155">
        <v>8223052873</v>
      </c>
      <c r="B155" t="s">
        <v>531</v>
      </c>
      <c r="C155" t="s">
        <v>532</v>
      </c>
      <c r="D155" t="str">
        <f>B155&amp;" "&amp;C155</f>
        <v>Zack Codlin</v>
      </c>
      <c r="E155" t="s">
        <v>29</v>
      </c>
      <c r="F155">
        <v>55779</v>
      </c>
      <c r="G155">
        <f>COUNTIF(deals_closed!D:D,Calculations!A155)</f>
        <v>21</v>
      </c>
      <c r="H155" s="2">
        <f>SUMIF(deals_closed!D:D,Calculations!A155,deals_closed!C:C)</f>
        <v>823572</v>
      </c>
      <c r="I155" s="2">
        <f>VLOOKUP(E155,'2018_commission_structure'!$A$11:$I$14,9,FALSE)</f>
        <v>600000</v>
      </c>
      <c r="J155" s="2">
        <f t="shared" si="18"/>
        <v>750000</v>
      </c>
      <c r="K155" s="2">
        <f t="shared" si="19"/>
        <v>900000</v>
      </c>
      <c r="L155" s="2">
        <f t="shared" si="20"/>
        <v>1200000</v>
      </c>
      <c r="M155" s="6">
        <f t="shared" si="21"/>
        <v>1.37262</v>
      </c>
      <c r="N155" t="str">
        <f t="shared" si="22"/>
        <v>125-150%</v>
      </c>
      <c r="O155" s="7">
        <f>MIN(I155,H155)*INDEX('2018_commission_structure'!$A$11:$I$14,MATCH(Calculations!$E155,'2018_commission_structure'!$A$11:$A$14,0),MATCH(Calculations!O$1,'2018_commission_structure'!$A$11:$I$11,0))</f>
        <v>78000</v>
      </c>
      <c r="P155" s="7">
        <f>IF($H155&gt;I155,MIN($H155-I155,J155-I155)*INDEX('2018_commission_structure'!$A$11:$I$14,MATCH(Calculations!$E155,'2018_commission_structure'!$A$11:$A$14,0), MATCH(Calculations!P$1,'2018_commission_structure'!$A$11:$I$11,0)),0)</f>
        <v>25500.000000000004</v>
      </c>
      <c r="Q155" s="7">
        <f>IF($H155&gt;J155,MIN($H155-J155,K155-J155)*INDEX('2018_commission_structure'!$A$11:$I$14,MATCH(Calculations!$E155,'2018_commission_structure'!$A$11:$A$14,0), MATCH(Calculations!Q$1,'2018_commission_structure'!$A$11:$I$11,0)),0)</f>
        <v>15450.119999999999</v>
      </c>
      <c r="R155" s="7">
        <f>IF($H155&gt;K155,MIN($H155-K155,L155-K155)*INDEX('2018_commission_structure'!$A$11:$I$14,MATCH(Calculations!$E155,'2018_commission_structure'!$A$11:$A$14,0), MATCH(Calculations!R$1,'2018_commission_structure'!$A$11:$I$11,0)),0)</f>
        <v>0</v>
      </c>
      <c r="S155" s="7">
        <f>IF(H155&gt;L155,(H155-L155)*INDEX('2018_commission_structure'!$A$11:$I$14,MATCH(Calculations!$E155,'2018_commission_structure'!$A$11:$A$14,0),MATCH(Calculations!S$1,'2018_commission_structure'!$A$11:$I$11,0)),0)</f>
        <v>0</v>
      </c>
      <c r="T155" s="7">
        <f t="shared" si="23"/>
        <v>118950.12</v>
      </c>
      <c r="U155" s="7">
        <f t="shared" si="24"/>
        <v>174729.12</v>
      </c>
      <c r="V155" s="7">
        <f>MIN(H155,I155)*INDEX('2018_commission_structure'!$A$5:$J$8,MATCH(Calculations!$E155,'2018_commission_structure'!$A$5:$A$8,0),MATCH(Calculations!V$1,'2018_commission_structure'!$A$5:$J$5,0))</f>
        <v>90000</v>
      </c>
      <c r="W155" s="2">
        <f>IF($H155&gt;I155,MIN($H155-I155,J155-I155)*INDEX('2018_commission_structure'!$A$5:$J$8,MATCH(Calculations!$E155,'2018_commission_structure'!$A$5:$A$8,0),MATCH(Calculations!W$1,'2018_commission_structure'!$A$5:$J$5,0)),0)</f>
        <v>27000</v>
      </c>
      <c r="X155" s="2">
        <f>IF($H155&gt;J155,MIN($H155-J155,K155-J155)*INDEX('2018_commission_structure'!$A$5:$J$8,MATCH(Calculations!$E155,'2018_commission_structure'!$A$5:$A$8,0),MATCH(Calculations!X$1,'2018_commission_structure'!$A$5:$J$5,0)),0)</f>
        <v>18393</v>
      </c>
      <c r="Y155" s="2">
        <f>IF($H155&gt;K155,MIN($H155-K155,L155-K155)*INDEX('2018_commission_structure'!$A$5:$J$8,MATCH(Calculations!$E155,'2018_commission_structure'!$A$5:$A$8,0),MATCH(Calculations!Y$1,'2018_commission_structure'!$A$5:$J$5,0)),0)</f>
        <v>0</v>
      </c>
      <c r="Z155" s="2">
        <f xml:space="preserve"> IF(H155&gt;L155,(H155-L155)*INDEX('2018_commission_structure'!$A$11:$I$14,MATCH(Calculations!$E155,'2018_commission_structure'!$A$11:$A$14,0),MATCH(Calculations!Z$1,'2018_commission_structure'!$A$11:$I$11,0)),0)</f>
        <v>0</v>
      </c>
      <c r="AA155" s="7">
        <f t="shared" si="25"/>
        <v>135393</v>
      </c>
      <c r="AB155" s="7">
        <f t="shared" si="26"/>
        <v>191172</v>
      </c>
    </row>
    <row r="156" spans="1:28" x14ac:dyDescent="0.25">
      <c r="A156">
        <v>4578004252</v>
      </c>
      <c r="B156" t="s">
        <v>1211</v>
      </c>
      <c r="C156" t="s">
        <v>1212</v>
      </c>
      <c r="D156" t="str">
        <f>B156&amp;" "&amp;C156</f>
        <v>Pietro Coenraets</v>
      </c>
      <c r="E156" t="s">
        <v>10</v>
      </c>
      <c r="F156">
        <v>114463</v>
      </c>
      <c r="G156">
        <f>COUNTIF(deals_closed!D:D,Calculations!A156)</f>
        <v>24</v>
      </c>
      <c r="H156" s="2">
        <f>SUMIF(deals_closed!D:D,Calculations!A156,deals_closed!C:C)</f>
        <v>819368</v>
      </c>
      <c r="I156" s="2">
        <f>VLOOKUP(E156,'2018_commission_structure'!$A$11:$I$14,9,FALSE)</f>
        <v>750000</v>
      </c>
      <c r="J156" s="2">
        <f t="shared" si="18"/>
        <v>937500</v>
      </c>
      <c r="K156" s="2">
        <f t="shared" si="19"/>
        <v>1125000</v>
      </c>
      <c r="L156" s="2">
        <f t="shared" si="20"/>
        <v>1500000</v>
      </c>
      <c r="M156" s="6">
        <f t="shared" si="21"/>
        <v>1.0924906666666667</v>
      </c>
      <c r="N156" t="str">
        <f t="shared" si="22"/>
        <v>100-125%</v>
      </c>
      <c r="O156" s="7">
        <f>MIN(I156,H156)*INDEX('2018_commission_structure'!$A$11:$I$14,MATCH(Calculations!$E156,'2018_commission_structure'!$A$11:$A$14,0),MATCH(Calculations!O$1,'2018_commission_structure'!$A$11:$I$11,0))</f>
        <v>112500</v>
      </c>
      <c r="P156" s="7">
        <f>IF($H156&gt;I156,MIN($H156-I156,J156-I156)*INDEX('2018_commission_structure'!$A$11:$I$14,MATCH(Calculations!$E156,'2018_commission_structure'!$A$11:$A$14,0), MATCH(Calculations!P$1,'2018_commission_structure'!$A$11:$I$11,0)),0)</f>
        <v>13179.92</v>
      </c>
      <c r="Q156" s="7">
        <f>IF($H156&gt;J156,MIN($H156-J156,K156-J156)*INDEX('2018_commission_structure'!$A$11:$I$14,MATCH(Calculations!$E156,'2018_commission_structure'!$A$11:$A$14,0), MATCH(Calculations!Q$1,'2018_commission_structure'!$A$11:$I$11,0)),0)</f>
        <v>0</v>
      </c>
      <c r="R156" s="7">
        <f>IF($H156&gt;K156,MIN($H156-K156,L156-K156)*INDEX('2018_commission_structure'!$A$11:$I$14,MATCH(Calculations!$E156,'2018_commission_structure'!$A$11:$A$14,0), MATCH(Calculations!R$1,'2018_commission_structure'!$A$11:$I$11,0)),0)</f>
        <v>0</v>
      </c>
      <c r="S156" s="7">
        <f>IF(H156&gt;L156,(H156-L156)*INDEX('2018_commission_structure'!$A$11:$I$14,MATCH(Calculations!$E156,'2018_commission_structure'!$A$11:$A$14,0),MATCH(Calculations!S$1,'2018_commission_structure'!$A$11:$I$11,0)),0)</f>
        <v>0</v>
      </c>
      <c r="T156" s="7">
        <f t="shared" si="23"/>
        <v>125679.92</v>
      </c>
      <c r="U156" s="7">
        <f t="shared" si="24"/>
        <v>240142.91999999998</v>
      </c>
      <c r="V156" s="7">
        <f>MIN(H156,I156)*INDEX('2018_commission_structure'!$A$5:$J$8,MATCH(Calculations!$E156,'2018_commission_structure'!$A$5:$A$8,0),MATCH(Calculations!V$1,'2018_commission_structure'!$A$5:$J$5,0))</f>
        <v>112500</v>
      </c>
      <c r="W156" s="2">
        <f>IF($H156&gt;I156,MIN($H156-I156,J156-I156)*INDEX('2018_commission_structure'!$A$5:$J$8,MATCH(Calculations!$E156,'2018_commission_structure'!$A$5:$A$8,0),MATCH(Calculations!W$1,'2018_commission_structure'!$A$5:$J$5,0)),0)</f>
        <v>15260.960000000001</v>
      </c>
      <c r="X156" s="2">
        <f>IF($H156&gt;J156,MIN($H156-J156,K156-J156)*INDEX('2018_commission_structure'!$A$5:$J$8,MATCH(Calculations!$E156,'2018_commission_structure'!$A$5:$A$8,0),MATCH(Calculations!X$1,'2018_commission_structure'!$A$5:$J$5,0)),0)</f>
        <v>0</v>
      </c>
      <c r="Y156" s="2">
        <f>IF($H156&gt;K156,MIN($H156-K156,L156-K156)*INDEX('2018_commission_structure'!$A$5:$J$8,MATCH(Calculations!$E156,'2018_commission_structure'!$A$5:$A$8,0),MATCH(Calculations!Y$1,'2018_commission_structure'!$A$5:$J$5,0)),0)</f>
        <v>0</v>
      </c>
      <c r="Z156" s="2">
        <f xml:space="preserve"> IF(H156&gt;L156,(H156-L156)*INDEX('2018_commission_structure'!$A$11:$I$14,MATCH(Calculations!$E156,'2018_commission_structure'!$A$11:$A$14,0),MATCH(Calculations!Z$1,'2018_commission_structure'!$A$11:$I$11,0)),0)</f>
        <v>0</v>
      </c>
      <c r="AA156" s="7">
        <f t="shared" si="25"/>
        <v>127760.96000000001</v>
      </c>
      <c r="AB156" s="7">
        <f t="shared" si="26"/>
        <v>242223.96000000002</v>
      </c>
    </row>
    <row r="157" spans="1:28" x14ac:dyDescent="0.25">
      <c r="A157">
        <v>264454596</v>
      </c>
      <c r="B157" t="s">
        <v>824</v>
      </c>
      <c r="C157" t="s">
        <v>1186</v>
      </c>
      <c r="D157" t="str">
        <f>B157&amp;" "&amp;C157</f>
        <v>Gayelord Coffin</v>
      </c>
      <c r="E157" t="s">
        <v>10</v>
      </c>
      <c r="F157">
        <v>83815</v>
      </c>
      <c r="G157">
        <f>COUNTIF(deals_closed!D:D,Calculations!A157)</f>
        <v>19</v>
      </c>
      <c r="H157" s="2">
        <f>SUMIF(deals_closed!D:D,Calculations!A157,deals_closed!C:C)</f>
        <v>739687</v>
      </c>
      <c r="I157" s="2">
        <f>VLOOKUP(E157,'2018_commission_structure'!$A$11:$I$14,9,FALSE)</f>
        <v>750000</v>
      </c>
      <c r="J157" s="2">
        <f t="shared" si="18"/>
        <v>937500</v>
      </c>
      <c r="K157" s="2">
        <f t="shared" si="19"/>
        <v>1125000</v>
      </c>
      <c r="L157" s="2">
        <f t="shared" si="20"/>
        <v>1500000</v>
      </c>
      <c r="M157" s="6">
        <f t="shared" si="21"/>
        <v>0.98624933333333331</v>
      </c>
      <c r="N157" t="str">
        <f t="shared" si="22"/>
        <v>0-100%</v>
      </c>
      <c r="O157" s="7">
        <f>MIN(I157,H157)*INDEX('2018_commission_structure'!$A$11:$I$14,MATCH(Calculations!$E157,'2018_commission_structure'!$A$11:$A$14,0),MATCH(Calculations!O$1,'2018_commission_structure'!$A$11:$I$11,0))</f>
        <v>110953.05</v>
      </c>
      <c r="P157" s="7">
        <f>IF($H157&gt;I157,MIN($H157-I157,J157-I157)*INDEX('2018_commission_structure'!$A$11:$I$14,MATCH(Calculations!$E157,'2018_commission_structure'!$A$11:$A$14,0), MATCH(Calculations!P$1,'2018_commission_structure'!$A$11:$I$11,0)),0)</f>
        <v>0</v>
      </c>
      <c r="Q157" s="7">
        <f>IF($H157&gt;J157,MIN($H157-J157,K157-J157)*INDEX('2018_commission_structure'!$A$11:$I$14,MATCH(Calculations!$E157,'2018_commission_structure'!$A$11:$A$14,0), MATCH(Calculations!Q$1,'2018_commission_structure'!$A$11:$I$11,0)),0)</f>
        <v>0</v>
      </c>
      <c r="R157" s="7">
        <f>IF($H157&gt;K157,MIN($H157-K157,L157-K157)*INDEX('2018_commission_structure'!$A$11:$I$14,MATCH(Calculations!$E157,'2018_commission_structure'!$A$11:$A$14,0), MATCH(Calculations!R$1,'2018_commission_structure'!$A$11:$I$11,0)),0)</f>
        <v>0</v>
      </c>
      <c r="S157" s="7">
        <f>IF(H157&gt;L157,(H157-L157)*INDEX('2018_commission_structure'!$A$11:$I$14,MATCH(Calculations!$E157,'2018_commission_structure'!$A$11:$A$14,0),MATCH(Calculations!S$1,'2018_commission_structure'!$A$11:$I$11,0)),0)</f>
        <v>0</v>
      </c>
      <c r="T157" s="7">
        <f t="shared" si="23"/>
        <v>110953.05</v>
      </c>
      <c r="U157" s="7">
        <f t="shared" si="24"/>
        <v>194768.05</v>
      </c>
      <c r="V157" s="7">
        <f>MIN(H157,I157)*INDEX('2018_commission_structure'!$A$5:$J$8,MATCH(Calculations!$E157,'2018_commission_structure'!$A$5:$A$8,0),MATCH(Calculations!V$1,'2018_commission_structure'!$A$5:$J$5,0))</f>
        <v>110953.05</v>
      </c>
      <c r="W157" s="2">
        <f>IF($H157&gt;I157,MIN($H157-I157,J157-I157)*INDEX('2018_commission_structure'!$A$5:$J$8,MATCH(Calculations!$E157,'2018_commission_structure'!$A$5:$A$8,0),MATCH(Calculations!W$1,'2018_commission_structure'!$A$5:$J$5,0)),0)</f>
        <v>0</v>
      </c>
      <c r="X157" s="2">
        <f>IF($H157&gt;J157,MIN($H157-J157,K157-J157)*INDEX('2018_commission_structure'!$A$5:$J$8,MATCH(Calculations!$E157,'2018_commission_structure'!$A$5:$A$8,0),MATCH(Calculations!X$1,'2018_commission_structure'!$A$5:$J$5,0)),0)</f>
        <v>0</v>
      </c>
      <c r="Y157" s="2">
        <f>IF($H157&gt;K157,MIN($H157-K157,L157-K157)*INDEX('2018_commission_structure'!$A$5:$J$8,MATCH(Calculations!$E157,'2018_commission_structure'!$A$5:$A$8,0),MATCH(Calculations!Y$1,'2018_commission_structure'!$A$5:$J$5,0)),0)</f>
        <v>0</v>
      </c>
      <c r="Z157" s="2">
        <f xml:space="preserve"> IF(H157&gt;L157,(H157-L157)*INDEX('2018_commission_structure'!$A$11:$I$14,MATCH(Calculations!$E157,'2018_commission_structure'!$A$11:$A$14,0),MATCH(Calculations!Z$1,'2018_commission_structure'!$A$11:$I$11,0)),0)</f>
        <v>0</v>
      </c>
      <c r="AA157" s="7">
        <f t="shared" si="25"/>
        <v>110953.05</v>
      </c>
      <c r="AB157" s="7">
        <f t="shared" si="26"/>
        <v>194768.05</v>
      </c>
    </row>
    <row r="158" spans="1:28" x14ac:dyDescent="0.25">
      <c r="A158">
        <v>2138131904</v>
      </c>
      <c r="B158" t="s">
        <v>1215</v>
      </c>
      <c r="C158" t="s">
        <v>1216</v>
      </c>
      <c r="D158" t="str">
        <f>B158&amp;" "&amp;C158</f>
        <v>Curry Coiley</v>
      </c>
      <c r="E158" t="s">
        <v>29</v>
      </c>
      <c r="F158">
        <v>56095</v>
      </c>
      <c r="G158">
        <f>COUNTIF(deals_closed!D:D,Calculations!A158)</f>
        <v>25</v>
      </c>
      <c r="H158" s="2">
        <f>SUMIF(deals_closed!D:D,Calculations!A158,deals_closed!C:C)</f>
        <v>739115</v>
      </c>
      <c r="I158" s="2">
        <f>VLOOKUP(E158,'2018_commission_structure'!$A$11:$I$14,9,FALSE)</f>
        <v>600000</v>
      </c>
      <c r="J158" s="2">
        <f t="shared" si="18"/>
        <v>750000</v>
      </c>
      <c r="K158" s="2">
        <f t="shared" si="19"/>
        <v>900000</v>
      </c>
      <c r="L158" s="2">
        <f t="shared" si="20"/>
        <v>1200000</v>
      </c>
      <c r="M158" s="6">
        <f t="shared" si="21"/>
        <v>1.2318583333333333</v>
      </c>
      <c r="N158" t="str">
        <f t="shared" si="22"/>
        <v>100-125%</v>
      </c>
      <c r="O158" s="7">
        <f>MIN(I158,H158)*INDEX('2018_commission_structure'!$A$11:$I$14,MATCH(Calculations!$E158,'2018_commission_structure'!$A$11:$A$14,0),MATCH(Calculations!O$1,'2018_commission_structure'!$A$11:$I$11,0))</f>
        <v>78000</v>
      </c>
      <c r="P158" s="7">
        <f>IF($H158&gt;I158,MIN($H158-I158,J158-I158)*INDEX('2018_commission_structure'!$A$11:$I$14,MATCH(Calculations!$E158,'2018_commission_structure'!$A$11:$A$14,0), MATCH(Calculations!P$1,'2018_commission_structure'!$A$11:$I$11,0)),0)</f>
        <v>23649.550000000003</v>
      </c>
      <c r="Q158" s="7">
        <f>IF($H158&gt;J158,MIN($H158-J158,K158-J158)*INDEX('2018_commission_structure'!$A$11:$I$14,MATCH(Calculations!$E158,'2018_commission_structure'!$A$11:$A$14,0), MATCH(Calculations!Q$1,'2018_commission_structure'!$A$11:$I$11,0)),0)</f>
        <v>0</v>
      </c>
      <c r="R158" s="7">
        <f>IF($H158&gt;K158,MIN($H158-K158,L158-K158)*INDEX('2018_commission_structure'!$A$11:$I$14,MATCH(Calculations!$E158,'2018_commission_structure'!$A$11:$A$14,0), MATCH(Calculations!R$1,'2018_commission_structure'!$A$11:$I$11,0)),0)</f>
        <v>0</v>
      </c>
      <c r="S158" s="7">
        <f>IF(H158&gt;L158,(H158-L158)*INDEX('2018_commission_structure'!$A$11:$I$14,MATCH(Calculations!$E158,'2018_commission_structure'!$A$11:$A$14,0),MATCH(Calculations!S$1,'2018_commission_structure'!$A$11:$I$11,0)),0)</f>
        <v>0</v>
      </c>
      <c r="T158" s="7">
        <f t="shared" si="23"/>
        <v>101649.55</v>
      </c>
      <c r="U158" s="7">
        <f t="shared" si="24"/>
        <v>157744.54999999999</v>
      </c>
      <c r="V158" s="7">
        <f>MIN(H158,I158)*INDEX('2018_commission_structure'!$A$5:$J$8,MATCH(Calculations!$E158,'2018_commission_structure'!$A$5:$A$8,0),MATCH(Calculations!V$1,'2018_commission_structure'!$A$5:$J$5,0))</f>
        <v>90000</v>
      </c>
      <c r="W158" s="2">
        <f>IF($H158&gt;I158,MIN($H158-I158,J158-I158)*INDEX('2018_commission_structure'!$A$5:$J$8,MATCH(Calculations!$E158,'2018_commission_structure'!$A$5:$A$8,0),MATCH(Calculations!W$1,'2018_commission_structure'!$A$5:$J$5,0)),0)</f>
        <v>25040.7</v>
      </c>
      <c r="X158" s="2">
        <f>IF($H158&gt;J158,MIN($H158-J158,K158-J158)*INDEX('2018_commission_structure'!$A$5:$J$8,MATCH(Calculations!$E158,'2018_commission_structure'!$A$5:$A$8,0),MATCH(Calculations!X$1,'2018_commission_structure'!$A$5:$J$5,0)),0)</f>
        <v>0</v>
      </c>
      <c r="Y158" s="2">
        <f>IF($H158&gt;K158,MIN($H158-K158,L158-K158)*INDEX('2018_commission_structure'!$A$5:$J$8,MATCH(Calculations!$E158,'2018_commission_structure'!$A$5:$A$8,0),MATCH(Calculations!Y$1,'2018_commission_structure'!$A$5:$J$5,0)),0)</f>
        <v>0</v>
      </c>
      <c r="Z158" s="2">
        <f xml:space="preserve"> IF(H158&gt;L158,(H158-L158)*INDEX('2018_commission_structure'!$A$11:$I$14,MATCH(Calculations!$E158,'2018_commission_structure'!$A$11:$A$14,0),MATCH(Calculations!Z$1,'2018_commission_structure'!$A$11:$I$11,0)),0)</f>
        <v>0</v>
      </c>
      <c r="AA158" s="7">
        <f t="shared" si="25"/>
        <v>115040.7</v>
      </c>
      <c r="AB158" s="7">
        <f t="shared" si="26"/>
        <v>171135.7</v>
      </c>
    </row>
    <row r="159" spans="1:28" x14ac:dyDescent="0.25">
      <c r="A159">
        <v>1990334539</v>
      </c>
      <c r="B159" t="s">
        <v>1171</v>
      </c>
      <c r="C159" t="s">
        <v>1172</v>
      </c>
      <c r="D159" t="str">
        <f>B159&amp;" "&amp;C159</f>
        <v>Florri Coldbath</v>
      </c>
      <c r="E159" t="s">
        <v>10</v>
      </c>
      <c r="F159">
        <v>122180</v>
      </c>
      <c r="G159">
        <f>COUNTIF(deals_closed!D:D,Calculations!A159)</f>
        <v>25</v>
      </c>
      <c r="H159" s="2">
        <f>SUMIF(deals_closed!D:D,Calculations!A159,deals_closed!C:C)</f>
        <v>833615</v>
      </c>
      <c r="I159" s="2">
        <f>VLOOKUP(E159,'2018_commission_structure'!$A$11:$I$14,9,FALSE)</f>
        <v>750000</v>
      </c>
      <c r="J159" s="2">
        <f t="shared" si="18"/>
        <v>937500</v>
      </c>
      <c r="K159" s="2">
        <f t="shared" si="19"/>
        <v>1125000</v>
      </c>
      <c r="L159" s="2">
        <f t="shared" si="20"/>
        <v>1500000</v>
      </c>
      <c r="M159" s="6">
        <f t="shared" si="21"/>
        <v>1.1114866666666667</v>
      </c>
      <c r="N159" t="str">
        <f t="shared" si="22"/>
        <v>100-125%</v>
      </c>
      <c r="O159" s="7">
        <f>MIN(I159,H159)*INDEX('2018_commission_structure'!$A$11:$I$14,MATCH(Calculations!$E159,'2018_commission_structure'!$A$11:$A$14,0),MATCH(Calculations!O$1,'2018_commission_structure'!$A$11:$I$11,0))</f>
        <v>112500</v>
      </c>
      <c r="P159" s="7">
        <f>IF($H159&gt;I159,MIN($H159-I159,J159-I159)*INDEX('2018_commission_structure'!$A$11:$I$14,MATCH(Calculations!$E159,'2018_commission_structure'!$A$11:$A$14,0), MATCH(Calculations!P$1,'2018_commission_structure'!$A$11:$I$11,0)),0)</f>
        <v>15886.85</v>
      </c>
      <c r="Q159" s="7">
        <f>IF($H159&gt;J159,MIN($H159-J159,K159-J159)*INDEX('2018_commission_structure'!$A$11:$I$14,MATCH(Calculations!$E159,'2018_commission_structure'!$A$11:$A$14,0), MATCH(Calculations!Q$1,'2018_commission_structure'!$A$11:$I$11,0)),0)</f>
        <v>0</v>
      </c>
      <c r="R159" s="7">
        <f>IF($H159&gt;K159,MIN($H159-K159,L159-K159)*INDEX('2018_commission_structure'!$A$11:$I$14,MATCH(Calculations!$E159,'2018_commission_structure'!$A$11:$A$14,0), MATCH(Calculations!R$1,'2018_commission_structure'!$A$11:$I$11,0)),0)</f>
        <v>0</v>
      </c>
      <c r="S159" s="7">
        <f>IF(H159&gt;L159,(H159-L159)*INDEX('2018_commission_structure'!$A$11:$I$14,MATCH(Calculations!$E159,'2018_commission_structure'!$A$11:$A$14,0),MATCH(Calculations!S$1,'2018_commission_structure'!$A$11:$I$11,0)),0)</f>
        <v>0</v>
      </c>
      <c r="T159" s="7">
        <f t="shared" si="23"/>
        <v>128386.85</v>
      </c>
      <c r="U159" s="7">
        <f t="shared" si="24"/>
        <v>250566.85</v>
      </c>
      <c r="V159" s="7">
        <f>MIN(H159,I159)*INDEX('2018_commission_structure'!$A$5:$J$8,MATCH(Calculations!$E159,'2018_commission_structure'!$A$5:$A$8,0),MATCH(Calculations!V$1,'2018_commission_structure'!$A$5:$J$5,0))</f>
        <v>112500</v>
      </c>
      <c r="W159" s="2">
        <f>IF($H159&gt;I159,MIN($H159-I159,J159-I159)*INDEX('2018_commission_structure'!$A$5:$J$8,MATCH(Calculations!$E159,'2018_commission_structure'!$A$5:$A$8,0),MATCH(Calculations!W$1,'2018_commission_structure'!$A$5:$J$5,0)),0)</f>
        <v>18395.3</v>
      </c>
      <c r="X159" s="2">
        <f>IF($H159&gt;J159,MIN($H159-J159,K159-J159)*INDEX('2018_commission_structure'!$A$5:$J$8,MATCH(Calculations!$E159,'2018_commission_structure'!$A$5:$A$8,0),MATCH(Calculations!X$1,'2018_commission_structure'!$A$5:$J$5,0)),0)</f>
        <v>0</v>
      </c>
      <c r="Y159" s="2">
        <f>IF($H159&gt;K159,MIN($H159-K159,L159-K159)*INDEX('2018_commission_structure'!$A$5:$J$8,MATCH(Calculations!$E159,'2018_commission_structure'!$A$5:$A$8,0),MATCH(Calculations!Y$1,'2018_commission_structure'!$A$5:$J$5,0)),0)</f>
        <v>0</v>
      </c>
      <c r="Z159" s="2">
        <f xml:space="preserve"> IF(H159&gt;L159,(H159-L159)*INDEX('2018_commission_structure'!$A$11:$I$14,MATCH(Calculations!$E159,'2018_commission_structure'!$A$11:$A$14,0),MATCH(Calculations!Z$1,'2018_commission_structure'!$A$11:$I$11,0)),0)</f>
        <v>0</v>
      </c>
      <c r="AA159" s="7">
        <f t="shared" si="25"/>
        <v>130895.3</v>
      </c>
      <c r="AB159" s="7">
        <f t="shared" si="26"/>
        <v>253075.3</v>
      </c>
    </row>
    <row r="160" spans="1:28" x14ac:dyDescent="0.25">
      <c r="A160">
        <v>9381484503</v>
      </c>
      <c r="B160" t="s">
        <v>280</v>
      </c>
      <c r="C160" t="s">
        <v>281</v>
      </c>
      <c r="D160" t="str">
        <f>B160&amp;" "&amp;C160</f>
        <v>Titos Collaton</v>
      </c>
      <c r="E160" t="s">
        <v>10</v>
      </c>
      <c r="F160">
        <v>121954</v>
      </c>
      <c r="G160">
        <f>COUNTIF(deals_closed!D:D,Calculations!A160)</f>
        <v>18</v>
      </c>
      <c r="H160" s="2">
        <f>SUMIF(deals_closed!D:D,Calculations!A160,deals_closed!C:C)</f>
        <v>517010</v>
      </c>
      <c r="I160" s="2">
        <f>VLOOKUP(E160,'2018_commission_structure'!$A$11:$I$14,9,FALSE)</f>
        <v>750000</v>
      </c>
      <c r="J160" s="2">
        <f t="shared" si="18"/>
        <v>937500</v>
      </c>
      <c r="K160" s="2">
        <f t="shared" si="19"/>
        <v>1125000</v>
      </c>
      <c r="L160" s="2">
        <f t="shared" si="20"/>
        <v>1500000</v>
      </c>
      <c r="M160" s="6">
        <f t="shared" si="21"/>
        <v>0.68934666666666666</v>
      </c>
      <c r="N160" t="str">
        <f t="shared" si="22"/>
        <v>0-100%</v>
      </c>
      <c r="O160" s="7">
        <f>MIN(I160,H160)*INDEX('2018_commission_structure'!$A$11:$I$14,MATCH(Calculations!$E160,'2018_commission_structure'!$A$11:$A$14,0),MATCH(Calculations!O$1,'2018_commission_structure'!$A$11:$I$11,0))</f>
        <v>77551.5</v>
      </c>
      <c r="P160" s="7">
        <f>IF($H160&gt;I160,MIN($H160-I160,J160-I160)*INDEX('2018_commission_structure'!$A$11:$I$14,MATCH(Calculations!$E160,'2018_commission_structure'!$A$11:$A$14,0), MATCH(Calculations!P$1,'2018_commission_structure'!$A$11:$I$11,0)),0)</f>
        <v>0</v>
      </c>
      <c r="Q160" s="7">
        <f>IF($H160&gt;J160,MIN($H160-J160,K160-J160)*INDEX('2018_commission_structure'!$A$11:$I$14,MATCH(Calculations!$E160,'2018_commission_structure'!$A$11:$A$14,0), MATCH(Calculations!Q$1,'2018_commission_structure'!$A$11:$I$11,0)),0)</f>
        <v>0</v>
      </c>
      <c r="R160" s="7">
        <f>IF($H160&gt;K160,MIN($H160-K160,L160-K160)*INDEX('2018_commission_structure'!$A$11:$I$14,MATCH(Calculations!$E160,'2018_commission_structure'!$A$11:$A$14,0), MATCH(Calculations!R$1,'2018_commission_structure'!$A$11:$I$11,0)),0)</f>
        <v>0</v>
      </c>
      <c r="S160" s="7">
        <f>IF(H160&gt;L160,(H160-L160)*INDEX('2018_commission_structure'!$A$11:$I$14,MATCH(Calculations!$E160,'2018_commission_structure'!$A$11:$A$14,0),MATCH(Calculations!S$1,'2018_commission_structure'!$A$11:$I$11,0)),0)</f>
        <v>0</v>
      </c>
      <c r="T160" s="7">
        <f t="shared" si="23"/>
        <v>77551.5</v>
      </c>
      <c r="U160" s="7">
        <f t="shared" si="24"/>
        <v>199505.5</v>
      </c>
      <c r="V160" s="7">
        <f>MIN(H160,I160)*INDEX('2018_commission_structure'!$A$5:$J$8,MATCH(Calculations!$E160,'2018_commission_structure'!$A$5:$A$8,0),MATCH(Calculations!V$1,'2018_commission_structure'!$A$5:$J$5,0))</f>
        <v>77551.5</v>
      </c>
      <c r="W160" s="2">
        <f>IF($H160&gt;I160,MIN($H160-I160,J160-I160)*INDEX('2018_commission_structure'!$A$5:$J$8,MATCH(Calculations!$E160,'2018_commission_structure'!$A$5:$A$8,0),MATCH(Calculations!W$1,'2018_commission_structure'!$A$5:$J$5,0)),0)</f>
        <v>0</v>
      </c>
      <c r="X160" s="2">
        <f>IF($H160&gt;J160,MIN($H160-J160,K160-J160)*INDEX('2018_commission_structure'!$A$5:$J$8,MATCH(Calculations!$E160,'2018_commission_structure'!$A$5:$A$8,0),MATCH(Calculations!X$1,'2018_commission_structure'!$A$5:$J$5,0)),0)</f>
        <v>0</v>
      </c>
      <c r="Y160" s="2">
        <f>IF($H160&gt;K160,MIN($H160-K160,L160-K160)*INDEX('2018_commission_structure'!$A$5:$J$8,MATCH(Calculations!$E160,'2018_commission_structure'!$A$5:$A$8,0),MATCH(Calculations!Y$1,'2018_commission_structure'!$A$5:$J$5,0)),0)</f>
        <v>0</v>
      </c>
      <c r="Z160" s="2">
        <f xml:space="preserve"> IF(H160&gt;L160,(H160-L160)*INDEX('2018_commission_structure'!$A$11:$I$14,MATCH(Calculations!$E160,'2018_commission_structure'!$A$11:$A$14,0),MATCH(Calculations!Z$1,'2018_commission_structure'!$A$11:$I$11,0)),0)</f>
        <v>0</v>
      </c>
      <c r="AA160" s="7">
        <f t="shared" si="25"/>
        <v>77551.5</v>
      </c>
      <c r="AB160" s="7">
        <f t="shared" si="26"/>
        <v>199505.5</v>
      </c>
    </row>
    <row r="161" spans="1:28" x14ac:dyDescent="0.25">
      <c r="A161">
        <v>1085075834</v>
      </c>
      <c r="B161" t="s">
        <v>200</v>
      </c>
      <c r="C161" t="s">
        <v>201</v>
      </c>
      <c r="D161" t="str">
        <f>B161&amp;" "&amp;C161</f>
        <v>Stanislas Colleer</v>
      </c>
      <c r="E161" t="s">
        <v>29</v>
      </c>
      <c r="F161">
        <v>56213</v>
      </c>
      <c r="G161">
        <f>COUNTIF(deals_closed!D:D,Calculations!A161)</f>
        <v>16</v>
      </c>
      <c r="H161" s="2">
        <f>SUMIF(deals_closed!D:D,Calculations!A161,deals_closed!C:C)</f>
        <v>551017</v>
      </c>
      <c r="I161" s="2">
        <f>VLOOKUP(E161,'2018_commission_structure'!$A$11:$I$14,9,FALSE)</f>
        <v>600000</v>
      </c>
      <c r="J161" s="2">
        <f t="shared" si="18"/>
        <v>750000</v>
      </c>
      <c r="K161" s="2">
        <f t="shared" si="19"/>
        <v>900000</v>
      </c>
      <c r="L161" s="2">
        <f t="shared" si="20"/>
        <v>1200000</v>
      </c>
      <c r="M161" s="6">
        <f t="shared" si="21"/>
        <v>0.91836166666666663</v>
      </c>
      <c r="N161" t="str">
        <f t="shared" si="22"/>
        <v>0-100%</v>
      </c>
      <c r="O161" s="7">
        <f>MIN(I161,H161)*INDEX('2018_commission_structure'!$A$11:$I$14,MATCH(Calculations!$E161,'2018_commission_structure'!$A$11:$A$14,0),MATCH(Calculations!O$1,'2018_commission_structure'!$A$11:$I$11,0))</f>
        <v>71632.210000000006</v>
      </c>
      <c r="P161" s="7">
        <f>IF($H161&gt;I161,MIN($H161-I161,J161-I161)*INDEX('2018_commission_structure'!$A$11:$I$14,MATCH(Calculations!$E161,'2018_commission_structure'!$A$11:$A$14,0), MATCH(Calculations!P$1,'2018_commission_structure'!$A$11:$I$11,0)),0)</f>
        <v>0</v>
      </c>
      <c r="Q161" s="7">
        <f>IF($H161&gt;J161,MIN($H161-J161,K161-J161)*INDEX('2018_commission_structure'!$A$11:$I$14,MATCH(Calculations!$E161,'2018_commission_structure'!$A$11:$A$14,0), MATCH(Calculations!Q$1,'2018_commission_structure'!$A$11:$I$11,0)),0)</f>
        <v>0</v>
      </c>
      <c r="R161" s="7">
        <f>IF($H161&gt;K161,MIN($H161-K161,L161-K161)*INDEX('2018_commission_structure'!$A$11:$I$14,MATCH(Calculations!$E161,'2018_commission_structure'!$A$11:$A$14,0), MATCH(Calculations!R$1,'2018_commission_structure'!$A$11:$I$11,0)),0)</f>
        <v>0</v>
      </c>
      <c r="S161" s="7">
        <f>IF(H161&gt;L161,(H161-L161)*INDEX('2018_commission_structure'!$A$11:$I$14,MATCH(Calculations!$E161,'2018_commission_structure'!$A$11:$A$14,0),MATCH(Calculations!S$1,'2018_commission_structure'!$A$11:$I$11,0)),0)</f>
        <v>0</v>
      </c>
      <c r="T161" s="7">
        <f t="shared" si="23"/>
        <v>71632.210000000006</v>
      </c>
      <c r="U161" s="7">
        <f t="shared" si="24"/>
        <v>127845.21</v>
      </c>
      <c r="V161" s="7">
        <f>MIN(H161,I161)*INDEX('2018_commission_structure'!$A$5:$J$8,MATCH(Calculations!$E161,'2018_commission_structure'!$A$5:$A$8,0),MATCH(Calculations!V$1,'2018_commission_structure'!$A$5:$J$5,0))</f>
        <v>82652.55</v>
      </c>
      <c r="W161" s="2">
        <f>IF($H161&gt;I161,MIN($H161-I161,J161-I161)*INDEX('2018_commission_structure'!$A$5:$J$8,MATCH(Calculations!$E161,'2018_commission_structure'!$A$5:$A$8,0),MATCH(Calculations!W$1,'2018_commission_structure'!$A$5:$J$5,0)),0)</f>
        <v>0</v>
      </c>
      <c r="X161" s="2">
        <f>IF($H161&gt;J161,MIN($H161-J161,K161-J161)*INDEX('2018_commission_structure'!$A$5:$J$8,MATCH(Calculations!$E161,'2018_commission_structure'!$A$5:$A$8,0),MATCH(Calculations!X$1,'2018_commission_structure'!$A$5:$J$5,0)),0)</f>
        <v>0</v>
      </c>
      <c r="Y161" s="2">
        <f>IF($H161&gt;K161,MIN($H161-K161,L161-K161)*INDEX('2018_commission_structure'!$A$5:$J$8,MATCH(Calculations!$E161,'2018_commission_structure'!$A$5:$A$8,0),MATCH(Calculations!Y$1,'2018_commission_structure'!$A$5:$J$5,0)),0)</f>
        <v>0</v>
      </c>
      <c r="Z161" s="2">
        <f xml:space="preserve"> IF(H161&gt;L161,(H161-L161)*INDEX('2018_commission_structure'!$A$11:$I$14,MATCH(Calculations!$E161,'2018_commission_structure'!$A$11:$A$14,0),MATCH(Calculations!Z$1,'2018_commission_structure'!$A$11:$I$11,0)),0)</f>
        <v>0</v>
      </c>
      <c r="AA161" s="7">
        <f t="shared" si="25"/>
        <v>82652.55</v>
      </c>
      <c r="AB161" s="7">
        <f t="shared" si="26"/>
        <v>138865.54999999999</v>
      </c>
    </row>
    <row r="162" spans="1:28" x14ac:dyDescent="0.25">
      <c r="A162">
        <v>3991963221</v>
      </c>
      <c r="B162" t="s">
        <v>1922</v>
      </c>
      <c r="C162" t="s">
        <v>1923</v>
      </c>
      <c r="D162" t="str">
        <f>B162&amp;" "&amp;C162</f>
        <v>Heinrick Conelly</v>
      </c>
      <c r="E162" t="s">
        <v>10</v>
      </c>
      <c r="F162">
        <v>117349</v>
      </c>
      <c r="G162">
        <f>COUNTIF(deals_closed!D:D,Calculations!A162)</f>
        <v>18</v>
      </c>
      <c r="H162" s="2">
        <f>SUMIF(deals_closed!D:D,Calculations!A162,deals_closed!C:C)</f>
        <v>685881</v>
      </c>
      <c r="I162" s="2">
        <f>VLOOKUP(E162,'2018_commission_structure'!$A$11:$I$14,9,FALSE)</f>
        <v>750000</v>
      </c>
      <c r="J162" s="2">
        <f t="shared" si="18"/>
        <v>937500</v>
      </c>
      <c r="K162" s="2">
        <f t="shared" si="19"/>
        <v>1125000</v>
      </c>
      <c r="L162" s="2">
        <f t="shared" si="20"/>
        <v>1500000</v>
      </c>
      <c r="M162" s="6">
        <f t="shared" si="21"/>
        <v>0.91450799999999999</v>
      </c>
      <c r="N162" t="str">
        <f t="shared" si="22"/>
        <v>0-100%</v>
      </c>
      <c r="O162" s="7">
        <f>MIN(I162,H162)*INDEX('2018_commission_structure'!$A$11:$I$14,MATCH(Calculations!$E162,'2018_commission_structure'!$A$11:$A$14,0),MATCH(Calculations!O$1,'2018_commission_structure'!$A$11:$I$11,0))</f>
        <v>102882.15</v>
      </c>
      <c r="P162" s="7">
        <f>IF($H162&gt;I162,MIN($H162-I162,J162-I162)*INDEX('2018_commission_structure'!$A$11:$I$14,MATCH(Calculations!$E162,'2018_commission_structure'!$A$11:$A$14,0), MATCH(Calculations!P$1,'2018_commission_structure'!$A$11:$I$11,0)),0)</f>
        <v>0</v>
      </c>
      <c r="Q162" s="7">
        <f>IF($H162&gt;J162,MIN($H162-J162,K162-J162)*INDEX('2018_commission_structure'!$A$11:$I$14,MATCH(Calculations!$E162,'2018_commission_structure'!$A$11:$A$14,0), MATCH(Calculations!Q$1,'2018_commission_structure'!$A$11:$I$11,0)),0)</f>
        <v>0</v>
      </c>
      <c r="R162" s="7">
        <f>IF($H162&gt;K162,MIN($H162-K162,L162-K162)*INDEX('2018_commission_structure'!$A$11:$I$14,MATCH(Calculations!$E162,'2018_commission_structure'!$A$11:$A$14,0), MATCH(Calculations!R$1,'2018_commission_structure'!$A$11:$I$11,0)),0)</f>
        <v>0</v>
      </c>
      <c r="S162" s="7">
        <f>IF(H162&gt;L162,(H162-L162)*INDEX('2018_commission_structure'!$A$11:$I$14,MATCH(Calculations!$E162,'2018_commission_structure'!$A$11:$A$14,0),MATCH(Calculations!S$1,'2018_commission_structure'!$A$11:$I$11,0)),0)</f>
        <v>0</v>
      </c>
      <c r="T162" s="7">
        <f t="shared" si="23"/>
        <v>102882.15</v>
      </c>
      <c r="U162" s="7">
        <f t="shared" si="24"/>
        <v>220231.15</v>
      </c>
      <c r="V162" s="7">
        <f>MIN(H162,I162)*INDEX('2018_commission_structure'!$A$5:$J$8,MATCH(Calculations!$E162,'2018_commission_structure'!$A$5:$A$8,0),MATCH(Calculations!V$1,'2018_commission_structure'!$A$5:$J$5,0))</f>
        <v>102882.15</v>
      </c>
      <c r="W162" s="2">
        <f>IF($H162&gt;I162,MIN($H162-I162,J162-I162)*INDEX('2018_commission_structure'!$A$5:$J$8,MATCH(Calculations!$E162,'2018_commission_structure'!$A$5:$A$8,0),MATCH(Calculations!W$1,'2018_commission_structure'!$A$5:$J$5,0)),0)</f>
        <v>0</v>
      </c>
      <c r="X162" s="2">
        <f>IF($H162&gt;J162,MIN($H162-J162,K162-J162)*INDEX('2018_commission_structure'!$A$5:$J$8,MATCH(Calculations!$E162,'2018_commission_structure'!$A$5:$A$8,0),MATCH(Calculations!X$1,'2018_commission_structure'!$A$5:$J$5,0)),0)</f>
        <v>0</v>
      </c>
      <c r="Y162" s="2">
        <f>IF($H162&gt;K162,MIN($H162-K162,L162-K162)*INDEX('2018_commission_structure'!$A$5:$J$8,MATCH(Calculations!$E162,'2018_commission_structure'!$A$5:$A$8,0),MATCH(Calculations!Y$1,'2018_commission_structure'!$A$5:$J$5,0)),0)</f>
        <v>0</v>
      </c>
      <c r="Z162" s="2">
        <f xml:space="preserve"> IF(H162&gt;L162,(H162-L162)*INDEX('2018_commission_structure'!$A$11:$I$14,MATCH(Calculations!$E162,'2018_commission_structure'!$A$11:$A$14,0),MATCH(Calculations!Z$1,'2018_commission_structure'!$A$11:$I$11,0)),0)</f>
        <v>0</v>
      </c>
      <c r="AA162" s="7">
        <f t="shared" si="25"/>
        <v>102882.15</v>
      </c>
      <c r="AB162" s="7">
        <f t="shared" si="26"/>
        <v>220231.15</v>
      </c>
    </row>
    <row r="163" spans="1:28" x14ac:dyDescent="0.25">
      <c r="A163">
        <v>8044612831</v>
      </c>
      <c r="B163" t="s">
        <v>191</v>
      </c>
      <c r="C163" t="s">
        <v>192</v>
      </c>
      <c r="D163" t="str">
        <f>B163&amp;" "&amp;C163</f>
        <v>Bobine Congrave</v>
      </c>
      <c r="E163" t="s">
        <v>10</v>
      </c>
      <c r="F163">
        <v>120683</v>
      </c>
      <c r="G163">
        <f>COUNTIF(deals_closed!D:D,Calculations!A163)</f>
        <v>21</v>
      </c>
      <c r="H163" s="2">
        <f>SUMIF(deals_closed!D:D,Calculations!A163,deals_closed!C:C)</f>
        <v>742017</v>
      </c>
      <c r="I163" s="2">
        <f>VLOOKUP(E163,'2018_commission_structure'!$A$11:$I$14,9,FALSE)</f>
        <v>750000</v>
      </c>
      <c r="J163" s="2">
        <f t="shared" si="18"/>
        <v>937500</v>
      </c>
      <c r="K163" s="2">
        <f t="shared" si="19"/>
        <v>1125000</v>
      </c>
      <c r="L163" s="2">
        <f t="shared" si="20"/>
        <v>1500000</v>
      </c>
      <c r="M163" s="6">
        <f t="shared" si="21"/>
        <v>0.98935600000000001</v>
      </c>
      <c r="N163" t="str">
        <f t="shared" si="22"/>
        <v>0-100%</v>
      </c>
      <c r="O163" s="7">
        <f>MIN(I163,H163)*INDEX('2018_commission_structure'!$A$11:$I$14,MATCH(Calculations!$E163,'2018_commission_structure'!$A$11:$A$14,0),MATCH(Calculations!O$1,'2018_commission_structure'!$A$11:$I$11,0))</f>
        <v>111302.55</v>
      </c>
      <c r="P163" s="7">
        <f>IF($H163&gt;I163,MIN($H163-I163,J163-I163)*INDEX('2018_commission_structure'!$A$11:$I$14,MATCH(Calculations!$E163,'2018_commission_structure'!$A$11:$A$14,0), MATCH(Calculations!P$1,'2018_commission_structure'!$A$11:$I$11,0)),0)</f>
        <v>0</v>
      </c>
      <c r="Q163" s="7">
        <f>IF($H163&gt;J163,MIN($H163-J163,K163-J163)*INDEX('2018_commission_structure'!$A$11:$I$14,MATCH(Calculations!$E163,'2018_commission_structure'!$A$11:$A$14,0), MATCH(Calculations!Q$1,'2018_commission_structure'!$A$11:$I$11,0)),0)</f>
        <v>0</v>
      </c>
      <c r="R163" s="7">
        <f>IF($H163&gt;K163,MIN($H163-K163,L163-K163)*INDEX('2018_commission_structure'!$A$11:$I$14,MATCH(Calculations!$E163,'2018_commission_structure'!$A$11:$A$14,0), MATCH(Calculations!R$1,'2018_commission_structure'!$A$11:$I$11,0)),0)</f>
        <v>0</v>
      </c>
      <c r="S163" s="7">
        <f>IF(H163&gt;L163,(H163-L163)*INDEX('2018_commission_structure'!$A$11:$I$14,MATCH(Calculations!$E163,'2018_commission_structure'!$A$11:$A$14,0),MATCH(Calculations!S$1,'2018_commission_structure'!$A$11:$I$11,0)),0)</f>
        <v>0</v>
      </c>
      <c r="T163" s="7">
        <f t="shared" si="23"/>
        <v>111302.55</v>
      </c>
      <c r="U163" s="7">
        <f t="shared" si="24"/>
        <v>231985.55</v>
      </c>
      <c r="V163" s="7">
        <f>MIN(H163,I163)*INDEX('2018_commission_structure'!$A$5:$J$8,MATCH(Calculations!$E163,'2018_commission_structure'!$A$5:$A$8,0),MATCH(Calculations!V$1,'2018_commission_structure'!$A$5:$J$5,0))</f>
        <v>111302.55</v>
      </c>
      <c r="W163" s="2">
        <f>IF($H163&gt;I163,MIN($H163-I163,J163-I163)*INDEX('2018_commission_structure'!$A$5:$J$8,MATCH(Calculations!$E163,'2018_commission_structure'!$A$5:$A$8,0),MATCH(Calculations!W$1,'2018_commission_structure'!$A$5:$J$5,0)),0)</f>
        <v>0</v>
      </c>
      <c r="X163" s="2">
        <f>IF($H163&gt;J163,MIN($H163-J163,K163-J163)*INDEX('2018_commission_structure'!$A$5:$J$8,MATCH(Calculations!$E163,'2018_commission_structure'!$A$5:$A$8,0),MATCH(Calculations!X$1,'2018_commission_structure'!$A$5:$J$5,0)),0)</f>
        <v>0</v>
      </c>
      <c r="Y163" s="2">
        <f>IF($H163&gt;K163,MIN($H163-K163,L163-K163)*INDEX('2018_commission_structure'!$A$5:$J$8,MATCH(Calculations!$E163,'2018_commission_structure'!$A$5:$A$8,0),MATCH(Calculations!Y$1,'2018_commission_structure'!$A$5:$J$5,0)),0)</f>
        <v>0</v>
      </c>
      <c r="Z163" s="2">
        <f xml:space="preserve"> IF(H163&gt;L163,(H163-L163)*INDEX('2018_commission_structure'!$A$11:$I$14,MATCH(Calculations!$E163,'2018_commission_structure'!$A$11:$A$14,0),MATCH(Calculations!Z$1,'2018_commission_structure'!$A$11:$I$11,0)),0)</f>
        <v>0</v>
      </c>
      <c r="AA163" s="7">
        <f t="shared" si="25"/>
        <v>111302.55</v>
      </c>
      <c r="AB163" s="7">
        <f t="shared" si="26"/>
        <v>231985.55</v>
      </c>
    </row>
    <row r="164" spans="1:28" x14ac:dyDescent="0.25">
      <c r="A164">
        <v>1502791994</v>
      </c>
      <c r="B164" t="s">
        <v>1589</v>
      </c>
      <c r="C164" t="s">
        <v>1590</v>
      </c>
      <c r="D164" t="str">
        <f>B164&amp;" "&amp;C164</f>
        <v>Loella Connell</v>
      </c>
      <c r="E164" t="s">
        <v>10</v>
      </c>
      <c r="F164">
        <v>116313</v>
      </c>
      <c r="G164">
        <f>COUNTIF(deals_closed!D:D,Calculations!A164)</f>
        <v>21</v>
      </c>
      <c r="H164" s="2">
        <f>SUMIF(deals_closed!D:D,Calculations!A164,deals_closed!C:C)</f>
        <v>827946</v>
      </c>
      <c r="I164" s="2">
        <f>VLOOKUP(E164,'2018_commission_structure'!$A$11:$I$14,9,FALSE)</f>
        <v>750000</v>
      </c>
      <c r="J164" s="2">
        <f t="shared" si="18"/>
        <v>937500</v>
      </c>
      <c r="K164" s="2">
        <f t="shared" si="19"/>
        <v>1125000</v>
      </c>
      <c r="L164" s="2">
        <f t="shared" si="20"/>
        <v>1500000</v>
      </c>
      <c r="M164" s="6">
        <f t="shared" si="21"/>
        <v>1.103928</v>
      </c>
      <c r="N164" t="str">
        <f t="shared" si="22"/>
        <v>100-125%</v>
      </c>
      <c r="O164" s="7">
        <f>MIN(I164,H164)*INDEX('2018_commission_structure'!$A$11:$I$14,MATCH(Calculations!$E164,'2018_commission_structure'!$A$11:$A$14,0),MATCH(Calculations!O$1,'2018_commission_structure'!$A$11:$I$11,0))</f>
        <v>112500</v>
      </c>
      <c r="P164" s="7">
        <f>IF($H164&gt;I164,MIN($H164-I164,J164-I164)*INDEX('2018_commission_structure'!$A$11:$I$14,MATCH(Calculations!$E164,'2018_commission_structure'!$A$11:$A$14,0), MATCH(Calculations!P$1,'2018_commission_structure'!$A$11:$I$11,0)),0)</f>
        <v>14809.74</v>
      </c>
      <c r="Q164" s="7">
        <f>IF($H164&gt;J164,MIN($H164-J164,K164-J164)*INDEX('2018_commission_structure'!$A$11:$I$14,MATCH(Calculations!$E164,'2018_commission_structure'!$A$11:$A$14,0), MATCH(Calculations!Q$1,'2018_commission_structure'!$A$11:$I$11,0)),0)</f>
        <v>0</v>
      </c>
      <c r="R164" s="7">
        <f>IF($H164&gt;K164,MIN($H164-K164,L164-K164)*INDEX('2018_commission_structure'!$A$11:$I$14,MATCH(Calculations!$E164,'2018_commission_structure'!$A$11:$A$14,0), MATCH(Calculations!R$1,'2018_commission_structure'!$A$11:$I$11,0)),0)</f>
        <v>0</v>
      </c>
      <c r="S164" s="7">
        <f>IF(H164&gt;L164,(H164-L164)*INDEX('2018_commission_structure'!$A$11:$I$14,MATCH(Calculations!$E164,'2018_commission_structure'!$A$11:$A$14,0),MATCH(Calculations!S$1,'2018_commission_structure'!$A$11:$I$11,0)),0)</f>
        <v>0</v>
      </c>
      <c r="T164" s="7">
        <f t="shared" si="23"/>
        <v>127309.74</v>
      </c>
      <c r="U164" s="7">
        <f t="shared" si="24"/>
        <v>243622.74</v>
      </c>
      <c r="V164" s="7">
        <f>MIN(H164,I164)*INDEX('2018_commission_structure'!$A$5:$J$8,MATCH(Calculations!$E164,'2018_commission_structure'!$A$5:$A$8,0),MATCH(Calculations!V$1,'2018_commission_structure'!$A$5:$J$5,0))</f>
        <v>112500</v>
      </c>
      <c r="W164" s="2">
        <f>IF($H164&gt;I164,MIN($H164-I164,J164-I164)*INDEX('2018_commission_structure'!$A$5:$J$8,MATCH(Calculations!$E164,'2018_commission_structure'!$A$5:$A$8,0),MATCH(Calculations!W$1,'2018_commission_structure'!$A$5:$J$5,0)),0)</f>
        <v>17148.12</v>
      </c>
      <c r="X164" s="2">
        <f>IF($H164&gt;J164,MIN($H164-J164,K164-J164)*INDEX('2018_commission_structure'!$A$5:$J$8,MATCH(Calculations!$E164,'2018_commission_structure'!$A$5:$A$8,0),MATCH(Calculations!X$1,'2018_commission_structure'!$A$5:$J$5,0)),0)</f>
        <v>0</v>
      </c>
      <c r="Y164" s="2">
        <f>IF($H164&gt;K164,MIN($H164-K164,L164-K164)*INDEX('2018_commission_structure'!$A$5:$J$8,MATCH(Calculations!$E164,'2018_commission_structure'!$A$5:$A$8,0),MATCH(Calculations!Y$1,'2018_commission_structure'!$A$5:$J$5,0)),0)</f>
        <v>0</v>
      </c>
      <c r="Z164" s="2">
        <f xml:space="preserve"> IF(H164&gt;L164,(H164-L164)*INDEX('2018_commission_structure'!$A$11:$I$14,MATCH(Calculations!$E164,'2018_commission_structure'!$A$11:$A$14,0),MATCH(Calculations!Z$1,'2018_commission_structure'!$A$11:$I$11,0)),0)</f>
        <v>0</v>
      </c>
      <c r="AA164" s="7">
        <f t="shared" si="25"/>
        <v>129648.12</v>
      </c>
      <c r="AB164" s="7">
        <f t="shared" si="26"/>
        <v>245961.12</v>
      </c>
    </row>
    <row r="165" spans="1:28" x14ac:dyDescent="0.25">
      <c r="A165">
        <v>8644362151</v>
      </c>
      <c r="B165" t="s">
        <v>125</v>
      </c>
      <c r="C165" t="s">
        <v>126</v>
      </c>
      <c r="D165" t="str">
        <f>B165&amp;" "&amp;C165</f>
        <v>Diane Corben</v>
      </c>
      <c r="E165" t="s">
        <v>10</v>
      </c>
      <c r="F165">
        <v>95999</v>
      </c>
      <c r="G165">
        <f>COUNTIF(deals_closed!D:D,Calculations!A165)</f>
        <v>20</v>
      </c>
      <c r="H165" s="2">
        <f>SUMIF(deals_closed!D:D,Calculations!A165,deals_closed!C:C)</f>
        <v>827180</v>
      </c>
      <c r="I165" s="2">
        <f>VLOOKUP(E165,'2018_commission_structure'!$A$11:$I$14,9,FALSE)</f>
        <v>750000</v>
      </c>
      <c r="J165" s="2">
        <f t="shared" si="18"/>
        <v>937500</v>
      </c>
      <c r="K165" s="2">
        <f t="shared" si="19"/>
        <v>1125000</v>
      </c>
      <c r="L165" s="2">
        <f t="shared" si="20"/>
        <v>1500000</v>
      </c>
      <c r="M165" s="6">
        <f t="shared" si="21"/>
        <v>1.1029066666666667</v>
      </c>
      <c r="N165" t="str">
        <f t="shared" si="22"/>
        <v>100-125%</v>
      </c>
      <c r="O165" s="7">
        <f>MIN(I165,H165)*INDEX('2018_commission_structure'!$A$11:$I$14,MATCH(Calculations!$E165,'2018_commission_structure'!$A$11:$A$14,0),MATCH(Calculations!O$1,'2018_commission_structure'!$A$11:$I$11,0))</f>
        <v>112500</v>
      </c>
      <c r="P165" s="7">
        <f>IF($H165&gt;I165,MIN($H165-I165,J165-I165)*INDEX('2018_commission_structure'!$A$11:$I$14,MATCH(Calculations!$E165,'2018_commission_structure'!$A$11:$A$14,0), MATCH(Calculations!P$1,'2018_commission_structure'!$A$11:$I$11,0)),0)</f>
        <v>14664.2</v>
      </c>
      <c r="Q165" s="7">
        <f>IF($H165&gt;J165,MIN($H165-J165,K165-J165)*INDEX('2018_commission_structure'!$A$11:$I$14,MATCH(Calculations!$E165,'2018_commission_structure'!$A$11:$A$14,0), MATCH(Calculations!Q$1,'2018_commission_structure'!$A$11:$I$11,0)),0)</f>
        <v>0</v>
      </c>
      <c r="R165" s="7">
        <f>IF($H165&gt;K165,MIN($H165-K165,L165-K165)*INDEX('2018_commission_structure'!$A$11:$I$14,MATCH(Calculations!$E165,'2018_commission_structure'!$A$11:$A$14,0), MATCH(Calculations!R$1,'2018_commission_structure'!$A$11:$I$11,0)),0)</f>
        <v>0</v>
      </c>
      <c r="S165" s="7">
        <f>IF(H165&gt;L165,(H165-L165)*INDEX('2018_commission_structure'!$A$11:$I$14,MATCH(Calculations!$E165,'2018_commission_structure'!$A$11:$A$14,0),MATCH(Calculations!S$1,'2018_commission_structure'!$A$11:$I$11,0)),0)</f>
        <v>0</v>
      </c>
      <c r="T165" s="7">
        <f t="shared" si="23"/>
        <v>127164.2</v>
      </c>
      <c r="U165" s="7">
        <f t="shared" si="24"/>
        <v>223163.2</v>
      </c>
      <c r="V165" s="7">
        <f>MIN(H165,I165)*INDEX('2018_commission_structure'!$A$5:$J$8,MATCH(Calculations!$E165,'2018_commission_structure'!$A$5:$A$8,0),MATCH(Calculations!V$1,'2018_commission_structure'!$A$5:$J$5,0))</f>
        <v>112500</v>
      </c>
      <c r="W165" s="2">
        <f>IF($H165&gt;I165,MIN($H165-I165,J165-I165)*INDEX('2018_commission_structure'!$A$5:$J$8,MATCH(Calculations!$E165,'2018_commission_structure'!$A$5:$A$8,0),MATCH(Calculations!W$1,'2018_commission_structure'!$A$5:$J$5,0)),0)</f>
        <v>16979.599999999999</v>
      </c>
      <c r="X165" s="2">
        <f>IF($H165&gt;J165,MIN($H165-J165,K165-J165)*INDEX('2018_commission_structure'!$A$5:$J$8,MATCH(Calculations!$E165,'2018_commission_structure'!$A$5:$A$8,0),MATCH(Calculations!X$1,'2018_commission_structure'!$A$5:$J$5,0)),0)</f>
        <v>0</v>
      </c>
      <c r="Y165" s="2">
        <f>IF($H165&gt;K165,MIN($H165-K165,L165-K165)*INDEX('2018_commission_structure'!$A$5:$J$8,MATCH(Calculations!$E165,'2018_commission_structure'!$A$5:$A$8,0),MATCH(Calculations!Y$1,'2018_commission_structure'!$A$5:$J$5,0)),0)</f>
        <v>0</v>
      </c>
      <c r="Z165" s="2">
        <f xml:space="preserve"> IF(H165&gt;L165,(H165-L165)*INDEX('2018_commission_structure'!$A$11:$I$14,MATCH(Calculations!$E165,'2018_commission_structure'!$A$11:$A$14,0),MATCH(Calculations!Z$1,'2018_commission_structure'!$A$11:$I$11,0)),0)</f>
        <v>0</v>
      </c>
      <c r="AA165" s="7">
        <f t="shared" si="25"/>
        <v>129479.6</v>
      </c>
      <c r="AB165" s="7">
        <f t="shared" si="26"/>
        <v>225478.6</v>
      </c>
    </row>
    <row r="166" spans="1:28" x14ac:dyDescent="0.25">
      <c r="A166">
        <v>8249460030</v>
      </c>
      <c r="B166" t="s">
        <v>474</v>
      </c>
      <c r="C166" t="s">
        <v>475</v>
      </c>
      <c r="D166" t="str">
        <f>B166&amp;" "&amp;C166</f>
        <v>Gregoire Corington</v>
      </c>
      <c r="E166" t="s">
        <v>29</v>
      </c>
      <c r="F166">
        <v>78688</v>
      </c>
      <c r="G166">
        <f>COUNTIF(deals_closed!D:D,Calculations!A166)</f>
        <v>25</v>
      </c>
      <c r="H166" s="2">
        <f>SUMIF(deals_closed!D:D,Calculations!A166,deals_closed!C:C)</f>
        <v>852493</v>
      </c>
      <c r="I166" s="2">
        <f>VLOOKUP(E166,'2018_commission_structure'!$A$11:$I$14,9,FALSE)</f>
        <v>600000</v>
      </c>
      <c r="J166" s="2">
        <f t="shared" si="18"/>
        <v>750000</v>
      </c>
      <c r="K166" s="2">
        <f t="shared" si="19"/>
        <v>900000</v>
      </c>
      <c r="L166" s="2">
        <f t="shared" si="20"/>
        <v>1200000</v>
      </c>
      <c r="M166" s="6">
        <f t="shared" si="21"/>
        <v>1.4208216666666666</v>
      </c>
      <c r="N166" t="str">
        <f t="shared" si="22"/>
        <v>125-150%</v>
      </c>
      <c r="O166" s="7">
        <f>MIN(I166,H166)*INDEX('2018_commission_structure'!$A$11:$I$14,MATCH(Calculations!$E166,'2018_commission_structure'!$A$11:$A$14,0),MATCH(Calculations!O$1,'2018_commission_structure'!$A$11:$I$11,0))</f>
        <v>78000</v>
      </c>
      <c r="P166" s="7">
        <f>IF($H166&gt;I166,MIN($H166-I166,J166-I166)*INDEX('2018_commission_structure'!$A$11:$I$14,MATCH(Calculations!$E166,'2018_commission_structure'!$A$11:$A$14,0), MATCH(Calculations!P$1,'2018_commission_structure'!$A$11:$I$11,0)),0)</f>
        <v>25500.000000000004</v>
      </c>
      <c r="Q166" s="7">
        <f>IF($H166&gt;J166,MIN($H166-J166,K166-J166)*INDEX('2018_commission_structure'!$A$11:$I$14,MATCH(Calculations!$E166,'2018_commission_structure'!$A$11:$A$14,0), MATCH(Calculations!Q$1,'2018_commission_structure'!$A$11:$I$11,0)),0)</f>
        <v>21523.53</v>
      </c>
      <c r="R166" s="7">
        <f>IF($H166&gt;K166,MIN($H166-K166,L166-K166)*INDEX('2018_commission_structure'!$A$11:$I$14,MATCH(Calculations!$E166,'2018_commission_structure'!$A$11:$A$14,0), MATCH(Calculations!R$1,'2018_commission_structure'!$A$11:$I$11,0)),0)</f>
        <v>0</v>
      </c>
      <c r="S166" s="7">
        <f>IF(H166&gt;L166,(H166-L166)*INDEX('2018_commission_structure'!$A$11:$I$14,MATCH(Calculations!$E166,'2018_commission_structure'!$A$11:$A$14,0),MATCH(Calculations!S$1,'2018_commission_structure'!$A$11:$I$11,0)),0)</f>
        <v>0</v>
      </c>
      <c r="T166" s="7">
        <f t="shared" si="23"/>
        <v>125023.53</v>
      </c>
      <c r="U166" s="7">
        <f t="shared" si="24"/>
        <v>203711.53</v>
      </c>
      <c r="V166" s="7">
        <f>MIN(H166,I166)*INDEX('2018_commission_structure'!$A$5:$J$8,MATCH(Calculations!$E166,'2018_commission_structure'!$A$5:$A$8,0),MATCH(Calculations!V$1,'2018_commission_structure'!$A$5:$J$5,0))</f>
        <v>90000</v>
      </c>
      <c r="W166" s="2">
        <f>IF($H166&gt;I166,MIN($H166-I166,J166-I166)*INDEX('2018_commission_structure'!$A$5:$J$8,MATCH(Calculations!$E166,'2018_commission_structure'!$A$5:$A$8,0),MATCH(Calculations!W$1,'2018_commission_structure'!$A$5:$J$5,0)),0)</f>
        <v>27000</v>
      </c>
      <c r="X166" s="2">
        <f>IF($H166&gt;J166,MIN($H166-J166,K166-J166)*INDEX('2018_commission_structure'!$A$5:$J$8,MATCH(Calculations!$E166,'2018_commission_structure'!$A$5:$A$8,0),MATCH(Calculations!X$1,'2018_commission_structure'!$A$5:$J$5,0)),0)</f>
        <v>25623.25</v>
      </c>
      <c r="Y166" s="2">
        <f>IF($H166&gt;K166,MIN($H166-K166,L166-K166)*INDEX('2018_commission_structure'!$A$5:$J$8,MATCH(Calculations!$E166,'2018_commission_structure'!$A$5:$A$8,0),MATCH(Calculations!Y$1,'2018_commission_structure'!$A$5:$J$5,0)),0)</f>
        <v>0</v>
      </c>
      <c r="Z166" s="2">
        <f xml:space="preserve"> IF(H166&gt;L166,(H166-L166)*INDEX('2018_commission_structure'!$A$11:$I$14,MATCH(Calculations!$E166,'2018_commission_structure'!$A$11:$A$14,0),MATCH(Calculations!Z$1,'2018_commission_structure'!$A$11:$I$11,0)),0)</f>
        <v>0</v>
      </c>
      <c r="AA166" s="7">
        <f t="shared" si="25"/>
        <v>142623.25</v>
      </c>
      <c r="AB166" s="7">
        <f t="shared" si="26"/>
        <v>221311.25</v>
      </c>
    </row>
    <row r="167" spans="1:28" x14ac:dyDescent="0.25">
      <c r="A167">
        <v>222477806</v>
      </c>
      <c r="B167" t="s">
        <v>691</v>
      </c>
      <c r="C167" t="s">
        <v>692</v>
      </c>
      <c r="D167" t="str">
        <f>B167&amp;" "&amp;C167</f>
        <v>Phillipe Corter</v>
      </c>
      <c r="E167" t="s">
        <v>10</v>
      </c>
      <c r="F167">
        <v>87484</v>
      </c>
      <c r="G167">
        <f>COUNTIF(deals_closed!D:D,Calculations!A167)</f>
        <v>20</v>
      </c>
      <c r="H167" s="2">
        <f>SUMIF(deals_closed!D:D,Calculations!A167,deals_closed!C:C)</f>
        <v>699440</v>
      </c>
      <c r="I167" s="2">
        <f>VLOOKUP(E167,'2018_commission_structure'!$A$11:$I$14,9,FALSE)</f>
        <v>750000</v>
      </c>
      <c r="J167" s="2">
        <f t="shared" si="18"/>
        <v>937500</v>
      </c>
      <c r="K167" s="2">
        <f t="shared" si="19"/>
        <v>1125000</v>
      </c>
      <c r="L167" s="2">
        <f t="shared" si="20"/>
        <v>1500000</v>
      </c>
      <c r="M167" s="6">
        <f t="shared" si="21"/>
        <v>0.93258666666666667</v>
      </c>
      <c r="N167" t="str">
        <f t="shared" si="22"/>
        <v>0-100%</v>
      </c>
      <c r="O167" s="7">
        <f>MIN(I167,H167)*INDEX('2018_commission_structure'!$A$11:$I$14,MATCH(Calculations!$E167,'2018_commission_structure'!$A$11:$A$14,0),MATCH(Calculations!O$1,'2018_commission_structure'!$A$11:$I$11,0))</f>
        <v>104916</v>
      </c>
      <c r="P167" s="7">
        <f>IF($H167&gt;I167,MIN($H167-I167,J167-I167)*INDEX('2018_commission_structure'!$A$11:$I$14,MATCH(Calculations!$E167,'2018_commission_structure'!$A$11:$A$14,0), MATCH(Calculations!P$1,'2018_commission_structure'!$A$11:$I$11,0)),0)</f>
        <v>0</v>
      </c>
      <c r="Q167" s="7">
        <f>IF($H167&gt;J167,MIN($H167-J167,K167-J167)*INDEX('2018_commission_structure'!$A$11:$I$14,MATCH(Calculations!$E167,'2018_commission_structure'!$A$11:$A$14,0), MATCH(Calculations!Q$1,'2018_commission_structure'!$A$11:$I$11,0)),0)</f>
        <v>0</v>
      </c>
      <c r="R167" s="7">
        <f>IF($H167&gt;K167,MIN($H167-K167,L167-K167)*INDEX('2018_commission_structure'!$A$11:$I$14,MATCH(Calculations!$E167,'2018_commission_structure'!$A$11:$A$14,0), MATCH(Calculations!R$1,'2018_commission_structure'!$A$11:$I$11,0)),0)</f>
        <v>0</v>
      </c>
      <c r="S167" s="7">
        <f>IF(H167&gt;L167,(H167-L167)*INDEX('2018_commission_structure'!$A$11:$I$14,MATCH(Calculations!$E167,'2018_commission_structure'!$A$11:$A$14,0),MATCH(Calculations!S$1,'2018_commission_structure'!$A$11:$I$11,0)),0)</f>
        <v>0</v>
      </c>
      <c r="T167" s="7">
        <f t="shared" si="23"/>
        <v>104916</v>
      </c>
      <c r="U167" s="7">
        <f t="shared" si="24"/>
        <v>192400</v>
      </c>
      <c r="V167" s="7">
        <f>MIN(H167,I167)*INDEX('2018_commission_structure'!$A$5:$J$8,MATCH(Calculations!$E167,'2018_commission_structure'!$A$5:$A$8,0),MATCH(Calculations!V$1,'2018_commission_structure'!$A$5:$J$5,0))</f>
        <v>104916</v>
      </c>
      <c r="W167" s="2">
        <f>IF($H167&gt;I167,MIN($H167-I167,J167-I167)*INDEX('2018_commission_structure'!$A$5:$J$8,MATCH(Calculations!$E167,'2018_commission_structure'!$A$5:$A$8,0),MATCH(Calculations!W$1,'2018_commission_structure'!$A$5:$J$5,0)),0)</f>
        <v>0</v>
      </c>
      <c r="X167" s="2">
        <f>IF($H167&gt;J167,MIN($H167-J167,K167-J167)*INDEX('2018_commission_structure'!$A$5:$J$8,MATCH(Calculations!$E167,'2018_commission_structure'!$A$5:$A$8,0),MATCH(Calculations!X$1,'2018_commission_structure'!$A$5:$J$5,0)),0)</f>
        <v>0</v>
      </c>
      <c r="Y167" s="2">
        <f>IF($H167&gt;K167,MIN($H167-K167,L167-K167)*INDEX('2018_commission_structure'!$A$5:$J$8,MATCH(Calculations!$E167,'2018_commission_structure'!$A$5:$A$8,0),MATCH(Calculations!Y$1,'2018_commission_structure'!$A$5:$J$5,0)),0)</f>
        <v>0</v>
      </c>
      <c r="Z167" s="2">
        <f xml:space="preserve"> IF(H167&gt;L167,(H167-L167)*INDEX('2018_commission_structure'!$A$11:$I$14,MATCH(Calculations!$E167,'2018_commission_structure'!$A$11:$A$14,0),MATCH(Calculations!Z$1,'2018_commission_structure'!$A$11:$I$11,0)),0)</f>
        <v>0</v>
      </c>
      <c r="AA167" s="7">
        <f t="shared" si="25"/>
        <v>104916</v>
      </c>
      <c r="AB167" s="7">
        <f t="shared" si="26"/>
        <v>192400</v>
      </c>
    </row>
    <row r="168" spans="1:28" x14ac:dyDescent="0.25">
      <c r="A168">
        <v>1532722974</v>
      </c>
      <c r="B168" t="s">
        <v>1553</v>
      </c>
      <c r="C168" t="s">
        <v>1554</v>
      </c>
      <c r="D168" t="str">
        <f>B168&amp;" "&amp;C168</f>
        <v>Bill Covil</v>
      </c>
      <c r="E168" t="s">
        <v>29</v>
      </c>
      <c r="F168">
        <v>56016</v>
      </c>
      <c r="G168">
        <f>COUNTIF(deals_closed!D:D,Calculations!A168)</f>
        <v>20</v>
      </c>
      <c r="H168" s="2">
        <f>SUMIF(deals_closed!D:D,Calculations!A168,deals_closed!C:C)</f>
        <v>724529</v>
      </c>
      <c r="I168" s="2">
        <f>VLOOKUP(E168,'2018_commission_structure'!$A$11:$I$14,9,FALSE)</f>
        <v>600000</v>
      </c>
      <c r="J168" s="2">
        <f t="shared" si="18"/>
        <v>750000</v>
      </c>
      <c r="K168" s="2">
        <f t="shared" si="19"/>
        <v>900000</v>
      </c>
      <c r="L168" s="2">
        <f t="shared" si="20"/>
        <v>1200000</v>
      </c>
      <c r="M168" s="6">
        <f t="shared" si="21"/>
        <v>1.2075483333333332</v>
      </c>
      <c r="N168" t="str">
        <f t="shared" si="22"/>
        <v>100-125%</v>
      </c>
      <c r="O168" s="7">
        <f>MIN(I168,H168)*INDEX('2018_commission_structure'!$A$11:$I$14,MATCH(Calculations!$E168,'2018_commission_structure'!$A$11:$A$14,0),MATCH(Calculations!O$1,'2018_commission_structure'!$A$11:$I$11,0))</f>
        <v>78000</v>
      </c>
      <c r="P168" s="7">
        <f>IF($H168&gt;I168,MIN($H168-I168,J168-I168)*INDEX('2018_commission_structure'!$A$11:$I$14,MATCH(Calculations!$E168,'2018_commission_structure'!$A$11:$A$14,0), MATCH(Calculations!P$1,'2018_commission_structure'!$A$11:$I$11,0)),0)</f>
        <v>21169.93</v>
      </c>
      <c r="Q168" s="7">
        <f>IF($H168&gt;J168,MIN($H168-J168,K168-J168)*INDEX('2018_commission_structure'!$A$11:$I$14,MATCH(Calculations!$E168,'2018_commission_structure'!$A$11:$A$14,0), MATCH(Calculations!Q$1,'2018_commission_structure'!$A$11:$I$11,0)),0)</f>
        <v>0</v>
      </c>
      <c r="R168" s="7">
        <f>IF($H168&gt;K168,MIN($H168-K168,L168-K168)*INDEX('2018_commission_structure'!$A$11:$I$14,MATCH(Calculations!$E168,'2018_commission_structure'!$A$11:$A$14,0), MATCH(Calculations!R$1,'2018_commission_structure'!$A$11:$I$11,0)),0)</f>
        <v>0</v>
      </c>
      <c r="S168" s="7">
        <f>IF(H168&gt;L168,(H168-L168)*INDEX('2018_commission_structure'!$A$11:$I$14,MATCH(Calculations!$E168,'2018_commission_structure'!$A$11:$A$14,0),MATCH(Calculations!S$1,'2018_commission_structure'!$A$11:$I$11,0)),0)</f>
        <v>0</v>
      </c>
      <c r="T168" s="7">
        <f t="shared" si="23"/>
        <v>99169.93</v>
      </c>
      <c r="U168" s="7">
        <f t="shared" si="24"/>
        <v>155185.93</v>
      </c>
      <c r="V168" s="7">
        <f>MIN(H168,I168)*INDEX('2018_commission_structure'!$A$5:$J$8,MATCH(Calculations!$E168,'2018_commission_structure'!$A$5:$A$8,0),MATCH(Calculations!V$1,'2018_commission_structure'!$A$5:$J$5,0))</f>
        <v>90000</v>
      </c>
      <c r="W168" s="2">
        <f>IF($H168&gt;I168,MIN($H168-I168,J168-I168)*INDEX('2018_commission_structure'!$A$5:$J$8,MATCH(Calculations!$E168,'2018_commission_structure'!$A$5:$A$8,0),MATCH(Calculations!W$1,'2018_commission_structure'!$A$5:$J$5,0)),0)</f>
        <v>22415.219999999998</v>
      </c>
      <c r="X168" s="2">
        <f>IF($H168&gt;J168,MIN($H168-J168,K168-J168)*INDEX('2018_commission_structure'!$A$5:$J$8,MATCH(Calculations!$E168,'2018_commission_structure'!$A$5:$A$8,0),MATCH(Calculations!X$1,'2018_commission_structure'!$A$5:$J$5,0)),0)</f>
        <v>0</v>
      </c>
      <c r="Y168" s="2">
        <f>IF($H168&gt;K168,MIN($H168-K168,L168-K168)*INDEX('2018_commission_structure'!$A$5:$J$8,MATCH(Calculations!$E168,'2018_commission_structure'!$A$5:$A$8,0),MATCH(Calculations!Y$1,'2018_commission_structure'!$A$5:$J$5,0)),0)</f>
        <v>0</v>
      </c>
      <c r="Z168" s="2">
        <f xml:space="preserve"> IF(H168&gt;L168,(H168-L168)*INDEX('2018_commission_structure'!$A$11:$I$14,MATCH(Calculations!$E168,'2018_commission_structure'!$A$11:$A$14,0),MATCH(Calculations!Z$1,'2018_commission_structure'!$A$11:$I$11,0)),0)</f>
        <v>0</v>
      </c>
      <c r="AA168" s="7">
        <f t="shared" si="25"/>
        <v>112415.22</v>
      </c>
      <c r="AB168" s="7">
        <f t="shared" si="26"/>
        <v>168431.22</v>
      </c>
    </row>
    <row r="169" spans="1:28" x14ac:dyDescent="0.25">
      <c r="A169">
        <v>4739588234</v>
      </c>
      <c r="B169" t="s">
        <v>1691</v>
      </c>
      <c r="C169" t="s">
        <v>1692</v>
      </c>
      <c r="D169" t="str">
        <f>B169&amp;" "&amp;C169</f>
        <v>Richard Cowdry</v>
      </c>
      <c r="E169" t="s">
        <v>7</v>
      </c>
      <c r="F169">
        <v>56787</v>
      </c>
      <c r="G169">
        <f>COUNTIF(deals_closed!D:D,Calculations!A169)</f>
        <v>24</v>
      </c>
      <c r="H169" s="2">
        <f>SUMIF(deals_closed!D:D,Calculations!A169,deals_closed!C:C)</f>
        <v>848509</v>
      </c>
      <c r="I169" s="2">
        <f>VLOOKUP(E169,'2018_commission_structure'!$A$11:$I$14,9,FALSE)</f>
        <v>500000</v>
      </c>
      <c r="J169" s="2">
        <f t="shared" si="18"/>
        <v>625000</v>
      </c>
      <c r="K169" s="2">
        <f t="shared" si="19"/>
        <v>750000</v>
      </c>
      <c r="L169" s="2">
        <f t="shared" si="20"/>
        <v>1000000</v>
      </c>
      <c r="M169" s="6">
        <f t="shared" si="21"/>
        <v>1.6970179999999999</v>
      </c>
      <c r="N169" t="str">
        <f t="shared" si="22"/>
        <v>150-200%</v>
      </c>
      <c r="O169" s="7">
        <f>MIN(I169,H169)*INDEX('2018_commission_structure'!$A$11:$I$14,MATCH(Calculations!$E169,'2018_commission_structure'!$A$11:$A$14,0),MATCH(Calculations!O$1,'2018_commission_structure'!$A$11:$I$11,0))</f>
        <v>50000</v>
      </c>
      <c r="P169" s="7">
        <f>IF($H169&gt;I169,MIN($H169-I169,J169-I169)*INDEX('2018_commission_structure'!$A$11:$I$14,MATCH(Calculations!$E169,'2018_commission_structure'!$A$11:$A$14,0), MATCH(Calculations!P$1,'2018_commission_structure'!$A$11:$I$11,0)),0)</f>
        <v>18750</v>
      </c>
      <c r="Q169" s="7">
        <f>IF($H169&gt;J169,MIN($H169-J169,K169-J169)*INDEX('2018_commission_structure'!$A$11:$I$14,MATCH(Calculations!$E169,'2018_commission_structure'!$A$11:$A$14,0), MATCH(Calculations!Q$1,'2018_commission_structure'!$A$11:$I$11,0)),0)</f>
        <v>22500</v>
      </c>
      <c r="R169" s="7">
        <f>IF($H169&gt;K169,MIN($H169-K169,L169-K169)*INDEX('2018_commission_structure'!$A$11:$I$14,MATCH(Calculations!$E169,'2018_commission_structure'!$A$11:$A$14,0), MATCH(Calculations!R$1,'2018_commission_structure'!$A$11:$I$11,0)),0)</f>
        <v>21671.98</v>
      </c>
      <c r="S169" s="7">
        <f>IF(H169&gt;L169,(H169-L169)*INDEX('2018_commission_structure'!$A$11:$I$14,MATCH(Calculations!$E169,'2018_commission_structure'!$A$11:$A$14,0),MATCH(Calculations!S$1,'2018_commission_structure'!$A$11:$I$11,0)),0)</f>
        <v>0</v>
      </c>
      <c r="T169" s="7">
        <f t="shared" si="23"/>
        <v>112921.98</v>
      </c>
      <c r="U169" s="7">
        <f t="shared" si="24"/>
        <v>169708.97999999998</v>
      </c>
      <c r="V169" s="7">
        <f>MIN(H169,I169)*INDEX('2018_commission_structure'!$A$5:$J$8,MATCH(Calculations!$E169,'2018_commission_structure'!$A$5:$A$8,0),MATCH(Calculations!V$1,'2018_commission_structure'!$A$5:$J$5,0))</f>
        <v>60000</v>
      </c>
      <c r="W169" s="2">
        <f>IF($H169&gt;I169,MIN($H169-I169,J169-I169)*INDEX('2018_commission_structure'!$A$5:$J$8,MATCH(Calculations!$E169,'2018_commission_structure'!$A$5:$A$8,0),MATCH(Calculations!W$1,'2018_commission_structure'!$A$5:$J$5,0)),0)</f>
        <v>21250</v>
      </c>
      <c r="X169" s="2">
        <f>IF($H169&gt;J169,MIN($H169-J169,K169-J169)*INDEX('2018_commission_structure'!$A$5:$J$8,MATCH(Calculations!$E169,'2018_commission_structure'!$A$5:$A$8,0),MATCH(Calculations!X$1,'2018_commission_structure'!$A$5:$J$5,0)),0)</f>
        <v>25000</v>
      </c>
      <c r="Y169" s="2">
        <f>IF($H169&gt;K169,MIN($H169-K169,L169-K169)*INDEX('2018_commission_structure'!$A$5:$J$8,MATCH(Calculations!$E169,'2018_commission_structure'!$A$5:$A$8,0),MATCH(Calculations!Y$1,'2018_commission_structure'!$A$5:$J$5,0)),0)</f>
        <v>21671.98</v>
      </c>
      <c r="Z169" s="2">
        <f xml:space="preserve"> IF(H169&gt;L169,(H169-L169)*INDEX('2018_commission_structure'!$A$11:$I$14,MATCH(Calculations!$E169,'2018_commission_structure'!$A$11:$A$14,0),MATCH(Calculations!Z$1,'2018_commission_structure'!$A$11:$I$11,0)),0)</f>
        <v>0</v>
      </c>
      <c r="AA169" s="7">
        <f t="shared" si="25"/>
        <v>127921.98</v>
      </c>
      <c r="AB169" s="7">
        <f t="shared" si="26"/>
        <v>184708.97999999998</v>
      </c>
    </row>
    <row r="170" spans="1:28" x14ac:dyDescent="0.25">
      <c r="A170">
        <v>4260324861</v>
      </c>
      <c r="B170" t="s">
        <v>872</v>
      </c>
      <c r="C170" t="s">
        <v>873</v>
      </c>
      <c r="D170" t="str">
        <f>B170&amp;" "&amp;C170</f>
        <v>Judd Cowlard</v>
      </c>
      <c r="E170" t="s">
        <v>29</v>
      </c>
      <c r="F170">
        <v>78989</v>
      </c>
      <c r="G170">
        <f>COUNTIF(deals_closed!D:D,Calculations!A170)</f>
        <v>27</v>
      </c>
      <c r="H170" s="2">
        <f>SUMIF(deals_closed!D:D,Calculations!A170,deals_closed!C:C)</f>
        <v>831331</v>
      </c>
      <c r="I170" s="2">
        <f>VLOOKUP(E170,'2018_commission_structure'!$A$11:$I$14,9,FALSE)</f>
        <v>600000</v>
      </c>
      <c r="J170" s="2">
        <f t="shared" si="18"/>
        <v>750000</v>
      </c>
      <c r="K170" s="2">
        <f t="shared" si="19"/>
        <v>900000</v>
      </c>
      <c r="L170" s="2">
        <f t="shared" si="20"/>
        <v>1200000</v>
      </c>
      <c r="M170" s="6">
        <f t="shared" si="21"/>
        <v>1.3855516666666667</v>
      </c>
      <c r="N170" t="str">
        <f t="shared" si="22"/>
        <v>125-150%</v>
      </c>
      <c r="O170" s="7">
        <f>MIN(I170,H170)*INDEX('2018_commission_structure'!$A$11:$I$14,MATCH(Calculations!$E170,'2018_commission_structure'!$A$11:$A$14,0),MATCH(Calculations!O$1,'2018_commission_structure'!$A$11:$I$11,0))</f>
        <v>78000</v>
      </c>
      <c r="P170" s="7">
        <f>IF($H170&gt;I170,MIN($H170-I170,J170-I170)*INDEX('2018_commission_structure'!$A$11:$I$14,MATCH(Calculations!$E170,'2018_commission_structure'!$A$11:$A$14,0), MATCH(Calculations!P$1,'2018_commission_structure'!$A$11:$I$11,0)),0)</f>
        <v>25500.000000000004</v>
      </c>
      <c r="Q170" s="7">
        <f>IF($H170&gt;J170,MIN($H170-J170,K170-J170)*INDEX('2018_commission_structure'!$A$11:$I$14,MATCH(Calculations!$E170,'2018_commission_structure'!$A$11:$A$14,0), MATCH(Calculations!Q$1,'2018_commission_structure'!$A$11:$I$11,0)),0)</f>
        <v>17079.509999999998</v>
      </c>
      <c r="R170" s="7">
        <f>IF($H170&gt;K170,MIN($H170-K170,L170-K170)*INDEX('2018_commission_structure'!$A$11:$I$14,MATCH(Calculations!$E170,'2018_commission_structure'!$A$11:$A$14,0), MATCH(Calculations!R$1,'2018_commission_structure'!$A$11:$I$11,0)),0)</f>
        <v>0</v>
      </c>
      <c r="S170" s="7">
        <f>IF(H170&gt;L170,(H170-L170)*INDEX('2018_commission_structure'!$A$11:$I$14,MATCH(Calculations!$E170,'2018_commission_structure'!$A$11:$A$14,0),MATCH(Calculations!S$1,'2018_commission_structure'!$A$11:$I$11,0)),0)</f>
        <v>0</v>
      </c>
      <c r="T170" s="7">
        <f t="shared" si="23"/>
        <v>120579.51</v>
      </c>
      <c r="U170" s="7">
        <f t="shared" si="24"/>
        <v>199568.51</v>
      </c>
      <c r="V170" s="7">
        <f>MIN(H170,I170)*INDEX('2018_commission_structure'!$A$5:$J$8,MATCH(Calculations!$E170,'2018_commission_structure'!$A$5:$A$8,0),MATCH(Calculations!V$1,'2018_commission_structure'!$A$5:$J$5,0))</f>
        <v>90000</v>
      </c>
      <c r="W170" s="2">
        <f>IF($H170&gt;I170,MIN($H170-I170,J170-I170)*INDEX('2018_commission_structure'!$A$5:$J$8,MATCH(Calculations!$E170,'2018_commission_structure'!$A$5:$A$8,0),MATCH(Calculations!W$1,'2018_commission_structure'!$A$5:$J$5,0)),0)</f>
        <v>27000</v>
      </c>
      <c r="X170" s="2">
        <f>IF($H170&gt;J170,MIN($H170-J170,K170-J170)*INDEX('2018_commission_structure'!$A$5:$J$8,MATCH(Calculations!$E170,'2018_commission_structure'!$A$5:$A$8,0),MATCH(Calculations!X$1,'2018_commission_structure'!$A$5:$J$5,0)),0)</f>
        <v>20332.75</v>
      </c>
      <c r="Y170" s="2">
        <f>IF($H170&gt;K170,MIN($H170-K170,L170-K170)*INDEX('2018_commission_structure'!$A$5:$J$8,MATCH(Calculations!$E170,'2018_commission_structure'!$A$5:$A$8,0),MATCH(Calculations!Y$1,'2018_commission_structure'!$A$5:$J$5,0)),0)</f>
        <v>0</v>
      </c>
      <c r="Z170" s="2">
        <f xml:space="preserve"> IF(H170&gt;L170,(H170-L170)*INDEX('2018_commission_structure'!$A$11:$I$14,MATCH(Calculations!$E170,'2018_commission_structure'!$A$11:$A$14,0),MATCH(Calculations!Z$1,'2018_commission_structure'!$A$11:$I$11,0)),0)</f>
        <v>0</v>
      </c>
      <c r="AA170" s="7">
        <f t="shared" si="25"/>
        <v>137332.75</v>
      </c>
      <c r="AB170" s="7">
        <f t="shared" si="26"/>
        <v>216321.75</v>
      </c>
    </row>
    <row r="171" spans="1:28" x14ac:dyDescent="0.25">
      <c r="A171">
        <v>9089601147</v>
      </c>
      <c r="B171" t="s">
        <v>300</v>
      </c>
      <c r="C171" t="s">
        <v>301</v>
      </c>
      <c r="D171" t="str">
        <f>B171&amp;" "&amp;C171</f>
        <v>Barbabra Cramond</v>
      </c>
      <c r="E171" t="s">
        <v>29</v>
      </c>
      <c r="F171">
        <v>70306</v>
      </c>
      <c r="G171">
        <f>COUNTIF(deals_closed!D:D,Calculations!A171)</f>
        <v>17</v>
      </c>
      <c r="H171" s="2">
        <f>SUMIF(deals_closed!D:D,Calculations!A171,deals_closed!C:C)</f>
        <v>518120</v>
      </c>
      <c r="I171" s="2">
        <f>VLOOKUP(E171,'2018_commission_structure'!$A$11:$I$14,9,FALSE)</f>
        <v>600000</v>
      </c>
      <c r="J171" s="2">
        <f t="shared" si="18"/>
        <v>750000</v>
      </c>
      <c r="K171" s="2">
        <f t="shared" si="19"/>
        <v>900000</v>
      </c>
      <c r="L171" s="2">
        <f t="shared" si="20"/>
        <v>1200000</v>
      </c>
      <c r="M171" s="6">
        <f t="shared" si="21"/>
        <v>0.86353333333333337</v>
      </c>
      <c r="N171" t="str">
        <f t="shared" si="22"/>
        <v>0-100%</v>
      </c>
      <c r="O171" s="7">
        <f>MIN(I171,H171)*INDEX('2018_commission_structure'!$A$11:$I$14,MATCH(Calculations!$E171,'2018_commission_structure'!$A$11:$A$14,0),MATCH(Calculations!O$1,'2018_commission_structure'!$A$11:$I$11,0))</f>
        <v>67355.600000000006</v>
      </c>
      <c r="P171" s="7">
        <f>IF($H171&gt;I171,MIN($H171-I171,J171-I171)*INDEX('2018_commission_structure'!$A$11:$I$14,MATCH(Calculations!$E171,'2018_commission_structure'!$A$11:$A$14,0), MATCH(Calculations!P$1,'2018_commission_structure'!$A$11:$I$11,0)),0)</f>
        <v>0</v>
      </c>
      <c r="Q171" s="7">
        <f>IF($H171&gt;J171,MIN($H171-J171,K171-J171)*INDEX('2018_commission_structure'!$A$11:$I$14,MATCH(Calculations!$E171,'2018_commission_structure'!$A$11:$A$14,0), MATCH(Calculations!Q$1,'2018_commission_structure'!$A$11:$I$11,0)),0)</f>
        <v>0</v>
      </c>
      <c r="R171" s="7">
        <f>IF($H171&gt;K171,MIN($H171-K171,L171-K171)*INDEX('2018_commission_structure'!$A$11:$I$14,MATCH(Calculations!$E171,'2018_commission_structure'!$A$11:$A$14,0), MATCH(Calculations!R$1,'2018_commission_structure'!$A$11:$I$11,0)),0)</f>
        <v>0</v>
      </c>
      <c r="S171" s="7">
        <f>IF(H171&gt;L171,(H171-L171)*INDEX('2018_commission_structure'!$A$11:$I$14,MATCH(Calculations!$E171,'2018_commission_structure'!$A$11:$A$14,0),MATCH(Calculations!S$1,'2018_commission_structure'!$A$11:$I$11,0)),0)</f>
        <v>0</v>
      </c>
      <c r="T171" s="7">
        <f t="shared" si="23"/>
        <v>67355.600000000006</v>
      </c>
      <c r="U171" s="7">
        <f t="shared" si="24"/>
        <v>137661.6</v>
      </c>
      <c r="V171" s="7">
        <f>MIN(H171,I171)*INDEX('2018_commission_structure'!$A$5:$J$8,MATCH(Calculations!$E171,'2018_commission_structure'!$A$5:$A$8,0),MATCH(Calculations!V$1,'2018_commission_structure'!$A$5:$J$5,0))</f>
        <v>77718</v>
      </c>
      <c r="W171" s="2">
        <f>IF($H171&gt;I171,MIN($H171-I171,J171-I171)*INDEX('2018_commission_structure'!$A$5:$J$8,MATCH(Calculations!$E171,'2018_commission_structure'!$A$5:$A$8,0),MATCH(Calculations!W$1,'2018_commission_structure'!$A$5:$J$5,0)),0)</f>
        <v>0</v>
      </c>
      <c r="X171" s="2">
        <f>IF($H171&gt;J171,MIN($H171-J171,K171-J171)*INDEX('2018_commission_structure'!$A$5:$J$8,MATCH(Calculations!$E171,'2018_commission_structure'!$A$5:$A$8,0),MATCH(Calculations!X$1,'2018_commission_structure'!$A$5:$J$5,0)),0)</f>
        <v>0</v>
      </c>
      <c r="Y171" s="2">
        <f>IF($H171&gt;K171,MIN($H171-K171,L171-K171)*INDEX('2018_commission_structure'!$A$5:$J$8,MATCH(Calculations!$E171,'2018_commission_structure'!$A$5:$A$8,0),MATCH(Calculations!Y$1,'2018_commission_structure'!$A$5:$J$5,0)),0)</f>
        <v>0</v>
      </c>
      <c r="Z171" s="2">
        <f xml:space="preserve"> IF(H171&gt;L171,(H171-L171)*INDEX('2018_commission_structure'!$A$11:$I$14,MATCH(Calculations!$E171,'2018_commission_structure'!$A$11:$A$14,0),MATCH(Calculations!Z$1,'2018_commission_structure'!$A$11:$I$11,0)),0)</f>
        <v>0</v>
      </c>
      <c r="AA171" s="7">
        <f t="shared" si="25"/>
        <v>77718</v>
      </c>
      <c r="AB171" s="7">
        <f t="shared" si="26"/>
        <v>148024</v>
      </c>
    </row>
    <row r="172" spans="1:28" x14ac:dyDescent="0.25">
      <c r="A172">
        <v>8905919081</v>
      </c>
      <c r="B172" t="s">
        <v>1391</v>
      </c>
      <c r="C172" t="s">
        <v>1392</v>
      </c>
      <c r="D172" t="str">
        <f>B172&amp;" "&amp;C172</f>
        <v>Dennis Cranage</v>
      </c>
      <c r="E172" t="s">
        <v>29</v>
      </c>
      <c r="F172">
        <v>63201</v>
      </c>
      <c r="G172">
        <f>COUNTIF(deals_closed!D:D,Calculations!A172)</f>
        <v>16</v>
      </c>
      <c r="H172" s="2">
        <f>SUMIF(deals_closed!D:D,Calculations!A172,deals_closed!C:C)</f>
        <v>521382</v>
      </c>
      <c r="I172" s="2">
        <f>VLOOKUP(E172,'2018_commission_structure'!$A$11:$I$14,9,FALSE)</f>
        <v>600000</v>
      </c>
      <c r="J172" s="2">
        <f t="shared" si="18"/>
        <v>750000</v>
      </c>
      <c r="K172" s="2">
        <f t="shared" si="19"/>
        <v>900000</v>
      </c>
      <c r="L172" s="2">
        <f t="shared" si="20"/>
        <v>1200000</v>
      </c>
      <c r="M172" s="6">
        <f t="shared" si="21"/>
        <v>0.86897000000000002</v>
      </c>
      <c r="N172" t="str">
        <f t="shared" si="22"/>
        <v>0-100%</v>
      </c>
      <c r="O172" s="7">
        <f>MIN(I172,H172)*INDEX('2018_commission_structure'!$A$11:$I$14,MATCH(Calculations!$E172,'2018_commission_structure'!$A$11:$A$14,0),MATCH(Calculations!O$1,'2018_commission_structure'!$A$11:$I$11,0))</f>
        <v>67779.66</v>
      </c>
      <c r="P172" s="7">
        <f>IF($H172&gt;I172,MIN($H172-I172,J172-I172)*INDEX('2018_commission_structure'!$A$11:$I$14,MATCH(Calculations!$E172,'2018_commission_structure'!$A$11:$A$14,0), MATCH(Calculations!P$1,'2018_commission_structure'!$A$11:$I$11,0)),0)</f>
        <v>0</v>
      </c>
      <c r="Q172" s="7">
        <f>IF($H172&gt;J172,MIN($H172-J172,K172-J172)*INDEX('2018_commission_structure'!$A$11:$I$14,MATCH(Calculations!$E172,'2018_commission_structure'!$A$11:$A$14,0), MATCH(Calculations!Q$1,'2018_commission_structure'!$A$11:$I$11,0)),0)</f>
        <v>0</v>
      </c>
      <c r="R172" s="7">
        <f>IF($H172&gt;K172,MIN($H172-K172,L172-K172)*INDEX('2018_commission_structure'!$A$11:$I$14,MATCH(Calculations!$E172,'2018_commission_structure'!$A$11:$A$14,0), MATCH(Calculations!R$1,'2018_commission_structure'!$A$11:$I$11,0)),0)</f>
        <v>0</v>
      </c>
      <c r="S172" s="7">
        <f>IF(H172&gt;L172,(H172-L172)*INDEX('2018_commission_structure'!$A$11:$I$14,MATCH(Calculations!$E172,'2018_commission_structure'!$A$11:$A$14,0),MATCH(Calculations!S$1,'2018_commission_structure'!$A$11:$I$11,0)),0)</f>
        <v>0</v>
      </c>
      <c r="T172" s="7">
        <f t="shared" si="23"/>
        <v>67779.66</v>
      </c>
      <c r="U172" s="7">
        <f t="shared" si="24"/>
        <v>130980.66</v>
      </c>
      <c r="V172" s="7">
        <f>MIN(H172,I172)*INDEX('2018_commission_structure'!$A$5:$J$8,MATCH(Calculations!$E172,'2018_commission_structure'!$A$5:$A$8,0),MATCH(Calculations!V$1,'2018_commission_structure'!$A$5:$J$5,0))</f>
        <v>78207.3</v>
      </c>
      <c r="W172" s="2">
        <f>IF($H172&gt;I172,MIN($H172-I172,J172-I172)*INDEX('2018_commission_structure'!$A$5:$J$8,MATCH(Calculations!$E172,'2018_commission_structure'!$A$5:$A$8,0),MATCH(Calculations!W$1,'2018_commission_structure'!$A$5:$J$5,0)),0)</f>
        <v>0</v>
      </c>
      <c r="X172" s="2">
        <f>IF($H172&gt;J172,MIN($H172-J172,K172-J172)*INDEX('2018_commission_structure'!$A$5:$J$8,MATCH(Calculations!$E172,'2018_commission_structure'!$A$5:$A$8,0),MATCH(Calculations!X$1,'2018_commission_structure'!$A$5:$J$5,0)),0)</f>
        <v>0</v>
      </c>
      <c r="Y172" s="2">
        <f>IF($H172&gt;K172,MIN($H172-K172,L172-K172)*INDEX('2018_commission_structure'!$A$5:$J$8,MATCH(Calculations!$E172,'2018_commission_structure'!$A$5:$A$8,0),MATCH(Calculations!Y$1,'2018_commission_structure'!$A$5:$J$5,0)),0)</f>
        <v>0</v>
      </c>
      <c r="Z172" s="2">
        <f xml:space="preserve"> IF(H172&gt;L172,(H172-L172)*INDEX('2018_commission_structure'!$A$11:$I$14,MATCH(Calculations!$E172,'2018_commission_structure'!$A$11:$A$14,0),MATCH(Calculations!Z$1,'2018_commission_structure'!$A$11:$I$11,0)),0)</f>
        <v>0</v>
      </c>
      <c r="AA172" s="7">
        <f t="shared" si="25"/>
        <v>78207.3</v>
      </c>
      <c r="AB172" s="7">
        <f t="shared" si="26"/>
        <v>141408.29999999999</v>
      </c>
    </row>
    <row r="173" spans="1:28" x14ac:dyDescent="0.25">
      <c r="A173">
        <v>7243767311</v>
      </c>
      <c r="B173" t="s">
        <v>1323</v>
      </c>
      <c r="C173" t="s">
        <v>1324</v>
      </c>
      <c r="D173" t="str">
        <f>B173&amp;" "&amp;C173</f>
        <v>Amory Crasswell</v>
      </c>
      <c r="E173" t="s">
        <v>7</v>
      </c>
      <c r="F173">
        <v>30256</v>
      </c>
      <c r="G173">
        <f>COUNTIF(deals_closed!D:D,Calculations!A173)</f>
        <v>22</v>
      </c>
      <c r="H173" s="2">
        <f>SUMIF(deals_closed!D:D,Calculations!A173,deals_closed!C:C)</f>
        <v>742123</v>
      </c>
      <c r="I173" s="2">
        <f>VLOOKUP(E173,'2018_commission_structure'!$A$11:$I$14,9,FALSE)</f>
        <v>500000</v>
      </c>
      <c r="J173" s="2">
        <f t="shared" si="18"/>
        <v>625000</v>
      </c>
      <c r="K173" s="2">
        <f t="shared" si="19"/>
        <v>750000</v>
      </c>
      <c r="L173" s="2">
        <f t="shared" si="20"/>
        <v>1000000</v>
      </c>
      <c r="M173" s="6">
        <f t="shared" si="21"/>
        <v>1.484246</v>
      </c>
      <c r="N173" t="str">
        <f t="shared" si="22"/>
        <v>125-150%</v>
      </c>
      <c r="O173" s="7">
        <f>MIN(I173,H173)*INDEX('2018_commission_structure'!$A$11:$I$14,MATCH(Calculations!$E173,'2018_commission_structure'!$A$11:$A$14,0),MATCH(Calculations!O$1,'2018_commission_structure'!$A$11:$I$11,0))</f>
        <v>50000</v>
      </c>
      <c r="P173" s="7">
        <f>IF($H173&gt;I173,MIN($H173-I173,J173-I173)*INDEX('2018_commission_structure'!$A$11:$I$14,MATCH(Calculations!$E173,'2018_commission_structure'!$A$11:$A$14,0), MATCH(Calculations!P$1,'2018_commission_structure'!$A$11:$I$11,0)),0)</f>
        <v>18750</v>
      </c>
      <c r="Q173" s="7">
        <f>IF($H173&gt;J173,MIN($H173-J173,K173-J173)*INDEX('2018_commission_structure'!$A$11:$I$14,MATCH(Calculations!$E173,'2018_commission_structure'!$A$11:$A$14,0), MATCH(Calculations!Q$1,'2018_commission_structure'!$A$11:$I$11,0)),0)</f>
        <v>21082.14</v>
      </c>
      <c r="R173" s="7">
        <f>IF($H173&gt;K173,MIN($H173-K173,L173-K173)*INDEX('2018_commission_structure'!$A$11:$I$14,MATCH(Calculations!$E173,'2018_commission_structure'!$A$11:$A$14,0), MATCH(Calculations!R$1,'2018_commission_structure'!$A$11:$I$11,0)),0)</f>
        <v>0</v>
      </c>
      <c r="S173" s="7">
        <f>IF(H173&gt;L173,(H173-L173)*INDEX('2018_commission_structure'!$A$11:$I$14,MATCH(Calculations!$E173,'2018_commission_structure'!$A$11:$A$14,0),MATCH(Calculations!S$1,'2018_commission_structure'!$A$11:$I$11,0)),0)</f>
        <v>0</v>
      </c>
      <c r="T173" s="7">
        <f t="shared" si="23"/>
        <v>89832.14</v>
      </c>
      <c r="U173" s="7">
        <f t="shared" si="24"/>
        <v>120088.14</v>
      </c>
      <c r="V173" s="7">
        <f>MIN(H173,I173)*INDEX('2018_commission_structure'!$A$5:$J$8,MATCH(Calculations!$E173,'2018_commission_structure'!$A$5:$A$8,0),MATCH(Calculations!V$1,'2018_commission_structure'!$A$5:$J$5,0))</f>
        <v>60000</v>
      </c>
      <c r="W173" s="2">
        <f>IF($H173&gt;I173,MIN($H173-I173,J173-I173)*INDEX('2018_commission_structure'!$A$5:$J$8,MATCH(Calculations!$E173,'2018_commission_structure'!$A$5:$A$8,0),MATCH(Calculations!W$1,'2018_commission_structure'!$A$5:$J$5,0)),0)</f>
        <v>21250</v>
      </c>
      <c r="X173" s="2">
        <f>IF($H173&gt;J173,MIN($H173-J173,K173-J173)*INDEX('2018_commission_structure'!$A$5:$J$8,MATCH(Calculations!$E173,'2018_commission_structure'!$A$5:$A$8,0),MATCH(Calculations!X$1,'2018_commission_structure'!$A$5:$J$5,0)),0)</f>
        <v>23424.600000000002</v>
      </c>
      <c r="Y173" s="2">
        <f>IF($H173&gt;K173,MIN($H173-K173,L173-K173)*INDEX('2018_commission_structure'!$A$5:$J$8,MATCH(Calculations!$E173,'2018_commission_structure'!$A$5:$A$8,0),MATCH(Calculations!Y$1,'2018_commission_structure'!$A$5:$J$5,0)),0)</f>
        <v>0</v>
      </c>
      <c r="Z173" s="2">
        <f xml:space="preserve"> IF(H173&gt;L173,(H173-L173)*INDEX('2018_commission_structure'!$A$11:$I$14,MATCH(Calculations!$E173,'2018_commission_structure'!$A$11:$A$14,0),MATCH(Calculations!Z$1,'2018_commission_structure'!$A$11:$I$11,0)),0)</f>
        <v>0</v>
      </c>
      <c r="AA173" s="7">
        <f t="shared" si="25"/>
        <v>104674.6</v>
      </c>
      <c r="AB173" s="7">
        <f t="shared" si="26"/>
        <v>134930.6</v>
      </c>
    </row>
    <row r="174" spans="1:28" x14ac:dyDescent="0.25">
      <c r="A174">
        <v>8065075959</v>
      </c>
      <c r="B174" t="s">
        <v>1225</v>
      </c>
      <c r="C174" t="s">
        <v>1226</v>
      </c>
      <c r="D174" t="str">
        <f>B174&amp;" "&amp;C174</f>
        <v>Carree Crayker</v>
      </c>
      <c r="E174" t="s">
        <v>29</v>
      </c>
      <c r="F174">
        <v>73150</v>
      </c>
      <c r="G174">
        <f>COUNTIF(deals_closed!D:D,Calculations!A174)</f>
        <v>21</v>
      </c>
      <c r="H174" s="2">
        <f>SUMIF(deals_closed!D:D,Calculations!A174,deals_closed!C:C)</f>
        <v>772208</v>
      </c>
      <c r="I174" s="2">
        <f>VLOOKUP(E174,'2018_commission_structure'!$A$11:$I$14,9,FALSE)</f>
        <v>600000</v>
      </c>
      <c r="J174" s="2">
        <f t="shared" si="18"/>
        <v>750000</v>
      </c>
      <c r="K174" s="2">
        <f t="shared" si="19"/>
        <v>900000</v>
      </c>
      <c r="L174" s="2">
        <f t="shared" si="20"/>
        <v>1200000</v>
      </c>
      <c r="M174" s="6">
        <f t="shared" si="21"/>
        <v>1.2870133333333333</v>
      </c>
      <c r="N174" t="str">
        <f t="shared" si="22"/>
        <v>125-150%</v>
      </c>
      <c r="O174" s="7">
        <f>MIN(I174,H174)*INDEX('2018_commission_structure'!$A$11:$I$14,MATCH(Calculations!$E174,'2018_commission_structure'!$A$11:$A$14,0),MATCH(Calculations!O$1,'2018_commission_structure'!$A$11:$I$11,0))</f>
        <v>78000</v>
      </c>
      <c r="P174" s="7">
        <f>IF($H174&gt;I174,MIN($H174-I174,J174-I174)*INDEX('2018_commission_structure'!$A$11:$I$14,MATCH(Calculations!$E174,'2018_commission_structure'!$A$11:$A$14,0), MATCH(Calculations!P$1,'2018_commission_structure'!$A$11:$I$11,0)),0)</f>
        <v>25500.000000000004</v>
      </c>
      <c r="Q174" s="7">
        <f>IF($H174&gt;J174,MIN($H174-J174,K174-J174)*INDEX('2018_commission_structure'!$A$11:$I$14,MATCH(Calculations!$E174,'2018_commission_structure'!$A$11:$A$14,0), MATCH(Calculations!Q$1,'2018_commission_structure'!$A$11:$I$11,0)),0)</f>
        <v>4663.6799999999994</v>
      </c>
      <c r="R174" s="7">
        <f>IF($H174&gt;K174,MIN($H174-K174,L174-K174)*INDEX('2018_commission_structure'!$A$11:$I$14,MATCH(Calculations!$E174,'2018_commission_structure'!$A$11:$A$14,0), MATCH(Calculations!R$1,'2018_commission_structure'!$A$11:$I$11,0)),0)</f>
        <v>0</v>
      </c>
      <c r="S174" s="7">
        <f>IF(H174&gt;L174,(H174-L174)*INDEX('2018_commission_structure'!$A$11:$I$14,MATCH(Calculations!$E174,'2018_commission_structure'!$A$11:$A$14,0),MATCH(Calculations!S$1,'2018_commission_structure'!$A$11:$I$11,0)),0)</f>
        <v>0</v>
      </c>
      <c r="T174" s="7">
        <f t="shared" si="23"/>
        <v>108163.68</v>
      </c>
      <c r="U174" s="7">
        <f t="shared" si="24"/>
        <v>181313.68</v>
      </c>
      <c r="V174" s="7">
        <f>MIN(H174,I174)*INDEX('2018_commission_structure'!$A$5:$J$8,MATCH(Calculations!$E174,'2018_commission_structure'!$A$5:$A$8,0),MATCH(Calculations!V$1,'2018_commission_structure'!$A$5:$J$5,0))</f>
        <v>90000</v>
      </c>
      <c r="W174" s="2">
        <f>IF($H174&gt;I174,MIN($H174-I174,J174-I174)*INDEX('2018_commission_structure'!$A$5:$J$8,MATCH(Calculations!$E174,'2018_commission_structure'!$A$5:$A$8,0),MATCH(Calculations!W$1,'2018_commission_structure'!$A$5:$J$5,0)),0)</f>
        <v>27000</v>
      </c>
      <c r="X174" s="2">
        <f>IF($H174&gt;J174,MIN($H174-J174,K174-J174)*INDEX('2018_commission_structure'!$A$5:$J$8,MATCH(Calculations!$E174,'2018_commission_structure'!$A$5:$A$8,0),MATCH(Calculations!X$1,'2018_commission_structure'!$A$5:$J$5,0)),0)</f>
        <v>5552</v>
      </c>
      <c r="Y174" s="2">
        <f>IF($H174&gt;K174,MIN($H174-K174,L174-K174)*INDEX('2018_commission_structure'!$A$5:$J$8,MATCH(Calculations!$E174,'2018_commission_structure'!$A$5:$A$8,0),MATCH(Calculations!Y$1,'2018_commission_structure'!$A$5:$J$5,0)),0)</f>
        <v>0</v>
      </c>
      <c r="Z174" s="2">
        <f xml:space="preserve"> IF(H174&gt;L174,(H174-L174)*INDEX('2018_commission_structure'!$A$11:$I$14,MATCH(Calculations!$E174,'2018_commission_structure'!$A$11:$A$14,0),MATCH(Calculations!Z$1,'2018_commission_structure'!$A$11:$I$11,0)),0)</f>
        <v>0</v>
      </c>
      <c r="AA174" s="7">
        <f t="shared" si="25"/>
        <v>122552</v>
      </c>
      <c r="AB174" s="7">
        <f t="shared" si="26"/>
        <v>195702</v>
      </c>
    </row>
    <row r="175" spans="1:28" x14ac:dyDescent="0.25">
      <c r="A175">
        <v>6293335589</v>
      </c>
      <c r="B175" t="s">
        <v>1027</v>
      </c>
      <c r="C175" t="s">
        <v>1028</v>
      </c>
      <c r="D175" t="str">
        <f>B175&amp;" "&amp;C175</f>
        <v>Eustacia Creamer</v>
      </c>
      <c r="E175" t="s">
        <v>7</v>
      </c>
      <c r="F175">
        <v>40857</v>
      </c>
      <c r="G175">
        <f>COUNTIF(deals_closed!D:D,Calculations!A175)</f>
        <v>13</v>
      </c>
      <c r="H175" s="2">
        <f>SUMIF(deals_closed!D:D,Calculations!A175,deals_closed!C:C)</f>
        <v>479942</v>
      </c>
      <c r="I175" s="2">
        <f>VLOOKUP(E175,'2018_commission_structure'!$A$11:$I$14,9,FALSE)</f>
        <v>500000</v>
      </c>
      <c r="J175" s="2">
        <f t="shared" si="18"/>
        <v>625000</v>
      </c>
      <c r="K175" s="2">
        <f t="shared" si="19"/>
        <v>750000</v>
      </c>
      <c r="L175" s="2">
        <f t="shared" si="20"/>
        <v>1000000</v>
      </c>
      <c r="M175" s="6">
        <f t="shared" si="21"/>
        <v>0.95988399999999996</v>
      </c>
      <c r="N175" t="str">
        <f t="shared" si="22"/>
        <v>0-100%</v>
      </c>
      <c r="O175" s="7">
        <f>MIN(I175,H175)*INDEX('2018_commission_structure'!$A$11:$I$14,MATCH(Calculations!$E175,'2018_commission_structure'!$A$11:$A$14,0),MATCH(Calculations!O$1,'2018_commission_structure'!$A$11:$I$11,0))</f>
        <v>47994.200000000004</v>
      </c>
      <c r="P175" s="7">
        <f>IF($H175&gt;I175,MIN($H175-I175,J175-I175)*INDEX('2018_commission_structure'!$A$11:$I$14,MATCH(Calculations!$E175,'2018_commission_structure'!$A$11:$A$14,0), MATCH(Calculations!P$1,'2018_commission_structure'!$A$11:$I$11,0)),0)</f>
        <v>0</v>
      </c>
      <c r="Q175" s="7">
        <f>IF($H175&gt;J175,MIN($H175-J175,K175-J175)*INDEX('2018_commission_structure'!$A$11:$I$14,MATCH(Calculations!$E175,'2018_commission_structure'!$A$11:$A$14,0), MATCH(Calculations!Q$1,'2018_commission_structure'!$A$11:$I$11,0)),0)</f>
        <v>0</v>
      </c>
      <c r="R175" s="7">
        <f>IF($H175&gt;K175,MIN($H175-K175,L175-K175)*INDEX('2018_commission_structure'!$A$11:$I$14,MATCH(Calculations!$E175,'2018_commission_structure'!$A$11:$A$14,0), MATCH(Calculations!R$1,'2018_commission_structure'!$A$11:$I$11,0)),0)</f>
        <v>0</v>
      </c>
      <c r="S175" s="7">
        <f>IF(H175&gt;L175,(H175-L175)*INDEX('2018_commission_structure'!$A$11:$I$14,MATCH(Calculations!$E175,'2018_commission_structure'!$A$11:$A$14,0),MATCH(Calculations!S$1,'2018_commission_structure'!$A$11:$I$11,0)),0)</f>
        <v>0</v>
      </c>
      <c r="T175" s="7">
        <f t="shared" si="23"/>
        <v>47994.200000000004</v>
      </c>
      <c r="U175" s="7">
        <f t="shared" si="24"/>
        <v>88851.200000000012</v>
      </c>
      <c r="V175" s="7">
        <f>MIN(H175,I175)*INDEX('2018_commission_structure'!$A$5:$J$8,MATCH(Calculations!$E175,'2018_commission_structure'!$A$5:$A$8,0),MATCH(Calculations!V$1,'2018_commission_structure'!$A$5:$J$5,0))</f>
        <v>57593.04</v>
      </c>
      <c r="W175" s="2">
        <f>IF($H175&gt;I175,MIN($H175-I175,J175-I175)*INDEX('2018_commission_structure'!$A$5:$J$8,MATCH(Calculations!$E175,'2018_commission_structure'!$A$5:$A$8,0),MATCH(Calculations!W$1,'2018_commission_structure'!$A$5:$J$5,0)),0)</f>
        <v>0</v>
      </c>
      <c r="X175" s="2">
        <f>IF($H175&gt;J175,MIN($H175-J175,K175-J175)*INDEX('2018_commission_structure'!$A$5:$J$8,MATCH(Calculations!$E175,'2018_commission_structure'!$A$5:$A$8,0),MATCH(Calculations!X$1,'2018_commission_structure'!$A$5:$J$5,0)),0)</f>
        <v>0</v>
      </c>
      <c r="Y175" s="2">
        <f>IF($H175&gt;K175,MIN($H175-K175,L175-K175)*INDEX('2018_commission_structure'!$A$5:$J$8,MATCH(Calculations!$E175,'2018_commission_structure'!$A$5:$A$8,0),MATCH(Calculations!Y$1,'2018_commission_structure'!$A$5:$J$5,0)),0)</f>
        <v>0</v>
      </c>
      <c r="Z175" s="2">
        <f xml:space="preserve"> IF(H175&gt;L175,(H175-L175)*INDEX('2018_commission_structure'!$A$11:$I$14,MATCH(Calculations!$E175,'2018_commission_structure'!$A$11:$A$14,0),MATCH(Calculations!Z$1,'2018_commission_structure'!$A$11:$I$11,0)),0)</f>
        <v>0</v>
      </c>
      <c r="AA175" s="7">
        <f t="shared" si="25"/>
        <v>57593.04</v>
      </c>
      <c r="AB175" s="7">
        <f t="shared" si="26"/>
        <v>98450.040000000008</v>
      </c>
    </row>
    <row r="176" spans="1:28" x14ac:dyDescent="0.25">
      <c r="A176">
        <v>1249074622</v>
      </c>
      <c r="B176" t="s">
        <v>561</v>
      </c>
      <c r="C176" t="s">
        <v>562</v>
      </c>
      <c r="D176" t="str">
        <f>B176&amp;" "&amp;C176</f>
        <v>Jonah Crighton</v>
      </c>
      <c r="E176" t="s">
        <v>7</v>
      </c>
      <c r="F176">
        <v>32561</v>
      </c>
      <c r="G176">
        <f>COUNTIF(deals_closed!D:D,Calculations!A176)</f>
        <v>15</v>
      </c>
      <c r="H176" s="2">
        <f>SUMIF(deals_closed!D:D,Calculations!A176,deals_closed!C:C)</f>
        <v>599656</v>
      </c>
      <c r="I176" s="2">
        <f>VLOOKUP(E176,'2018_commission_structure'!$A$11:$I$14,9,FALSE)</f>
        <v>500000</v>
      </c>
      <c r="J176" s="2">
        <f t="shared" si="18"/>
        <v>625000</v>
      </c>
      <c r="K176" s="2">
        <f t="shared" si="19"/>
        <v>750000</v>
      </c>
      <c r="L176" s="2">
        <f t="shared" si="20"/>
        <v>1000000</v>
      </c>
      <c r="M176" s="6">
        <f t="shared" si="21"/>
        <v>1.1993119999999999</v>
      </c>
      <c r="N176" t="str">
        <f t="shared" si="22"/>
        <v>100-125%</v>
      </c>
      <c r="O176" s="7">
        <f>MIN(I176,H176)*INDEX('2018_commission_structure'!$A$11:$I$14,MATCH(Calculations!$E176,'2018_commission_structure'!$A$11:$A$14,0),MATCH(Calculations!O$1,'2018_commission_structure'!$A$11:$I$11,0))</f>
        <v>50000</v>
      </c>
      <c r="P176" s="7">
        <f>IF($H176&gt;I176,MIN($H176-I176,J176-I176)*INDEX('2018_commission_structure'!$A$11:$I$14,MATCH(Calculations!$E176,'2018_commission_structure'!$A$11:$A$14,0), MATCH(Calculations!P$1,'2018_commission_structure'!$A$11:$I$11,0)),0)</f>
        <v>14948.4</v>
      </c>
      <c r="Q176" s="7">
        <f>IF($H176&gt;J176,MIN($H176-J176,K176-J176)*INDEX('2018_commission_structure'!$A$11:$I$14,MATCH(Calculations!$E176,'2018_commission_structure'!$A$11:$A$14,0), MATCH(Calculations!Q$1,'2018_commission_structure'!$A$11:$I$11,0)),0)</f>
        <v>0</v>
      </c>
      <c r="R176" s="7">
        <f>IF($H176&gt;K176,MIN($H176-K176,L176-K176)*INDEX('2018_commission_structure'!$A$11:$I$14,MATCH(Calculations!$E176,'2018_commission_structure'!$A$11:$A$14,0), MATCH(Calculations!R$1,'2018_commission_structure'!$A$11:$I$11,0)),0)</f>
        <v>0</v>
      </c>
      <c r="S176" s="7">
        <f>IF(H176&gt;L176,(H176-L176)*INDEX('2018_commission_structure'!$A$11:$I$14,MATCH(Calculations!$E176,'2018_commission_structure'!$A$11:$A$14,0),MATCH(Calculations!S$1,'2018_commission_structure'!$A$11:$I$11,0)),0)</f>
        <v>0</v>
      </c>
      <c r="T176" s="7">
        <f t="shared" si="23"/>
        <v>64948.4</v>
      </c>
      <c r="U176" s="7">
        <f t="shared" si="24"/>
        <v>97509.4</v>
      </c>
      <c r="V176" s="7">
        <f>MIN(H176,I176)*INDEX('2018_commission_structure'!$A$5:$J$8,MATCH(Calculations!$E176,'2018_commission_structure'!$A$5:$A$8,0),MATCH(Calculations!V$1,'2018_commission_structure'!$A$5:$J$5,0))</f>
        <v>60000</v>
      </c>
      <c r="W176" s="2">
        <f>IF($H176&gt;I176,MIN($H176-I176,J176-I176)*INDEX('2018_commission_structure'!$A$5:$J$8,MATCH(Calculations!$E176,'2018_commission_structure'!$A$5:$A$8,0),MATCH(Calculations!W$1,'2018_commission_structure'!$A$5:$J$5,0)),0)</f>
        <v>16941.52</v>
      </c>
      <c r="X176" s="2">
        <f>IF($H176&gt;J176,MIN($H176-J176,K176-J176)*INDEX('2018_commission_structure'!$A$5:$J$8,MATCH(Calculations!$E176,'2018_commission_structure'!$A$5:$A$8,0),MATCH(Calculations!X$1,'2018_commission_structure'!$A$5:$J$5,0)),0)</f>
        <v>0</v>
      </c>
      <c r="Y176" s="2">
        <f>IF($H176&gt;K176,MIN($H176-K176,L176-K176)*INDEX('2018_commission_structure'!$A$5:$J$8,MATCH(Calculations!$E176,'2018_commission_structure'!$A$5:$A$8,0),MATCH(Calculations!Y$1,'2018_commission_structure'!$A$5:$J$5,0)),0)</f>
        <v>0</v>
      </c>
      <c r="Z176" s="2">
        <f xml:space="preserve"> IF(H176&gt;L176,(H176-L176)*INDEX('2018_commission_structure'!$A$11:$I$14,MATCH(Calculations!$E176,'2018_commission_structure'!$A$11:$A$14,0),MATCH(Calculations!Z$1,'2018_commission_structure'!$A$11:$I$11,0)),0)</f>
        <v>0</v>
      </c>
      <c r="AA176" s="7">
        <f t="shared" si="25"/>
        <v>76941.52</v>
      </c>
      <c r="AB176" s="7">
        <f t="shared" si="26"/>
        <v>109502.52</v>
      </c>
    </row>
    <row r="177" spans="1:28" x14ac:dyDescent="0.25">
      <c r="A177">
        <v>3956653289</v>
      </c>
      <c r="B177" t="s">
        <v>495</v>
      </c>
      <c r="C177" t="s">
        <v>496</v>
      </c>
      <c r="D177" t="str">
        <f>B177&amp;" "&amp;C177</f>
        <v>Toma Crisell</v>
      </c>
      <c r="E177" t="s">
        <v>29</v>
      </c>
      <c r="F177">
        <v>71798</v>
      </c>
      <c r="G177">
        <f>COUNTIF(deals_closed!D:D,Calculations!A177)</f>
        <v>17</v>
      </c>
      <c r="H177" s="2">
        <f>SUMIF(deals_closed!D:D,Calculations!A177,deals_closed!C:C)</f>
        <v>693757</v>
      </c>
      <c r="I177" s="2">
        <f>VLOOKUP(E177,'2018_commission_structure'!$A$11:$I$14,9,FALSE)</f>
        <v>600000</v>
      </c>
      <c r="J177" s="2">
        <f t="shared" si="18"/>
        <v>750000</v>
      </c>
      <c r="K177" s="2">
        <f t="shared" si="19"/>
        <v>900000</v>
      </c>
      <c r="L177" s="2">
        <f t="shared" si="20"/>
        <v>1200000</v>
      </c>
      <c r="M177" s="6">
        <f t="shared" si="21"/>
        <v>1.1562616666666667</v>
      </c>
      <c r="N177" t="str">
        <f t="shared" si="22"/>
        <v>100-125%</v>
      </c>
      <c r="O177" s="7">
        <f>MIN(I177,H177)*INDEX('2018_commission_structure'!$A$11:$I$14,MATCH(Calculations!$E177,'2018_commission_structure'!$A$11:$A$14,0),MATCH(Calculations!O$1,'2018_commission_structure'!$A$11:$I$11,0))</f>
        <v>78000</v>
      </c>
      <c r="P177" s="7">
        <f>IF($H177&gt;I177,MIN($H177-I177,J177-I177)*INDEX('2018_commission_structure'!$A$11:$I$14,MATCH(Calculations!$E177,'2018_commission_structure'!$A$11:$A$14,0), MATCH(Calculations!P$1,'2018_commission_structure'!$A$11:$I$11,0)),0)</f>
        <v>15938.69</v>
      </c>
      <c r="Q177" s="7">
        <f>IF($H177&gt;J177,MIN($H177-J177,K177-J177)*INDEX('2018_commission_structure'!$A$11:$I$14,MATCH(Calculations!$E177,'2018_commission_structure'!$A$11:$A$14,0), MATCH(Calculations!Q$1,'2018_commission_structure'!$A$11:$I$11,0)),0)</f>
        <v>0</v>
      </c>
      <c r="R177" s="7">
        <f>IF($H177&gt;K177,MIN($H177-K177,L177-K177)*INDEX('2018_commission_structure'!$A$11:$I$14,MATCH(Calculations!$E177,'2018_commission_structure'!$A$11:$A$14,0), MATCH(Calculations!R$1,'2018_commission_structure'!$A$11:$I$11,0)),0)</f>
        <v>0</v>
      </c>
      <c r="S177" s="7">
        <f>IF(H177&gt;L177,(H177-L177)*INDEX('2018_commission_structure'!$A$11:$I$14,MATCH(Calculations!$E177,'2018_commission_structure'!$A$11:$A$14,0),MATCH(Calculations!S$1,'2018_commission_structure'!$A$11:$I$11,0)),0)</f>
        <v>0</v>
      </c>
      <c r="T177" s="7">
        <f t="shared" si="23"/>
        <v>93938.69</v>
      </c>
      <c r="U177" s="7">
        <f t="shared" si="24"/>
        <v>165736.69</v>
      </c>
      <c r="V177" s="7">
        <f>MIN(H177,I177)*INDEX('2018_commission_structure'!$A$5:$J$8,MATCH(Calculations!$E177,'2018_commission_structure'!$A$5:$A$8,0),MATCH(Calculations!V$1,'2018_commission_structure'!$A$5:$J$5,0))</f>
        <v>90000</v>
      </c>
      <c r="W177" s="2">
        <f>IF($H177&gt;I177,MIN($H177-I177,J177-I177)*INDEX('2018_commission_structure'!$A$5:$J$8,MATCH(Calculations!$E177,'2018_commission_structure'!$A$5:$A$8,0),MATCH(Calculations!W$1,'2018_commission_structure'!$A$5:$J$5,0)),0)</f>
        <v>16876.259999999998</v>
      </c>
      <c r="X177" s="2">
        <f>IF($H177&gt;J177,MIN($H177-J177,K177-J177)*INDEX('2018_commission_structure'!$A$5:$J$8,MATCH(Calculations!$E177,'2018_commission_structure'!$A$5:$A$8,0),MATCH(Calculations!X$1,'2018_commission_structure'!$A$5:$J$5,0)),0)</f>
        <v>0</v>
      </c>
      <c r="Y177" s="2">
        <f>IF($H177&gt;K177,MIN($H177-K177,L177-K177)*INDEX('2018_commission_structure'!$A$5:$J$8,MATCH(Calculations!$E177,'2018_commission_structure'!$A$5:$A$8,0),MATCH(Calculations!Y$1,'2018_commission_structure'!$A$5:$J$5,0)),0)</f>
        <v>0</v>
      </c>
      <c r="Z177" s="2">
        <f xml:space="preserve"> IF(H177&gt;L177,(H177-L177)*INDEX('2018_commission_structure'!$A$11:$I$14,MATCH(Calculations!$E177,'2018_commission_structure'!$A$11:$A$14,0),MATCH(Calculations!Z$1,'2018_commission_structure'!$A$11:$I$11,0)),0)</f>
        <v>0</v>
      </c>
      <c r="AA177" s="7">
        <f t="shared" si="25"/>
        <v>106876.26</v>
      </c>
      <c r="AB177" s="7">
        <f t="shared" si="26"/>
        <v>178674.26</v>
      </c>
    </row>
    <row r="178" spans="1:28" x14ac:dyDescent="0.25">
      <c r="A178">
        <v>5244119095</v>
      </c>
      <c r="B178" t="s">
        <v>1106</v>
      </c>
      <c r="C178" t="s">
        <v>496</v>
      </c>
      <c r="D178" t="str">
        <f>B178&amp;" "&amp;C178</f>
        <v>Fraze Crisell</v>
      </c>
      <c r="E178" t="s">
        <v>7</v>
      </c>
      <c r="F178">
        <v>53456</v>
      </c>
      <c r="G178">
        <f>COUNTIF(deals_closed!D:D,Calculations!A178)</f>
        <v>25</v>
      </c>
      <c r="H178" s="2">
        <f>SUMIF(deals_closed!D:D,Calculations!A178,deals_closed!C:C)</f>
        <v>876577</v>
      </c>
      <c r="I178" s="2">
        <f>VLOOKUP(E178,'2018_commission_structure'!$A$11:$I$14,9,FALSE)</f>
        <v>500000</v>
      </c>
      <c r="J178" s="2">
        <f t="shared" si="18"/>
        <v>625000</v>
      </c>
      <c r="K178" s="2">
        <f t="shared" si="19"/>
        <v>750000</v>
      </c>
      <c r="L178" s="2">
        <f t="shared" si="20"/>
        <v>1000000</v>
      </c>
      <c r="M178" s="6">
        <f t="shared" si="21"/>
        <v>1.7531540000000001</v>
      </c>
      <c r="N178" t="str">
        <f t="shared" si="22"/>
        <v>150-200%</v>
      </c>
      <c r="O178" s="7">
        <f>MIN(I178,H178)*INDEX('2018_commission_structure'!$A$11:$I$14,MATCH(Calculations!$E178,'2018_commission_structure'!$A$11:$A$14,0),MATCH(Calculations!O$1,'2018_commission_structure'!$A$11:$I$11,0))</f>
        <v>50000</v>
      </c>
      <c r="P178" s="7">
        <f>IF($H178&gt;I178,MIN($H178-I178,J178-I178)*INDEX('2018_commission_structure'!$A$11:$I$14,MATCH(Calculations!$E178,'2018_commission_structure'!$A$11:$A$14,0), MATCH(Calculations!P$1,'2018_commission_structure'!$A$11:$I$11,0)),0)</f>
        <v>18750</v>
      </c>
      <c r="Q178" s="7">
        <f>IF($H178&gt;J178,MIN($H178-J178,K178-J178)*INDEX('2018_commission_structure'!$A$11:$I$14,MATCH(Calculations!$E178,'2018_commission_structure'!$A$11:$A$14,0), MATCH(Calculations!Q$1,'2018_commission_structure'!$A$11:$I$11,0)),0)</f>
        <v>22500</v>
      </c>
      <c r="R178" s="7">
        <f>IF($H178&gt;K178,MIN($H178-K178,L178-K178)*INDEX('2018_commission_structure'!$A$11:$I$14,MATCH(Calculations!$E178,'2018_commission_structure'!$A$11:$A$14,0), MATCH(Calculations!R$1,'2018_commission_structure'!$A$11:$I$11,0)),0)</f>
        <v>27846.94</v>
      </c>
      <c r="S178" s="7">
        <f>IF(H178&gt;L178,(H178-L178)*INDEX('2018_commission_structure'!$A$11:$I$14,MATCH(Calculations!$E178,'2018_commission_structure'!$A$11:$A$14,0),MATCH(Calculations!S$1,'2018_commission_structure'!$A$11:$I$11,0)),0)</f>
        <v>0</v>
      </c>
      <c r="T178" s="7">
        <f t="shared" si="23"/>
        <v>119096.94</v>
      </c>
      <c r="U178" s="7">
        <f t="shared" si="24"/>
        <v>172552.94</v>
      </c>
      <c r="V178" s="7">
        <f>MIN(H178,I178)*INDEX('2018_commission_structure'!$A$5:$J$8,MATCH(Calculations!$E178,'2018_commission_structure'!$A$5:$A$8,0),MATCH(Calculations!V$1,'2018_commission_structure'!$A$5:$J$5,0))</f>
        <v>60000</v>
      </c>
      <c r="W178" s="2">
        <f>IF($H178&gt;I178,MIN($H178-I178,J178-I178)*INDEX('2018_commission_structure'!$A$5:$J$8,MATCH(Calculations!$E178,'2018_commission_structure'!$A$5:$A$8,0),MATCH(Calculations!W$1,'2018_commission_structure'!$A$5:$J$5,0)),0)</f>
        <v>21250</v>
      </c>
      <c r="X178" s="2">
        <f>IF($H178&gt;J178,MIN($H178-J178,K178-J178)*INDEX('2018_commission_structure'!$A$5:$J$8,MATCH(Calculations!$E178,'2018_commission_structure'!$A$5:$A$8,0),MATCH(Calculations!X$1,'2018_commission_structure'!$A$5:$J$5,0)),0)</f>
        <v>25000</v>
      </c>
      <c r="Y178" s="2">
        <f>IF($H178&gt;K178,MIN($H178-K178,L178-K178)*INDEX('2018_commission_structure'!$A$5:$J$8,MATCH(Calculations!$E178,'2018_commission_structure'!$A$5:$A$8,0),MATCH(Calculations!Y$1,'2018_commission_structure'!$A$5:$J$5,0)),0)</f>
        <v>27846.94</v>
      </c>
      <c r="Z178" s="2">
        <f xml:space="preserve"> IF(H178&gt;L178,(H178-L178)*INDEX('2018_commission_structure'!$A$11:$I$14,MATCH(Calculations!$E178,'2018_commission_structure'!$A$11:$A$14,0),MATCH(Calculations!Z$1,'2018_commission_structure'!$A$11:$I$11,0)),0)</f>
        <v>0</v>
      </c>
      <c r="AA178" s="7">
        <f t="shared" si="25"/>
        <v>134096.94</v>
      </c>
      <c r="AB178" s="7">
        <f t="shared" si="26"/>
        <v>187552.94</v>
      </c>
    </row>
    <row r="179" spans="1:28" x14ac:dyDescent="0.25">
      <c r="A179">
        <v>2739934548</v>
      </c>
      <c r="B179" t="s">
        <v>42</v>
      </c>
      <c r="C179" t="s">
        <v>43</v>
      </c>
      <c r="D179" t="str">
        <f>B179&amp;" "&amp;C179</f>
        <v>Brantley Cristofolini</v>
      </c>
      <c r="E179" t="s">
        <v>7</v>
      </c>
      <c r="F179">
        <v>50638</v>
      </c>
      <c r="G179">
        <f>COUNTIF(deals_closed!D:D,Calculations!A179)</f>
        <v>16</v>
      </c>
      <c r="H179" s="2">
        <f>SUMIF(deals_closed!D:D,Calculations!A179,deals_closed!C:C)</f>
        <v>472412</v>
      </c>
      <c r="I179" s="2">
        <f>VLOOKUP(E179,'2018_commission_structure'!$A$11:$I$14,9,FALSE)</f>
        <v>500000</v>
      </c>
      <c r="J179" s="2">
        <f t="shared" si="18"/>
        <v>625000</v>
      </c>
      <c r="K179" s="2">
        <f t="shared" si="19"/>
        <v>750000</v>
      </c>
      <c r="L179" s="2">
        <f t="shared" si="20"/>
        <v>1000000</v>
      </c>
      <c r="M179" s="6">
        <f t="shared" si="21"/>
        <v>0.944824</v>
      </c>
      <c r="N179" t="str">
        <f t="shared" si="22"/>
        <v>0-100%</v>
      </c>
      <c r="O179" s="7">
        <f>MIN(I179,H179)*INDEX('2018_commission_structure'!$A$11:$I$14,MATCH(Calculations!$E179,'2018_commission_structure'!$A$11:$A$14,0),MATCH(Calculations!O$1,'2018_commission_structure'!$A$11:$I$11,0))</f>
        <v>47241.200000000004</v>
      </c>
      <c r="P179" s="7">
        <f>IF($H179&gt;I179,MIN($H179-I179,J179-I179)*INDEX('2018_commission_structure'!$A$11:$I$14,MATCH(Calculations!$E179,'2018_commission_structure'!$A$11:$A$14,0), MATCH(Calculations!P$1,'2018_commission_structure'!$A$11:$I$11,0)),0)</f>
        <v>0</v>
      </c>
      <c r="Q179" s="7">
        <f>IF($H179&gt;J179,MIN($H179-J179,K179-J179)*INDEX('2018_commission_structure'!$A$11:$I$14,MATCH(Calculations!$E179,'2018_commission_structure'!$A$11:$A$14,0), MATCH(Calculations!Q$1,'2018_commission_structure'!$A$11:$I$11,0)),0)</f>
        <v>0</v>
      </c>
      <c r="R179" s="7">
        <f>IF($H179&gt;K179,MIN($H179-K179,L179-K179)*INDEX('2018_commission_structure'!$A$11:$I$14,MATCH(Calculations!$E179,'2018_commission_structure'!$A$11:$A$14,0), MATCH(Calculations!R$1,'2018_commission_structure'!$A$11:$I$11,0)),0)</f>
        <v>0</v>
      </c>
      <c r="S179" s="7">
        <f>IF(H179&gt;L179,(H179-L179)*INDEX('2018_commission_structure'!$A$11:$I$14,MATCH(Calculations!$E179,'2018_commission_structure'!$A$11:$A$14,0),MATCH(Calculations!S$1,'2018_commission_structure'!$A$11:$I$11,0)),0)</f>
        <v>0</v>
      </c>
      <c r="T179" s="7">
        <f t="shared" si="23"/>
        <v>47241.200000000004</v>
      </c>
      <c r="U179" s="7">
        <f t="shared" si="24"/>
        <v>97879.200000000012</v>
      </c>
      <c r="V179" s="7">
        <f>MIN(H179,I179)*INDEX('2018_commission_structure'!$A$5:$J$8,MATCH(Calculations!$E179,'2018_commission_structure'!$A$5:$A$8,0),MATCH(Calculations!V$1,'2018_commission_structure'!$A$5:$J$5,0))</f>
        <v>56689.439999999995</v>
      </c>
      <c r="W179" s="2">
        <f>IF($H179&gt;I179,MIN($H179-I179,J179-I179)*INDEX('2018_commission_structure'!$A$5:$J$8,MATCH(Calculations!$E179,'2018_commission_structure'!$A$5:$A$8,0),MATCH(Calculations!W$1,'2018_commission_structure'!$A$5:$J$5,0)),0)</f>
        <v>0</v>
      </c>
      <c r="X179" s="2">
        <f>IF($H179&gt;J179,MIN($H179-J179,K179-J179)*INDEX('2018_commission_structure'!$A$5:$J$8,MATCH(Calculations!$E179,'2018_commission_structure'!$A$5:$A$8,0),MATCH(Calculations!X$1,'2018_commission_structure'!$A$5:$J$5,0)),0)</f>
        <v>0</v>
      </c>
      <c r="Y179" s="2">
        <f>IF($H179&gt;K179,MIN($H179-K179,L179-K179)*INDEX('2018_commission_structure'!$A$5:$J$8,MATCH(Calculations!$E179,'2018_commission_structure'!$A$5:$A$8,0),MATCH(Calculations!Y$1,'2018_commission_structure'!$A$5:$J$5,0)),0)</f>
        <v>0</v>
      </c>
      <c r="Z179" s="2">
        <f xml:space="preserve"> IF(H179&gt;L179,(H179-L179)*INDEX('2018_commission_structure'!$A$11:$I$14,MATCH(Calculations!$E179,'2018_commission_structure'!$A$11:$A$14,0),MATCH(Calculations!Z$1,'2018_commission_structure'!$A$11:$I$11,0)),0)</f>
        <v>0</v>
      </c>
      <c r="AA179" s="7">
        <f t="shared" si="25"/>
        <v>56689.439999999995</v>
      </c>
      <c r="AB179" s="7">
        <f t="shared" si="26"/>
        <v>107327.44</v>
      </c>
    </row>
    <row r="180" spans="1:28" x14ac:dyDescent="0.25">
      <c r="A180">
        <v>3547596165</v>
      </c>
      <c r="B180" t="s">
        <v>913</v>
      </c>
      <c r="C180" t="s">
        <v>914</v>
      </c>
      <c r="D180" t="str">
        <f>B180&amp;" "&amp;C180</f>
        <v>Shanta Crooke</v>
      </c>
      <c r="E180" t="s">
        <v>10</v>
      </c>
      <c r="F180">
        <v>86155</v>
      </c>
      <c r="G180">
        <f>COUNTIF(deals_closed!D:D,Calculations!A180)</f>
        <v>21</v>
      </c>
      <c r="H180" s="2">
        <f>SUMIF(deals_closed!D:D,Calculations!A180,deals_closed!C:C)</f>
        <v>635919</v>
      </c>
      <c r="I180" s="2">
        <f>VLOOKUP(E180,'2018_commission_structure'!$A$11:$I$14,9,FALSE)</f>
        <v>750000</v>
      </c>
      <c r="J180" s="2">
        <f t="shared" si="18"/>
        <v>937500</v>
      </c>
      <c r="K180" s="2">
        <f t="shared" si="19"/>
        <v>1125000</v>
      </c>
      <c r="L180" s="2">
        <f t="shared" si="20"/>
        <v>1500000</v>
      </c>
      <c r="M180" s="6">
        <f t="shared" si="21"/>
        <v>0.84789199999999998</v>
      </c>
      <c r="N180" t="str">
        <f t="shared" si="22"/>
        <v>0-100%</v>
      </c>
      <c r="O180" s="7">
        <f>MIN(I180,H180)*INDEX('2018_commission_structure'!$A$11:$I$14,MATCH(Calculations!$E180,'2018_commission_structure'!$A$11:$A$14,0),MATCH(Calculations!O$1,'2018_commission_structure'!$A$11:$I$11,0))</f>
        <v>95387.849999999991</v>
      </c>
      <c r="P180" s="7">
        <f>IF($H180&gt;I180,MIN($H180-I180,J180-I180)*INDEX('2018_commission_structure'!$A$11:$I$14,MATCH(Calculations!$E180,'2018_commission_structure'!$A$11:$A$14,0), MATCH(Calculations!P$1,'2018_commission_structure'!$A$11:$I$11,0)),0)</f>
        <v>0</v>
      </c>
      <c r="Q180" s="7">
        <f>IF($H180&gt;J180,MIN($H180-J180,K180-J180)*INDEX('2018_commission_structure'!$A$11:$I$14,MATCH(Calculations!$E180,'2018_commission_structure'!$A$11:$A$14,0), MATCH(Calculations!Q$1,'2018_commission_structure'!$A$11:$I$11,0)),0)</f>
        <v>0</v>
      </c>
      <c r="R180" s="7">
        <f>IF($H180&gt;K180,MIN($H180-K180,L180-K180)*INDEX('2018_commission_structure'!$A$11:$I$14,MATCH(Calculations!$E180,'2018_commission_structure'!$A$11:$A$14,0), MATCH(Calculations!R$1,'2018_commission_structure'!$A$11:$I$11,0)),0)</f>
        <v>0</v>
      </c>
      <c r="S180" s="7">
        <f>IF(H180&gt;L180,(H180-L180)*INDEX('2018_commission_structure'!$A$11:$I$14,MATCH(Calculations!$E180,'2018_commission_structure'!$A$11:$A$14,0),MATCH(Calculations!S$1,'2018_commission_structure'!$A$11:$I$11,0)),0)</f>
        <v>0</v>
      </c>
      <c r="T180" s="7">
        <f t="shared" si="23"/>
        <v>95387.849999999991</v>
      </c>
      <c r="U180" s="7">
        <f t="shared" si="24"/>
        <v>181542.84999999998</v>
      </c>
      <c r="V180" s="7">
        <f>MIN(H180,I180)*INDEX('2018_commission_structure'!$A$5:$J$8,MATCH(Calculations!$E180,'2018_commission_structure'!$A$5:$A$8,0),MATCH(Calculations!V$1,'2018_commission_structure'!$A$5:$J$5,0))</f>
        <v>95387.849999999991</v>
      </c>
      <c r="W180" s="2">
        <f>IF($H180&gt;I180,MIN($H180-I180,J180-I180)*INDEX('2018_commission_structure'!$A$5:$J$8,MATCH(Calculations!$E180,'2018_commission_structure'!$A$5:$A$8,0),MATCH(Calculations!W$1,'2018_commission_structure'!$A$5:$J$5,0)),0)</f>
        <v>0</v>
      </c>
      <c r="X180" s="2">
        <f>IF($H180&gt;J180,MIN($H180-J180,K180-J180)*INDEX('2018_commission_structure'!$A$5:$J$8,MATCH(Calculations!$E180,'2018_commission_structure'!$A$5:$A$8,0),MATCH(Calculations!X$1,'2018_commission_structure'!$A$5:$J$5,0)),0)</f>
        <v>0</v>
      </c>
      <c r="Y180" s="2">
        <f>IF($H180&gt;K180,MIN($H180-K180,L180-K180)*INDEX('2018_commission_structure'!$A$5:$J$8,MATCH(Calculations!$E180,'2018_commission_structure'!$A$5:$A$8,0),MATCH(Calculations!Y$1,'2018_commission_structure'!$A$5:$J$5,0)),0)</f>
        <v>0</v>
      </c>
      <c r="Z180" s="2">
        <f xml:space="preserve"> IF(H180&gt;L180,(H180-L180)*INDEX('2018_commission_structure'!$A$11:$I$14,MATCH(Calculations!$E180,'2018_commission_structure'!$A$11:$A$14,0),MATCH(Calculations!Z$1,'2018_commission_structure'!$A$11:$I$11,0)),0)</f>
        <v>0</v>
      </c>
      <c r="AA180" s="7">
        <f t="shared" si="25"/>
        <v>95387.849999999991</v>
      </c>
      <c r="AB180" s="7">
        <f t="shared" si="26"/>
        <v>181542.84999999998</v>
      </c>
    </row>
    <row r="181" spans="1:28" x14ac:dyDescent="0.25">
      <c r="A181">
        <v>6815475379</v>
      </c>
      <c r="B181" t="s">
        <v>313</v>
      </c>
      <c r="C181" t="s">
        <v>314</v>
      </c>
      <c r="D181" t="str">
        <f>B181&amp;" "&amp;C181</f>
        <v>Darcy Crosier</v>
      </c>
      <c r="E181" t="s">
        <v>10</v>
      </c>
      <c r="F181">
        <v>108360</v>
      </c>
      <c r="G181">
        <f>COUNTIF(deals_closed!D:D,Calculations!A181)</f>
        <v>22</v>
      </c>
      <c r="H181" s="2">
        <f>SUMIF(deals_closed!D:D,Calculations!A181,deals_closed!C:C)</f>
        <v>721111</v>
      </c>
      <c r="I181" s="2">
        <f>VLOOKUP(E181,'2018_commission_structure'!$A$11:$I$14,9,FALSE)</f>
        <v>750000</v>
      </c>
      <c r="J181" s="2">
        <f t="shared" si="18"/>
        <v>937500</v>
      </c>
      <c r="K181" s="2">
        <f t="shared" si="19"/>
        <v>1125000</v>
      </c>
      <c r="L181" s="2">
        <f t="shared" si="20"/>
        <v>1500000</v>
      </c>
      <c r="M181" s="6">
        <f t="shared" si="21"/>
        <v>0.9614813333333333</v>
      </c>
      <c r="N181" t="str">
        <f t="shared" si="22"/>
        <v>0-100%</v>
      </c>
      <c r="O181" s="7">
        <f>MIN(I181,H181)*INDEX('2018_commission_structure'!$A$11:$I$14,MATCH(Calculations!$E181,'2018_commission_structure'!$A$11:$A$14,0),MATCH(Calculations!O$1,'2018_commission_structure'!$A$11:$I$11,0))</f>
        <v>108166.65</v>
      </c>
      <c r="P181" s="7">
        <f>IF($H181&gt;I181,MIN($H181-I181,J181-I181)*INDEX('2018_commission_structure'!$A$11:$I$14,MATCH(Calculations!$E181,'2018_commission_structure'!$A$11:$A$14,0), MATCH(Calculations!P$1,'2018_commission_structure'!$A$11:$I$11,0)),0)</f>
        <v>0</v>
      </c>
      <c r="Q181" s="7">
        <f>IF($H181&gt;J181,MIN($H181-J181,K181-J181)*INDEX('2018_commission_structure'!$A$11:$I$14,MATCH(Calculations!$E181,'2018_commission_structure'!$A$11:$A$14,0), MATCH(Calculations!Q$1,'2018_commission_structure'!$A$11:$I$11,0)),0)</f>
        <v>0</v>
      </c>
      <c r="R181" s="7">
        <f>IF($H181&gt;K181,MIN($H181-K181,L181-K181)*INDEX('2018_commission_structure'!$A$11:$I$14,MATCH(Calculations!$E181,'2018_commission_structure'!$A$11:$A$14,0), MATCH(Calculations!R$1,'2018_commission_structure'!$A$11:$I$11,0)),0)</f>
        <v>0</v>
      </c>
      <c r="S181" s="7">
        <f>IF(H181&gt;L181,(H181-L181)*INDEX('2018_commission_structure'!$A$11:$I$14,MATCH(Calculations!$E181,'2018_commission_structure'!$A$11:$A$14,0),MATCH(Calculations!S$1,'2018_commission_structure'!$A$11:$I$11,0)),0)</f>
        <v>0</v>
      </c>
      <c r="T181" s="7">
        <f t="shared" si="23"/>
        <v>108166.65</v>
      </c>
      <c r="U181" s="7">
        <f t="shared" si="24"/>
        <v>216526.65</v>
      </c>
      <c r="V181" s="7">
        <f>MIN(H181,I181)*INDEX('2018_commission_structure'!$A$5:$J$8,MATCH(Calculations!$E181,'2018_commission_structure'!$A$5:$A$8,0),MATCH(Calculations!V$1,'2018_commission_structure'!$A$5:$J$5,0))</f>
        <v>108166.65</v>
      </c>
      <c r="W181" s="2">
        <f>IF($H181&gt;I181,MIN($H181-I181,J181-I181)*INDEX('2018_commission_structure'!$A$5:$J$8,MATCH(Calculations!$E181,'2018_commission_structure'!$A$5:$A$8,0),MATCH(Calculations!W$1,'2018_commission_structure'!$A$5:$J$5,0)),0)</f>
        <v>0</v>
      </c>
      <c r="X181" s="2">
        <f>IF($H181&gt;J181,MIN($H181-J181,K181-J181)*INDEX('2018_commission_structure'!$A$5:$J$8,MATCH(Calculations!$E181,'2018_commission_structure'!$A$5:$A$8,0),MATCH(Calculations!X$1,'2018_commission_structure'!$A$5:$J$5,0)),0)</f>
        <v>0</v>
      </c>
      <c r="Y181" s="2">
        <f>IF($H181&gt;K181,MIN($H181-K181,L181-K181)*INDEX('2018_commission_structure'!$A$5:$J$8,MATCH(Calculations!$E181,'2018_commission_structure'!$A$5:$A$8,0),MATCH(Calculations!Y$1,'2018_commission_structure'!$A$5:$J$5,0)),0)</f>
        <v>0</v>
      </c>
      <c r="Z181" s="2">
        <f xml:space="preserve"> IF(H181&gt;L181,(H181-L181)*INDEX('2018_commission_structure'!$A$11:$I$14,MATCH(Calculations!$E181,'2018_commission_structure'!$A$11:$A$14,0),MATCH(Calculations!Z$1,'2018_commission_structure'!$A$11:$I$11,0)),0)</f>
        <v>0</v>
      </c>
      <c r="AA181" s="7">
        <f t="shared" si="25"/>
        <v>108166.65</v>
      </c>
      <c r="AB181" s="7">
        <f t="shared" si="26"/>
        <v>216526.65</v>
      </c>
    </row>
    <row r="182" spans="1:28" x14ac:dyDescent="0.25">
      <c r="A182">
        <v>7670936274</v>
      </c>
      <c r="B182" t="s">
        <v>296</v>
      </c>
      <c r="C182" t="s">
        <v>297</v>
      </c>
      <c r="D182" t="str">
        <f>B182&amp;" "&amp;C182</f>
        <v>Zita Crossgrove</v>
      </c>
      <c r="E182" t="s">
        <v>10</v>
      </c>
      <c r="F182">
        <v>109917</v>
      </c>
      <c r="G182">
        <f>COUNTIF(deals_closed!D:D,Calculations!A182)</f>
        <v>17</v>
      </c>
      <c r="H182" s="2">
        <f>SUMIF(deals_closed!D:D,Calculations!A182,deals_closed!C:C)</f>
        <v>577152</v>
      </c>
      <c r="I182" s="2">
        <f>VLOOKUP(E182,'2018_commission_structure'!$A$11:$I$14,9,FALSE)</f>
        <v>750000</v>
      </c>
      <c r="J182" s="2">
        <f t="shared" si="18"/>
        <v>937500</v>
      </c>
      <c r="K182" s="2">
        <f t="shared" si="19"/>
        <v>1125000</v>
      </c>
      <c r="L182" s="2">
        <f t="shared" si="20"/>
        <v>1500000</v>
      </c>
      <c r="M182" s="6">
        <f t="shared" si="21"/>
        <v>0.769536</v>
      </c>
      <c r="N182" t="str">
        <f t="shared" si="22"/>
        <v>0-100%</v>
      </c>
      <c r="O182" s="7">
        <f>MIN(I182,H182)*INDEX('2018_commission_structure'!$A$11:$I$14,MATCH(Calculations!$E182,'2018_commission_structure'!$A$11:$A$14,0),MATCH(Calculations!O$1,'2018_commission_structure'!$A$11:$I$11,0))</f>
        <v>86572.800000000003</v>
      </c>
      <c r="P182" s="7">
        <f>IF($H182&gt;I182,MIN($H182-I182,J182-I182)*INDEX('2018_commission_structure'!$A$11:$I$14,MATCH(Calculations!$E182,'2018_commission_structure'!$A$11:$A$14,0), MATCH(Calculations!P$1,'2018_commission_structure'!$A$11:$I$11,0)),0)</f>
        <v>0</v>
      </c>
      <c r="Q182" s="7">
        <f>IF($H182&gt;J182,MIN($H182-J182,K182-J182)*INDEX('2018_commission_structure'!$A$11:$I$14,MATCH(Calculations!$E182,'2018_commission_structure'!$A$11:$A$14,0), MATCH(Calculations!Q$1,'2018_commission_structure'!$A$11:$I$11,0)),0)</f>
        <v>0</v>
      </c>
      <c r="R182" s="7">
        <f>IF($H182&gt;K182,MIN($H182-K182,L182-K182)*INDEX('2018_commission_structure'!$A$11:$I$14,MATCH(Calculations!$E182,'2018_commission_structure'!$A$11:$A$14,0), MATCH(Calculations!R$1,'2018_commission_structure'!$A$11:$I$11,0)),0)</f>
        <v>0</v>
      </c>
      <c r="S182" s="7">
        <f>IF(H182&gt;L182,(H182-L182)*INDEX('2018_commission_structure'!$A$11:$I$14,MATCH(Calculations!$E182,'2018_commission_structure'!$A$11:$A$14,0),MATCH(Calculations!S$1,'2018_commission_structure'!$A$11:$I$11,0)),0)</f>
        <v>0</v>
      </c>
      <c r="T182" s="7">
        <f t="shared" si="23"/>
        <v>86572.800000000003</v>
      </c>
      <c r="U182" s="7">
        <f t="shared" si="24"/>
        <v>196489.8</v>
      </c>
      <c r="V182" s="7">
        <f>MIN(H182,I182)*INDEX('2018_commission_structure'!$A$5:$J$8,MATCH(Calculations!$E182,'2018_commission_structure'!$A$5:$A$8,0),MATCH(Calculations!V$1,'2018_commission_structure'!$A$5:$J$5,0))</f>
        <v>86572.800000000003</v>
      </c>
      <c r="W182" s="2">
        <f>IF($H182&gt;I182,MIN($H182-I182,J182-I182)*INDEX('2018_commission_structure'!$A$5:$J$8,MATCH(Calculations!$E182,'2018_commission_structure'!$A$5:$A$8,0),MATCH(Calculations!W$1,'2018_commission_structure'!$A$5:$J$5,0)),0)</f>
        <v>0</v>
      </c>
      <c r="X182" s="2">
        <f>IF($H182&gt;J182,MIN($H182-J182,K182-J182)*INDEX('2018_commission_structure'!$A$5:$J$8,MATCH(Calculations!$E182,'2018_commission_structure'!$A$5:$A$8,0),MATCH(Calculations!X$1,'2018_commission_structure'!$A$5:$J$5,0)),0)</f>
        <v>0</v>
      </c>
      <c r="Y182" s="2">
        <f>IF($H182&gt;K182,MIN($H182-K182,L182-K182)*INDEX('2018_commission_structure'!$A$5:$J$8,MATCH(Calculations!$E182,'2018_commission_structure'!$A$5:$A$8,0),MATCH(Calculations!Y$1,'2018_commission_structure'!$A$5:$J$5,0)),0)</f>
        <v>0</v>
      </c>
      <c r="Z182" s="2">
        <f xml:space="preserve"> IF(H182&gt;L182,(H182-L182)*INDEX('2018_commission_structure'!$A$11:$I$14,MATCH(Calculations!$E182,'2018_commission_structure'!$A$11:$A$14,0),MATCH(Calculations!Z$1,'2018_commission_structure'!$A$11:$I$11,0)),0)</f>
        <v>0</v>
      </c>
      <c r="AA182" s="7">
        <f t="shared" si="25"/>
        <v>86572.800000000003</v>
      </c>
      <c r="AB182" s="7">
        <f t="shared" si="26"/>
        <v>196489.8</v>
      </c>
    </row>
    <row r="183" spans="1:28" x14ac:dyDescent="0.25">
      <c r="A183">
        <v>5511711233</v>
      </c>
      <c r="B183" t="s">
        <v>948</v>
      </c>
      <c r="C183" t="s">
        <v>949</v>
      </c>
      <c r="D183" t="str">
        <f>B183&amp;" "&amp;C183</f>
        <v>Thalia Crowcher</v>
      </c>
      <c r="E183" t="s">
        <v>7</v>
      </c>
      <c r="F183">
        <v>50457</v>
      </c>
      <c r="G183">
        <f>COUNTIF(deals_closed!D:D,Calculations!A183)</f>
        <v>16</v>
      </c>
      <c r="H183" s="2">
        <f>SUMIF(deals_closed!D:D,Calculations!A183,deals_closed!C:C)</f>
        <v>526014</v>
      </c>
      <c r="I183" s="2">
        <f>VLOOKUP(E183,'2018_commission_structure'!$A$11:$I$14,9,FALSE)</f>
        <v>500000</v>
      </c>
      <c r="J183" s="2">
        <f t="shared" si="18"/>
        <v>625000</v>
      </c>
      <c r="K183" s="2">
        <f t="shared" si="19"/>
        <v>750000</v>
      </c>
      <c r="L183" s="2">
        <f t="shared" si="20"/>
        <v>1000000</v>
      </c>
      <c r="M183" s="6">
        <f t="shared" si="21"/>
        <v>1.052028</v>
      </c>
      <c r="N183" t="str">
        <f t="shared" si="22"/>
        <v>100-125%</v>
      </c>
      <c r="O183" s="7">
        <f>MIN(I183,H183)*INDEX('2018_commission_structure'!$A$11:$I$14,MATCH(Calculations!$E183,'2018_commission_structure'!$A$11:$A$14,0),MATCH(Calculations!O$1,'2018_commission_structure'!$A$11:$I$11,0))</f>
        <v>50000</v>
      </c>
      <c r="P183" s="7">
        <f>IF($H183&gt;I183,MIN($H183-I183,J183-I183)*INDEX('2018_commission_structure'!$A$11:$I$14,MATCH(Calculations!$E183,'2018_commission_structure'!$A$11:$A$14,0), MATCH(Calculations!P$1,'2018_commission_structure'!$A$11:$I$11,0)),0)</f>
        <v>3902.1</v>
      </c>
      <c r="Q183" s="7">
        <f>IF($H183&gt;J183,MIN($H183-J183,K183-J183)*INDEX('2018_commission_structure'!$A$11:$I$14,MATCH(Calculations!$E183,'2018_commission_structure'!$A$11:$A$14,0), MATCH(Calculations!Q$1,'2018_commission_structure'!$A$11:$I$11,0)),0)</f>
        <v>0</v>
      </c>
      <c r="R183" s="7">
        <f>IF($H183&gt;K183,MIN($H183-K183,L183-K183)*INDEX('2018_commission_structure'!$A$11:$I$14,MATCH(Calculations!$E183,'2018_commission_structure'!$A$11:$A$14,0), MATCH(Calculations!R$1,'2018_commission_structure'!$A$11:$I$11,0)),0)</f>
        <v>0</v>
      </c>
      <c r="S183" s="7">
        <f>IF(H183&gt;L183,(H183-L183)*INDEX('2018_commission_structure'!$A$11:$I$14,MATCH(Calculations!$E183,'2018_commission_structure'!$A$11:$A$14,0),MATCH(Calculations!S$1,'2018_commission_structure'!$A$11:$I$11,0)),0)</f>
        <v>0</v>
      </c>
      <c r="T183" s="7">
        <f t="shared" si="23"/>
        <v>53902.1</v>
      </c>
      <c r="U183" s="7">
        <f t="shared" si="24"/>
        <v>104359.1</v>
      </c>
      <c r="V183" s="7">
        <f>MIN(H183,I183)*INDEX('2018_commission_structure'!$A$5:$J$8,MATCH(Calculations!$E183,'2018_commission_structure'!$A$5:$A$8,0),MATCH(Calculations!V$1,'2018_commission_structure'!$A$5:$J$5,0))</f>
        <v>60000</v>
      </c>
      <c r="W183" s="2">
        <f>IF($H183&gt;I183,MIN($H183-I183,J183-I183)*INDEX('2018_commission_structure'!$A$5:$J$8,MATCH(Calculations!$E183,'2018_commission_structure'!$A$5:$A$8,0),MATCH(Calculations!W$1,'2018_commission_structure'!$A$5:$J$5,0)),0)</f>
        <v>4422.38</v>
      </c>
      <c r="X183" s="2">
        <f>IF($H183&gt;J183,MIN($H183-J183,K183-J183)*INDEX('2018_commission_structure'!$A$5:$J$8,MATCH(Calculations!$E183,'2018_commission_structure'!$A$5:$A$8,0),MATCH(Calculations!X$1,'2018_commission_structure'!$A$5:$J$5,0)),0)</f>
        <v>0</v>
      </c>
      <c r="Y183" s="2">
        <f>IF($H183&gt;K183,MIN($H183-K183,L183-K183)*INDEX('2018_commission_structure'!$A$5:$J$8,MATCH(Calculations!$E183,'2018_commission_structure'!$A$5:$A$8,0),MATCH(Calculations!Y$1,'2018_commission_structure'!$A$5:$J$5,0)),0)</f>
        <v>0</v>
      </c>
      <c r="Z183" s="2">
        <f xml:space="preserve"> IF(H183&gt;L183,(H183-L183)*INDEX('2018_commission_structure'!$A$11:$I$14,MATCH(Calculations!$E183,'2018_commission_structure'!$A$11:$A$14,0),MATCH(Calculations!Z$1,'2018_commission_structure'!$A$11:$I$11,0)),0)</f>
        <v>0</v>
      </c>
      <c r="AA183" s="7">
        <f t="shared" si="25"/>
        <v>64422.38</v>
      </c>
      <c r="AB183" s="7">
        <f t="shared" si="26"/>
        <v>114879.38</v>
      </c>
    </row>
    <row r="184" spans="1:28" x14ac:dyDescent="0.25">
      <c r="A184">
        <v>3554301841</v>
      </c>
      <c r="B184" t="s">
        <v>1453</v>
      </c>
      <c r="C184" t="s">
        <v>1454</v>
      </c>
      <c r="D184" t="str">
        <f>B184&amp;" "&amp;C184</f>
        <v>Rubin Crummay</v>
      </c>
      <c r="E184" t="s">
        <v>10</v>
      </c>
      <c r="F184">
        <v>94163</v>
      </c>
      <c r="G184">
        <f>COUNTIF(deals_closed!D:D,Calculations!A184)</f>
        <v>19</v>
      </c>
      <c r="H184" s="2">
        <f>SUMIF(deals_closed!D:D,Calculations!A184,deals_closed!C:C)</f>
        <v>664872</v>
      </c>
      <c r="I184" s="2">
        <f>VLOOKUP(E184,'2018_commission_structure'!$A$11:$I$14,9,FALSE)</f>
        <v>750000</v>
      </c>
      <c r="J184" s="2">
        <f t="shared" si="18"/>
        <v>937500</v>
      </c>
      <c r="K184" s="2">
        <f t="shared" si="19"/>
        <v>1125000</v>
      </c>
      <c r="L184" s="2">
        <f t="shared" si="20"/>
        <v>1500000</v>
      </c>
      <c r="M184" s="6">
        <f t="shared" si="21"/>
        <v>0.88649599999999995</v>
      </c>
      <c r="N184" t="str">
        <f t="shared" si="22"/>
        <v>0-100%</v>
      </c>
      <c r="O184" s="7">
        <f>MIN(I184,H184)*INDEX('2018_commission_structure'!$A$11:$I$14,MATCH(Calculations!$E184,'2018_commission_structure'!$A$11:$A$14,0),MATCH(Calculations!O$1,'2018_commission_structure'!$A$11:$I$11,0))</f>
        <v>99730.8</v>
      </c>
      <c r="P184" s="7">
        <f>IF($H184&gt;I184,MIN($H184-I184,J184-I184)*INDEX('2018_commission_structure'!$A$11:$I$14,MATCH(Calculations!$E184,'2018_commission_structure'!$A$11:$A$14,0), MATCH(Calculations!P$1,'2018_commission_structure'!$A$11:$I$11,0)),0)</f>
        <v>0</v>
      </c>
      <c r="Q184" s="7">
        <f>IF($H184&gt;J184,MIN($H184-J184,K184-J184)*INDEX('2018_commission_structure'!$A$11:$I$14,MATCH(Calculations!$E184,'2018_commission_structure'!$A$11:$A$14,0), MATCH(Calculations!Q$1,'2018_commission_structure'!$A$11:$I$11,0)),0)</f>
        <v>0</v>
      </c>
      <c r="R184" s="7">
        <f>IF($H184&gt;K184,MIN($H184-K184,L184-K184)*INDEX('2018_commission_structure'!$A$11:$I$14,MATCH(Calculations!$E184,'2018_commission_structure'!$A$11:$A$14,0), MATCH(Calculations!R$1,'2018_commission_structure'!$A$11:$I$11,0)),0)</f>
        <v>0</v>
      </c>
      <c r="S184" s="7">
        <f>IF(H184&gt;L184,(H184-L184)*INDEX('2018_commission_structure'!$A$11:$I$14,MATCH(Calculations!$E184,'2018_commission_structure'!$A$11:$A$14,0),MATCH(Calculations!S$1,'2018_commission_structure'!$A$11:$I$11,0)),0)</f>
        <v>0</v>
      </c>
      <c r="T184" s="7">
        <f t="shared" si="23"/>
        <v>99730.8</v>
      </c>
      <c r="U184" s="7">
        <f t="shared" si="24"/>
        <v>193893.8</v>
      </c>
      <c r="V184" s="7">
        <f>MIN(H184,I184)*INDEX('2018_commission_structure'!$A$5:$J$8,MATCH(Calculations!$E184,'2018_commission_structure'!$A$5:$A$8,0),MATCH(Calculations!V$1,'2018_commission_structure'!$A$5:$J$5,0))</f>
        <v>99730.8</v>
      </c>
      <c r="W184" s="2">
        <f>IF($H184&gt;I184,MIN($H184-I184,J184-I184)*INDEX('2018_commission_structure'!$A$5:$J$8,MATCH(Calculations!$E184,'2018_commission_structure'!$A$5:$A$8,0),MATCH(Calculations!W$1,'2018_commission_structure'!$A$5:$J$5,0)),0)</f>
        <v>0</v>
      </c>
      <c r="X184" s="2">
        <f>IF($H184&gt;J184,MIN($H184-J184,K184-J184)*INDEX('2018_commission_structure'!$A$5:$J$8,MATCH(Calculations!$E184,'2018_commission_structure'!$A$5:$A$8,0),MATCH(Calculations!X$1,'2018_commission_structure'!$A$5:$J$5,0)),0)</f>
        <v>0</v>
      </c>
      <c r="Y184" s="2">
        <f>IF($H184&gt;K184,MIN($H184-K184,L184-K184)*INDEX('2018_commission_structure'!$A$5:$J$8,MATCH(Calculations!$E184,'2018_commission_structure'!$A$5:$A$8,0),MATCH(Calculations!Y$1,'2018_commission_structure'!$A$5:$J$5,0)),0)</f>
        <v>0</v>
      </c>
      <c r="Z184" s="2">
        <f xml:space="preserve"> IF(H184&gt;L184,(H184-L184)*INDEX('2018_commission_structure'!$A$11:$I$14,MATCH(Calculations!$E184,'2018_commission_structure'!$A$11:$A$14,0),MATCH(Calculations!Z$1,'2018_commission_structure'!$A$11:$I$11,0)),0)</f>
        <v>0</v>
      </c>
      <c r="AA184" s="7">
        <f t="shared" si="25"/>
        <v>99730.8</v>
      </c>
      <c r="AB184" s="7">
        <f t="shared" si="26"/>
        <v>193893.8</v>
      </c>
    </row>
    <row r="185" spans="1:28" x14ac:dyDescent="0.25">
      <c r="A185">
        <v>8864419241</v>
      </c>
      <c r="B185" t="s">
        <v>420</v>
      </c>
      <c r="C185" t="s">
        <v>421</v>
      </c>
      <c r="D185" t="str">
        <f>B185&amp;" "&amp;C185</f>
        <v>Kial Cuchey</v>
      </c>
      <c r="E185" t="s">
        <v>29</v>
      </c>
      <c r="F185">
        <v>69764</v>
      </c>
      <c r="G185">
        <f>COUNTIF(deals_closed!D:D,Calculations!A185)</f>
        <v>22</v>
      </c>
      <c r="H185" s="2">
        <f>SUMIF(deals_closed!D:D,Calculations!A185,deals_closed!C:C)</f>
        <v>783210</v>
      </c>
      <c r="I185" s="2">
        <f>VLOOKUP(E185,'2018_commission_structure'!$A$11:$I$14,9,FALSE)</f>
        <v>600000</v>
      </c>
      <c r="J185" s="2">
        <f t="shared" si="18"/>
        <v>750000</v>
      </c>
      <c r="K185" s="2">
        <f t="shared" si="19"/>
        <v>900000</v>
      </c>
      <c r="L185" s="2">
        <f t="shared" si="20"/>
        <v>1200000</v>
      </c>
      <c r="M185" s="6">
        <f t="shared" si="21"/>
        <v>1.30535</v>
      </c>
      <c r="N185" t="str">
        <f t="shared" si="22"/>
        <v>125-150%</v>
      </c>
      <c r="O185" s="7">
        <f>MIN(I185,H185)*INDEX('2018_commission_structure'!$A$11:$I$14,MATCH(Calculations!$E185,'2018_commission_structure'!$A$11:$A$14,0),MATCH(Calculations!O$1,'2018_commission_structure'!$A$11:$I$11,0))</f>
        <v>78000</v>
      </c>
      <c r="P185" s="7">
        <f>IF($H185&gt;I185,MIN($H185-I185,J185-I185)*INDEX('2018_commission_structure'!$A$11:$I$14,MATCH(Calculations!$E185,'2018_commission_structure'!$A$11:$A$14,0), MATCH(Calculations!P$1,'2018_commission_structure'!$A$11:$I$11,0)),0)</f>
        <v>25500.000000000004</v>
      </c>
      <c r="Q185" s="7">
        <f>IF($H185&gt;J185,MIN($H185-J185,K185-J185)*INDEX('2018_commission_structure'!$A$11:$I$14,MATCH(Calculations!$E185,'2018_commission_structure'!$A$11:$A$14,0), MATCH(Calculations!Q$1,'2018_commission_structure'!$A$11:$I$11,0)),0)</f>
        <v>6974.0999999999995</v>
      </c>
      <c r="R185" s="7">
        <f>IF($H185&gt;K185,MIN($H185-K185,L185-K185)*INDEX('2018_commission_structure'!$A$11:$I$14,MATCH(Calculations!$E185,'2018_commission_structure'!$A$11:$A$14,0), MATCH(Calculations!R$1,'2018_commission_structure'!$A$11:$I$11,0)),0)</f>
        <v>0</v>
      </c>
      <c r="S185" s="7">
        <f>IF(H185&gt;L185,(H185-L185)*INDEX('2018_commission_structure'!$A$11:$I$14,MATCH(Calculations!$E185,'2018_commission_structure'!$A$11:$A$14,0),MATCH(Calculations!S$1,'2018_commission_structure'!$A$11:$I$11,0)),0)</f>
        <v>0</v>
      </c>
      <c r="T185" s="7">
        <f t="shared" si="23"/>
        <v>110474.1</v>
      </c>
      <c r="U185" s="7">
        <f t="shared" si="24"/>
        <v>180238.1</v>
      </c>
      <c r="V185" s="7">
        <f>MIN(H185,I185)*INDEX('2018_commission_structure'!$A$5:$J$8,MATCH(Calculations!$E185,'2018_commission_structure'!$A$5:$A$8,0),MATCH(Calculations!V$1,'2018_commission_structure'!$A$5:$J$5,0))</f>
        <v>90000</v>
      </c>
      <c r="W185" s="2">
        <f>IF($H185&gt;I185,MIN($H185-I185,J185-I185)*INDEX('2018_commission_structure'!$A$5:$J$8,MATCH(Calculations!$E185,'2018_commission_structure'!$A$5:$A$8,0),MATCH(Calculations!W$1,'2018_commission_structure'!$A$5:$J$5,0)),0)</f>
        <v>27000</v>
      </c>
      <c r="X185" s="2">
        <f>IF($H185&gt;J185,MIN($H185-J185,K185-J185)*INDEX('2018_commission_structure'!$A$5:$J$8,MATCH(Calculations!$E185,'2018_commission_structure'!$A$5:$A$8,0),MATCH(Calculations!X$1,'2018_commission_structure'!$A$5:$J$5,0)),0)</f>
        <v>8302.5</v>
      </c>
      <c r="Y185" s="2">
        <f>IF($H185&gt;K185,MIN($H185-K185,L185-K185)*INDEX('2018_commission_structure'!$A$5:$J$8,MATCH(Calculations!$E185,'2018_commission_structure'!$A$5:$A$8,0),MATCH(Calculations!Y$1,'2018_commission_structure'!$A$5:$J$5,0)),0)</f>
        <v>0</v>
      </c>
      <c r="Z185" s="2">
        <f xml:space="preserve"> IF(H185&gt;L185,(H185-L185)*INDEX('2018_commission_structure'!$A$11:$I$14,MATCH(Calculations!$E185,'2018_commission_structure'!$A$11:$A$14,0),MATCH(Calculations!Z$1,'2018_commission_structure'!$A$11:$I$11,0)),0)</f>
        <v>0</v>
      </c>
      <c r="AA185" s="7">
        <f t="shared" si="25"/>
        <v>125302.5</v>
      </c>
      <c r="AB185" s="7">
        <f t="shared" si="26"/>
        <v>195066.5</v>
      </c>
    </row>
    <row r="186" spans="1:28" x14ac:dyDescent="0.25">
      <c r="A186">
        <v>1268934771</v>
      </c>
      <c r="B186" t="s">
        <v>681</v>
      </c>
      <c r="C186" t="s">
        <v>682</v>
      </c>
      <c r="D186" t="str">
        <f>B186&amp;" "&amp;C186</f>
        <v>Tiphani Cuerda</v>
      </c>
      <c r="E186" t="s">
        <v>29</v>
      </c>
      <c r="F186">
        <v>50003</v>
      </c>
      <c r="G186">
        <f>COUNTIF(deals_closed!D:D,Calculations!A186)</f>
        <v>18</v>
      </c>
      <c r="H186" s="2">
        <f>SUMIF(deals_closed!D:D,Calculations!A186,deals_closed!C:C)</f>
        <v>503681</v>
      </c>
      <c r="I186" s="2">
        <f>VLOOKUP(E186,'2018_commission_structure'!$A$11:$I$14,9,FALSE)</f>
        <v>600000</v>
      </c>
      <c r="J186" s="2">
        <f t="shared" si="18"/>
        <v>750000</v>
      </c>
      <c r="K186" s="2">
        <f t="shared" si="19"/>
        <v>900000</v>
      </c>
      <c r="L186" s="2">
        <f t="shared" si="20"/>
        <v>1200000</v>
      </c>
      <c r="M186" s="6">
        <f t="shared" si="21"/>
        <v>0.83946833333333337</v>
      </c>
      <c r="N186" t="str">
        <f t="shared" si="22"/>
        <v>0-100%</v>
      </c>
      <c r="O186" s="7">
        <f>MIN(I186,H186)*INDEX('2018_commission_structure'!$A$11:$I$14,MATCH(Calculations!$E186,'2018_commission_structure'!$A$11:$A$14,0),MATCH(Calculations!O$1,'2018_commission_structure'!$A$11:$I$11,0))</f>
        <v>65478.53</v>
      </c>
      <c r="P186" s="7">
        <f>IF($H186&gt;I186,MIN($H186-I186,J186-I186)*INDEX('2018_commission_structure'!$A$11:$I$14,MATCH(Calculations!$E186,'2018_commission_structure'!$A$11:$A$14,0), MATCH(Calculations!P$1,'2018_commission_structure'!$A$11:$I$11,0)),0)</f>
        <v>0</v>
      </c>
      <c r="Q186" s="7">
        <f>IF($H186&gt;J186,MIN($H186-J186,K186-J186)*INDEX('2018_commission_structure'!$A$11:$I$14,MATCH(Calculations!$E186,'2018_commission_structure'!$A$11:$A$14,0), MATCH(Calculations!Q$1,'2018_commission_structure'!$A$11:$I$11,0)),0)</f>
        <v>0</v>
      </c>
      <c r="R186" s="7">
        <f>IF($H186&gt;K186,MIN($H186-K186,L186-K186)*INDEX('2018_commission_structure'!$A$11:$I$14,MATCH(Calculations!$E186,'2018_commission_structure'!$A$11:$A$14,0), MATCH(Calculations!R$1,'2018_commission_structure'!$A$11:$I$11,0)),0)</f>
        <v>0</v>
      </c>
      <c r="S186" s="7">
        <f>IF(H186&gt;L186,(H186-L186)*INDEX('2018_commission_structure'!$A$11:$I$14,MATCH(Calculations!$E186,'2018_commission_structure'!$A$11:$A$14,0),MATCH(Calculations!S$1,'2018_commission_structure'!$A$11:$I$11,0)),0)</f>
        <v>0</v>
      </c>
      <c r="T186" s="7">
        <f t="shared" si="23"/>
        <v>65478.53</v>
      </c>
      <c r="U186" s="7">
        <f t="shared" si="24"/>
        <v>115481.53</v>
      </c>
      <c r="V186" s="7">
        <f>MIN(H186,I186)*INDEX('2018_commission_structure'!$A$5:$J$8,MATCH(Calculations!$E186,'2018_commission_structure'!$A$5:$A$8,0),MATCH(Calculations!V$1,'2018_commission_structure'!$A$5:$J$5,0))</f>
        <v>75552.149999999994</v>
      </c>
      <c r="W186" s="2">
        <f>IF($H186&gt;I186,MIN($H186-I186,J186-I186)*INDEX('2018_commission_structure'!$A$5:$J$8,MATCH(Calculations!$E186,'2018_commission_structure'!$A$5:$A$8,0),MATCH(Calculations!W$1,'2018_commission_structure'!$A$5:$J$5,0)),0)</f>
        <v>0</v>
      </c>
      <c r="X186" s="2">
        <f>IF($H186&gt;J186,MIN($H186-J186,K186-J186)*INDEX('2018_commission_structure'!$A$5:$J$8,MATCH(Calculations!$E186,'2018_commission_structure'!$A$5:$A$8,0),MATCH(Calculations!X$1,'2018_commission_structure'!$A$5:$J$5,0)),0)</f>
        <v>0</v>
      </c>
      <c r="Y186" s="2">
        <f>IF($H186&gt;K186,MIN($H186-K186,L186-K186)*INDEX('2018_commission_structure'!$A$5:$J$8,MATCH(Calculations!$E186,'2018_commission_structure'!$A$5:$A$8,0),MATCH(Calculations!Y$1,'2018_commission_structure'!$A$5:$J$5,0)),0)</f>
        <v>0</v>
      </c>
      <c r="Z186" s="2">
        <f xml:space="preserve"> IF(H186&gt;L186,(H186-L186)*INDEX('2018_commission_structure'!$A$11:$I$14,MATCH(Calculations!$E186,'2018_commission_structure'!$A$11:$A$14,0),MATCH(Calculations!Z$1,'2018_commission_structure'!$A$11:$I$11,0)),0)</f>
        <v>0</v>
      </c>
      <c r="AA186" s="7">
        <f t="shared" si="25"/>
        <v>75552.149999999994</v>
      </c>
      <c r="AB186" s="7">
        <f t="shared" si="26"/>
        <v>125555.15</v>
      </c>
    </row>
    <row r="187" spans="1:28" x14ac:dyDescent="0.25">
      <c r="A187">
        <v>601779371</v>
      </c>
      <c r="B187" t="s">
        <v>1749</v>
      </c>
      <c r="C187" t="s">
        <v>1750</v>
      </c>
      <c r="D187" t="str">
        <f>B187&amp;" "&amp;C187</f>
        <v>Dionis Cumpton</v>
      </c>
      <c r="E187" t="s">
        <v>10</v>
      </c>
      <c r="F187">
        <v>114343</v>
      </c>
      <c r="G187">
        <f>COUNTIF(deals_closed!D:D,Calculations!A187)</f>
        <v>19</v>
      </c>
      <c r="H187" s="2">
        <f>SUMIF(deals_closed!D:D,Calculations!A187,deals_closed!C:C)</f>
        <v>680870</v>
      </c>
      <c r="I187" s="2">
        <f>VLOOKUP(E187,'2018_commission_structure'!$A$11:$I$14,9,FALSE)</f>
        <v>750000</v>
      </c>
      <c r="J187" s="2">
        <f t="shared" si="18"/>
        <v>937500</v>
      </c>
      <c r="K187" s="2">
        <f t="shared" si="19"/>
        <v>1125000</v>
      </c>
      <c r="L187" s="2">
        <f t="shared" si="20"/>
        <v>1500000</v>
      </c>
      <c r="M187" s="6">
        <f t="shared" si="21"/>
        <v>0.90782666666666667</v>
      </c>
      <c r="N187" t="str">
        <f t="shared" si="22"/>
        <v>0-100%</v>
      </c>
      <c r="O187" s="7">
        <f>MIN(I187,H187)*INDEX('2018_commission_structure'!$A$11:$I$14,MATCH(Calculations!$E187,'2018_commission_structure'!$A$11:$A$14,0),MATCH(Calculations!O$1,'2018_commission_structure'!$A$11:$I$11,0))</f>
        <v>102130.5</v>
      </c>
      <c r="P187" s="7">
        <f>IF($H187&gt;I187,MIN($H187-I187,J187-I187)*INDEX('2018_commission_structure'!$A$11:$I$14,MATCH(Calculations!$E187,'2018_commission_structure'!$A$11:$A$14,0), MATCH(Calculations!P$1,'2018_commission_structure'!$A$11:$I$11,0)),0)</f>
        <v>0</v>
      </c>
      <c r="Q187" s="7">
        <f>IF($H187&gt;J187,MIN($H187-J187,K187-J187)*INDEX('2018_commission_structure'!$A$11:$I$14,MATCH(Calculations!$E187,'2018_commission_structure'!$A$11:$A$14,0), MATCH(Calculations!Q$1,'2018_commission_structure'!$A$11:$I$11,0)),0)</f>
        <v>0</v>
      </c>
      <c r="R187" s="7">
        <f>IF($H187&gt;K187,MIN($H187-K187,L187-K187)*INDEX('2018_commission_structure'!$A$11:$I$14,MATCH(Calculations!$E187,'2018_commission_structure'!$A$11:$A$14,0), MATCH(Calculations!R$1,'2018_commission_structure'!$A$11:$I$11,0)),0)</f>
        <v>0</v>
      </c>
      <c r="S187" s="7">
        <f>IF(H187&gt;L187,(H187-L187)*INDEX('2018_commission_structure'!$A$11:$I$14,MATCH(Calculations!$E187,'2018_commission_structure'!$A$11:$A$14,0),MATCH(Calculations!S$1,'2018_commission_structure'!$A$11:$I$11,0)),0)</f>
        <v>0</v>
      </c>
      <c r="T187" s="7">
        <f t="shared" si="23"/>
        <v>102130.5</v>
      </c>
      <c r="U187" s="7">
        <f t="shared" si="24"/>
        <v>216473.5</v>
      </c>
      <c r="V187" s="7">
        <f>MIN(H187,I187)*INDEX('2018_commission_structure'!$A$5:$J$8,MATCH(Calculations!$E187,'2018_commission_structure'!$A$5:$A$8,0),MATCH(Calculations!V$1,'2018_commission_structure'!$A$5:$J$5,0))</f>
        <v>102130.5</v>
      </c>
      <c r="W187" s="2">
        <f>IF($H187&gt;I187,MIN($H187-I187,J187-I187)*INDEX('2018_commission_structure'!$A$5:$J$8,MATCH(Calculations!$E187,'2018_commission_structure'!$A$5:$A$8,0),MATCH(Calculations!W$1,'2018_commission_structure'!$A$5:$J$5,0)),0)</f>
        <v>0</v>
      </c>
      <c r="X187" s="2">
        <f>IF($H187&gt;J187,MIN($H187-J187,K187-J187)*INDEX('2018_commission_structure'!$A$5:$J$8,MATCH(Calculations!$E187,'2018_commission_structure'!$A$5:$A$8,0),MATCH(Calculations!X$1,'2018_commission_structure'!$A$5:$J$5,0)),0)</f>
        <v>0</v>
      </c>
      <c r="Y187" s="2">
        <f>IF($H187&gt;K187,MIN($H187-K187,L187-K187)*INDEX('2018_commission_structure'!$A$5:$J$8,MATCH(Calculations!$E187,'2018_commission_structure'!$A$5:$A$8,0),MATCH(Calculations!Y$1,'2018_commission_structure'!$A$5:$J$5,0)),0)</f>
        <v>0</v>
      </c>
      <c r="Z187" s="2">
        <f xml:space="preserve"> IF(H187&gt;L187,(H187-L187)*INDEX('2018_commission_structure'!$A$11:$I$14,MATCH(Calculations!$E187,'2018_commission_structure'!$A$11:$A$14,0),MATCH(Calculations!Z$1,'2018_commission_structure'!$A$11:$I$11,0)),0)</f>
        <v>0</v>
      </c>
      <c r="AA187" s="7">
        <f t="shared" si="25"/>
        <v>102130.5</v>
      </c>
      <c r="AB187" s="7">
        <f t="shared" si="26"/>
        <v>216473.5</v>
      </c>
    </row>
    <row r="188" spans="1:28" x14ac:dyDescent="0.25">
      <c r="A188">
        <v>1456229036</v>
      </c>
      <c r="B188" t="s">
        <v>1359</v>
      </c>
      <c r="C188" t="s">
        <v>1360</v>
      </c>
      <c r="D188" t="str">
        <f>B188&amp;" "&amp;C188</f>
        <v>Eward Cureton</v>
      </c>
      <c r="E188" t="s">
        <v>29</v>
      </c>
      <c r="F188">
        <v>73519</v>
      </c>
      <c r="G188">
        <f>COUNTIF(deals_closed!D:D,Calculations!A188)</f>
        <v>21</v>
      </c>
      <c r="H188" s="2">
        <f>SUMIF(deals_closed!D:D,Calculations!A188,deals_closed!C:C)</f>
        <v>830970</v>
      </c>
      <c r="I188" s="2">
        <f>VLOOKUP(E188,'2018_commission_structure'!$A$11:$I$14,9,FALSE)</f>
        <v>600000</v>
      </c>
      <c r="J188" s="2">
        <f t="shared" si="18"/>
        <v>750000</v>
      </c>
      <c r="K188" s="2">
        <f t="shared" si="19"/>
        <v>900000</v>
      </c>
      <c r="L188" s="2">
        <f t="shared" si="20"/>
        <v>1200000</v>
      </c>
      <c r="M188" s="6">
        <f t="shared" si="21"/>
        <v>1.3849499999999999</v>
      </c>
      <c r="N188" t="str">
        <f t="shared" si="22"/>
        <v>125-150%</v>
      </c>
      <c r="O188" s="7">
        <f>MIN(I188,H188)*INDEX('2018_commission_structure'!$A$11:$I$14,MATCH(Calculations!$E188,'2018_commission_structure'!$A$11:$A$14,0),MATCH(Calculations!O$1,'2018_commission_structure'!$A$11:$I$11,0))</f>
        <v>78000</v>
      </c>
      <c r="P188" s="7">
        <f>IF($H188&gt;I188,MIN($H188-I188,J188-I188)*INDEX('2018_commission_structure'!$A$11:$I$14,MATCH(Calculations!$E188,'2018_commission_structure'!$A$11:$A$14,0), MATCH(Calculations!P$1,'2018_commission_structure'!$A$11:$I$11,0)),0)</f>
        <v>25500.000000000004</v>
      </c>
      <c r="Q188" s="7">
        <f>IF($H188&gt;J188,MIN($H188-J188,K188-J188)*INDEX('2018_commission_structure'!$A$11:$I$14,MATCH(Calculations!$E188,'2018_commission_structure'!$A$11:$A$14,0), MATCH(Calculations!Q$1,'2018_commission_structure'!$A$11:$I$11,0)),0)</f>
        <v>17003.7</v>
      </c>
      <c r="R188" s="7">
        <f>IF($H188&gt;K188,MIN($H188-K188,L188-K188)*INDEX('2018_commission_structure'!$A$11:$I$14,MATCH(Calculations!$E188,'2018_commission_structure'!$A$11:$A$14,0), MATCH(Calculations!R$1,'2018_commission_structure'!$A$11:$I$11,0)),0)</f>
        <v>0</v>
      </c>
      <c r="S188" s="7">
        <f>IF(H188&gt;L188,(H188-L188)*INDEX('2018_commission_structure'!$A$11:$I$14,MATCH(Calculations!$E188,'2018_commission_structure'!$A$11:$A$14,0),MATCH(Calculations!S$1,'2018_commission_structure'!$A$11:$I$11,0)),0)</f>
        <v>0</v>
      </c>
      <c r="T188" s="7">
        <f t="shared" si="23"/>
        <v>120503.7</v>
      </c>
      <c r="U188" s="7">
        <f t="shared" si="24"/>
        <v>194022.7</v>
      </c>
      <c r="V188" s="7">
        <f>MIN(H188,I188)*INDEX('2018_commission_structure'!$A$5:$J$8,MATCH(Calculations!$E188,'2018_commission_structure'!$A$5:$A$8,0),MATCH(Calculations!V$1,'2018_commission_structure'!$A$5:$J$5,0))</f>
        <v>90000</v>
      </c>
      <c r="W188" s="2">
        <f>IF($H188&gt;I188,MIN($H188-I188,J188-I188)*INDEX('2018_commission_structure'!$A$5:$J$8,MATCH(Calculations!$E188,'2018_commission_structure'!$A$5:$A$8,0),MATCH(Calculations!W$1,'2018_commission_structure'!$A$5:$J$5,0)),0)</f>
        <v>27000</v>
      </c>
      <c r="X188" s="2">
        <f>IF($H188&gt;J188,MIN($H188-J188,K188-J188)*INDEX('2018_commission_structure'!$A$5:$J$8,MATCH(Calculations!$E188,'2018_commission_structure'!$A$5:$A$8,0),MATCH(Calculations!X$1,'2018_commission_structure'!$A$5:$J$5,0)),0)</f>
        <v>20242.5</v>
      </c>
      <c r="Y188" s="2">
        <f>IF($H188&gt;K188,MIN($H188-K188,L188-K188)*INDEX('2018_commission_structure'!$A$5:$J$8,MATCH(Calculations!$E188,'2018_commission_structure'!$A$5:$A$8,0),MATCH(Calculations!Y$1,'2018_commission_structure'!$A$5:$J$5,0)),0)</f>
        <v>0</v>
      </c>
      <c r="Z188" s="2">
        <f xml:space="preserve"> IF(H188&gt;L188,(H188-L188)*INDEX('2018_commission_structure'!$A$11:$I$14,MATCH(Calculations!$E188,'2018_commission_structure'!$A$11:$A$14,0),MATCH(Calculations!Z$1,'2018_commission_structure'!$A$11:$I$11,0)),0)</f>
        <v>0</v>
      </c>
      <c r="AA188" s="7">
        <f t="shared" si="25"/>
        <v>137242.5</v>
      </c>
      <c r="AB188" s="7">
        <f t="shared" si="26"/>
        <v>210761.5</v>
      </c>
    </row>
    <row r="189" spans="1:28" x14ac:dyDescent="0.25">
      <c r="A189">
        <v>2841287114</v>
      </c>
      <c r="B189" t="s">
        <v>921</v>
      </c>
      <c r="C189" t="s">
        <v>922</v>
      </c>
      <c r="D189" t="str">
        <f>B189&amp;" "&amp;C189</f>
        <v>Elisabetta Curzey</v>
      </c>
      <c r="E189" t="s">
        <v>29</v>
      </c>
      <c r="F189">
        <v>55803</v>
      </c>
      <c r="G189">
        <f>COUNTIF(deals_closed!D:D,Calculations!A189)</f>
        <v>23</v>
      </c>
      <c r="H189" s="2">
        <f>SUMIF(deals_closed!D:D,Calculations!A189,deals_closed!C:C)</f>
        <v>831538</v>
      </c>
      <c r="I189" s="2">
        <f>VLOOKUP(E189,'2018_commission_structure'!$A$11:$I$14,9,FALSE)</f>
        <v>600000</v>
      </c>
      <c r="J189" s="2">
        <f t="shared" si="18"/>
        <v>750000</v>
      </c>
      <c r="K189" s="2">
        <f t="shared" si="19"/>
        <v>900000</v>
      </c>
      <c r="L189" s="2">
        <f t="shared" si="20"/>
        <v>1200000</v>
      </c>
      <c r="M189" s="6">
        <f t="shared" si="21"/>
        <v>1.3858966666666668</v>
      </c>
      <c r="N189" t="str">
        <f t="shared" si="22"/>
        <v>125-150%</v>
      </c>
      <c r="O189" s="7">
        <f>MIN(I189,H189)*INDEX('2018_commission_structure'!$A$11:$I$14,MATCH(Calculations!$E189,'2018_commission_structure'!$A$11:$A$14,0),MATCH(Calculations!O$1,'2018_commission_structure'!$A$11:$I$11,0))</f>
        <v>78000</v>
      </c>
      <c r="P189" s="7">
        <f>IF($H189&gt;I189,MIN($H189-I189,J189-I189)*INDEX('2018_commission_structure'!$A$11:$I$14,MATCH(Calculations!$E189,'2018_commission_structure'!$A$11:$A$14,0), MATCH(Calculations!P$1,'2018_commission_structure'!$A$11:$I$11,0)),0)</f>
        <v>25500.000000000004</v>
      </c>
      <c r="Q189" s="7">
        <f>IF($H189&gt;J189,MIN($H189-J189,K189-J189)*INDEX('2018_commission_structure'!$A$11:$I$14,MATCH(Calculations!$E189,'2018_commission_structure'!$A$11:$A$14,0), MATCH(Calculations!Q$1,'2018_commission_structure'!$A$11:$I$11,0)),0)</f>
        <v>17122.98</v>
      </c>
      <c r="R189" s="7">
        <f>IF($H189&gt;K189,MIN($H189-K189,L189-K189)*INDEX('2018_commission_structure'!$A$11:$I$14,MATCH(Calculations!$E189,'2018_commission_structure'!$A$11:$A$14,0), MATCH(Calculations!R$1,'2018_commission_structure'!$A$11:$I$11,0)),0)</f>
        <v>0</v>
      </c>
      <c r="S189" s="7">
        <f>IF(H189&gt;L189,(H189-L189)*INDEX('2018_commission_structure'!$A$11:$I$14,MATCH(Calculations!$E189,'2018_commission_structure'!$A$11:$A$14,0),MATCH(Calculations!S$1,'2018_commission_structure'!$A$11:$I$11,0)),0)</f>
        <v>0</v>
      </c>
      <c r="T189" s="7">
        <f t="shared" si="23"/>
        <v>120622.98</v>
      </c>
      <c r="U189" s="7">
        <f t="shared" si="24"/>
        <v>176425.97999999998</v>
      </c>
      <c r="V189" s="7">
        <f>MIN(H189,I189)*INDEX('2018_commission_structure'!$A$5:$J$8,MATCH(Calculations!$E189,'2018_commission_structure'!$A$5:$A$8,0),MATCH(Calculations!V$1,'2018_commission_structure'!$A$5:$J$5,0))</f>
        <v>90000</v>
      </c>
      <c r="W189" s="2">
        <f>IF($H189&gt;I189,MIN($H189-I189,J189-I189)*INDEX('2018_commission_structure'!$A$5:$J$8,MATCH(Calculations!$E189,'2018_commission_structure'!$A$5:$A$8,0),MATCH(Calculations!W$1,'2018_commission_structure'!$A$5:$J$5,0)),0)</f>
        <v>27000</v>
      </c>
      <c r="X189" s="2">
        <f>IF($H189&gt;J189,MIN($H189-J189,K189-J189)*INDEX('2018_commission_structure'!$A$5:$J$8,MATCH(Calculations!$E189,'2018_commission_structure'!$A$5:$A$8,0),MATCH(Calculations!X$1,'2018_commission_structure'!$A$5:$J$5,0)),0)</f>
        <v>20384.5</v>
      </c>
      <c r="Y189" s="2">
        <f>IF($H189&gt;K189,MIN($H189-K189,L189-K189)*INDEX('2018_commission_structure'!$A$5:$J$8,MATCH(Calculations!$E189,'2018_commission_structure'!$A$5:$A$8,0),MATCH(Calculations!Y$1,'2018_commission_structure'!$A$5:$J$5,0)),0)</f>
        <v>0</v>
      </c>
      <c r="Z189" s="2">
        <f xml:space="preserve"> IF(H189&gt;L189,(H189-L189)*INDEX('2018_commission_structure'!$A$11:$I$14,MATCH(Calculations!$E189,'2018_commission_structure'!$A$11:$A$14,0),MATCH(Calculations!Z$1,'2018_commission_structure'!$A$11:$I$11,0)),0)</f>
        <v>0</v>
      </c>
      <c r="AA189" s="7">
        <f t="shared" si="25"/>
        <v>137384.5</v>
      </c>
      <c r="AB189" s="7">
        <f t="shared" si="26"/>
        <v>193187.5</v>
      </c>
    </row>
    <row r="190" spans="1:28" x14ac:dyDescent="0.25">
      <c r="A190">
        <v>8695742075</v>
      </c>
      <c r="B190" t="s">
        <v>819</v>
      </c>
      <c r="C190" t="s">
        <v>820</v>
      </c>
      <c r="D190" t="str">
        <f>B190&amp;" "&amp;C190</f>
        <v>Daryle Custed</v>
      </c>
      <c r="E190" t="s">
        <v>10</v>
      </c>
      <c r="F190">
        <v>75423</v>
      </c>
      <c r="G190">
        <f>COUNTIF(deals_closed!D:D,Calculations!A190)</f>
        <v>18</v>
      </c>
      <c r="H190" s="2">
        <f>SUMIF(deals_closed!D:D,Calculations!A190,deals_closed!C:C)</f>
        <v>719283</v>
      </c>
      <c r="I190" s="2">
        <f>VLOOKUP(E190,'2018_commission_structure'!$A$11:$I$14,9,FALSE)</f>
        <v>750000</v>
      </c>
      <c r="J190" s="2">
        <f t="shared" si="18"/>
        <v>937500</v>
      </c>
      <c r="K190" s="2">
        <f t="shared" si="19"/>
        <v>1125000</v>
      </c>
      <c r="L190" s="2">
        <f t="shared" si="20"/>
        <v>1500000</v>
      </c>
      <c r="M190" s="6">
        <f t="shared" si="21"/>
        <v>0.95904400000000001</v>
      </c>
      <c r="N190" t="str">
        <f t="shared" si="22"/>
        <v>0-100%</v>
      </c>
      <c r="O190" s="7">
        <f>MIN(I190,H190)*INDEX('2018_commission_structure'!$A$11:$I$14,MATCH(Calculations!$E190,'2018_commission_structure'!$A$11:$A$14,0),MATCH(Calculations!O$1,'2018_commission_structure'!$A$11:$I$11,0))</f>
        <v>107892.45</v>
      </c>
      <c r="P190" s="7">
        <f>IF($H190&gt;I190,MIN($H190-I190,J190-I190)*INDEX('2018_commission_structure'!$A$11:$I$14,MATCH(Calculations!$E190,'2018_commission_structure'!$A$11:$A$14,0), MATCH(Calculations!P$1,'2018_commission_structure'!$A$11:$I$11,0)),0)</f>
        <v>0</v>
      </c>
      <c r="Q190" s="7">
        <f>IF($H190&gt;J190,MIN($H190-J190,K190-J190)*INDEX('2018_commission_structure'!$A$11:$I$14,MATCH(Calculations!$E190,'2018_commission_structure'!$A$11:$A$14,0), MATCH(Calculations!Q$1,'2018_commission_structure'!$A$11:$I$11,0)),0)</f>
        <v>0</v>
      </c>
      <c r="R190" s="7">
        <f>IF($H190&gt;K190,MIN($H190-K190,L190-K190)*INDEX('2018_commission_structure'!$A$11:$I$14,MATCH(Calculations!$E190,'2018_commission_structure'!$A$11:$A$14,0), MATCH(Calculations!R$1,'2018_commission_structure'!$A$11:$I$11,0)),0)</f>
        <v>0</v>
      </c>
      <c r="S190" s="7">
        <f>IF(H190&gt;L190,(H190-L190)*INDEX('2018_commission_structure'!$A$11:$I$14,MATCH(Calculations!$E190,'2018_commission_structure'!$A$11:$A$14,0),MATCH(Calculations!S$1,'2018_commission_structure'!$A$11:$I$11,0)),0)</f>
        <v>0</v>
      </c>
      <c r="T190" s="7">
        <f t="shared" si="23"/>
        <v>107892.45</v>
      </c>
      <c r="U190" s="7">
        <f t="shared" si="24"/>
        <v>183315.45</v>
      </c>
      <c r="V190" s="7">
        <f>MIN(H190,I190)*INDEX('2018_commission_structure'!$A$5:$J$8,MATCH(Calculations!$E190,'2018_commission_structure'!$A$5:$A$8,0),MATCH(Calculations!V$1,'2018_commission_structure'!$A$5:$J$5,0))</f>
        <v>107892.45</v>
      </c>
      <c r="W190" s="2">
        <f>IF($H190&gt;I190,MIN($H190-I190,J190-I190)*INDEX('2018_commission_structure'!$A$5:$J$8,MATCH(Calculations!$E190,'2018_commission_structure'!$A$5:$A$8,0),MATCH(Calculations!W$1,'2018_commission_structure'!$A$5:$J$5,0)),0)</f>
        <v>0</v>
      </c>
      <c r="X190" s="2">
        <f>IF($H190&gt;J190,MIN($H190-J190,K190-J190)*INDEX('2018_commission_structure'!$A$5:$J$8,MATCH(Calculations!$E190,'2018_commission_structure'!$A$5:$A$8,0),MATCH(Calculations!X$1,'2018_commission_structure'!$A$5:$J$5,0)),0)</f>
        <v>0</v>
      </c>
      <c r="Y190" s="2">
        <f>IF($H190&gt;K190,MIN($H190-K190,L190-K190)*INDEX('2018_commission_structure'!$A$5:$J$8,MATCH(Calculations!$E190,'2018_commission_structure'!$A$5:$A$8,0),MATCH(Calculations!Y$1,'2018_commission_structure'!$A$5:$J$5,0)),0)</f>
        <v>0</v>
      </c>
      <c r="Z190" s="2">
        <f xml:space="preserve"> IF(H190&gt;L190,(H190-L190)*INDEX('2018_commission_structure'!$A$11:$I$14,MATCH(Calculations!$E190,'2018_commission_structure'!$A$11:$A$14,0),MATCH(Calculations!Z$1,'2018_commission_structure'!$A$11:$I$11,0)),0)</f>
        <v>0</v>
      </c>
      <c r="AA190" s="7">
        <f t="shared" si="25"/>
        <v>107892.45</v>
      </c>
      <c r="AB190" s="7">
        <f t="shared" si="26"/>
        <v>183315.45</v>
      </c>
    </row>
    <row r="191" spans="1:28" x14ac:dyDescent="0.25">
      <c r="A191">
        <v>1009146149</v>
      </c>
      <c r="B191" t="s">
        <v>1356</v>
      </c>
      <c r="C191" t="s">
        <v>1357</v>
      </c>
      <c r="D191" t="str">
        <f>B191&amp;" "&amp;C191</f>
        <v>Sibbie Cutbush</v>
      </c>
      <c r="E191" t="s">
        <v>29</v>
      </c>
      <c r="F191">
        <v>78802</v>
      </c>
      <c r="G191">
        <f>COUNTIF(deals_closed!D:D,Calculations!A191)</f>
        <v>27</v>
      </c>
      <c r="H191" s="2">
        <f>SUMIF(deals_closed!D:D,Calculations!A191,deals_closed!C:C)</f>
        <v>885458</v>
      </c>
      <c r="I191" s="2">
        <f>VLOOKUP(E191,'2018_commission_structure'!$A$11:$I$14,9,FALSE)</f>
        <v>600000</v>
      </c>
      <c r="J191" s="2">
        <f t="shared" si="18"/>
        <v>750000</v>
      </c>
      <c r="K191" s="2">
        <f t="shared" si="19"/>
        <v>900000</v>
      </c>
      <c r="L191" s="2">
        <f t="shared" si="20"/>
        <v>1200000</v>
      </c>
      <c r="M191" s="6">
        <f t="shared" si="21"/>
        <v>1.4757633333333333</v>
      </c>
      <c r="N191" t="str">
        <f t="shared" si="22"/>
        <v>125-150%</v>
      </c>
      <c r="O191" s="7">
        <f>MIN(I191,H191)*INDEX('2018_commission_structure'!$A$11:$I$14,MATCH(Calculations!$E191,'2018_commission_structure'!$A$11:$A$14,0),MATCH(Calculations!O$1,'2018_commission_structure'!$A$11:$I$11,0))</f>
        <v>78000</v>
      </c>
      <c r="P191" s="7">
        <f>IF($H191&gt;I191,MIN($H191-I191,J191-I191)*INDEX('2018_commission_structure'!$A$11:$I$14,MATCH(Calculations!$E191,'2018_commission_structure'!$A$11:$A$14,0), MATCH(Calculations!P$1,'2018_commission_structure'!$A$11:$I$11,0)),0)</f>
        <v>25500.000000000004</v>
      </c>
      <c r="Q191" s="7">
        <f>IF($H191&gt;J191,MIN($H191-J191,K191-J191)*INDEX('2018_commission_structure'!$A$11:$I$14,MATCH(Calculations!$E191,'2018_commission_structure'!$A$11:$A$14,0), MATCH(Calculations!Q$1,'2018_commission_structure'!$A$11:$I$11,0)),0)</f>
        <v>28446.18</v>
      </c>
      <c r="R191" s="7">
        <f>IF($H191&gt;K191,MIN($H191-K191,L191-K191)*INDEX('2018_commission_structure'!$A$11:$I$14,MATCH(Calculations!$E191,'2018_commission_structure'!$A$11:$A$14,0), MATCH(Calculations!R$1,'2018_commission_structure'!$A$11:$I$11,0)),0)</f>
        <v>0</v>
      </c>
      <c r="S191" s="7">
        <f>IF(H191&gt;L191,(H191-L191)*INDEX('2018_commission_structure'!$A$11:$I$14,MATCH(Calculations!$E191,'2018_commission_structure'!$A$11:$A$14,0),MATCH(Calculations!S$1,'2018_commission_structure'!$A$11:$I$11,0)),0)</f>
        <v>0</v>
      </c>
      <c r="T191" s="7">
        <f t="shared" si="23"/>
        <v>131946.18</v>
      </c>
      <c r="U191" s="7">
        <f t="shared" si="24"/>
        <v>210748.18</v>
      </c>
      <c r="V191" s="7">
        <f>MIN(H191,I191)*INDEX('2018_commission_structure'!$A$5:$J$8,MATCH(Calculations!$E191,'2018_commission_structure'!$A$5:$A$8,0),MATCH(Calculations!V$1,'2018_commission_structure'!$A$5:$J$5,0))</f>
        <v>90000</v>
      </c>
      <c r="W191" s="2">
        <f>IF($H191&gt;I191,MIN($H191-I191,J191-I191)*INDEX('2018_commission_structure'!$A$5:$J$8,MATCH(Calculations!$E191,'2018_commission_structure'!$A$5:$A$8,0),MATCH(Calculations!W$1,'2018_commission_structure'!$A$5:$J$5,0)),0)</f>
        <v>27000</v>
      </c>
      <c r="X191" s="2">
        <f>IF($H191&gt;J191,MIN($H191-J191,K191-J191)*INDEX('2018_commission_structure'!$A$5:$J$8,MATCH(Calculations!$E191,'2018_commission_structure'!$A$5:$A$8,0),MATCH(Calculations!X$1,'2018_commission_structure'!$A$5:$J$5,0)),0)</f>
        <v>33864.5</v>
      </c>
      <c r="Y191" s="2">
        <f>IF($H191&gt;K191,MIN($H191-K191,L191-K191)*INDEX('2018_commission_structure'!$A$5:$J$8,MATCH(Calculations!$E191,'2018_commission_structure'!$A$5:$A$8,0),MATCH(Calculations!Y$1,'2018_commission_structure'!$A$5:$J$5,0)),0)</f>
        <v>0</v>
      </c>
      <c r="Z191" s="2">
        <f xml:space="preserve"> IF(H191&gt;L191,(H191-L191)*INDEX('2018_commission_structure'!$A$11:$I$14,MATCH(Calculations!$E191,'2018_commission_structure'!$A$11:$A$14,0),MATCH(Calculations!Z$1,'2018_commission_structure'!$A$11:$I$11,0)),0)</f>
        <v>0</v>
      </c>
      <c r="AA191" s="7">
        <f t="shared" si="25"/>
        <v>150864.5</v>
      </c>
      <c r="AB191" s="7">
        <f t="shared" si="26"/>
        <v>229666.5</v>
      </c>
    </row>
    <row r="192" spans="1:28" x14ac:dyDescent="0.25">
      <c r="A192">
        <v>679204083</v>
      </c>
      <c r="B192" t="s">
        <v>811</v>
      </c>
      <c r="C192" t="s">
        <v>812</v>
      </c>
      <c r="D192" t="str">
        <f>B192&amp;" "&amp;C192</f>
        <v>Viv Czajka</v>
      </c>
      <c r="E192" t="s">
        <v>29</v>
      </c>
      <c r="F192">
        <v>53945</v>
      </c>
      <c r="G192">
        <f>COUNTIF(deals_closed!D:D,Calculations!A192)</f>
        <v>22</v>
      </c>
      <c r="H192" s="2">
        <f>SUMIF(deals_closed!D:D,Calculations!A192,deals_closed!C:C)</f>
        <v>756417</v>
      </c>
      <c r="I192" s="2">
        <f>VLOOKUP(E192,'2018_commission_structure'!$A$11:$I$14,9,FALSE)</f>
        <v>600000</v>
      </c>
      <c r="J192" s="2">
        <f t="shared" si="18"/>
        <v>750000</v>
      </c>
      <c r="K192" s="2">
        <f t="shared" si="19"/>
        <v>900000</v>
      </c>
      <c r="L192" s="2">
        <f t="shared" si="20"/>
        <v>1200000</v>
      </c>
      <c r="M192" s="6">
        <f t="shared" si="21"/>
        <v>1.2606949999999999</v>
      </c>
      <c r="N192" t="str">
        <f t="shared" si="22"/>
        <v>125-150%</v>
      </c>
      <c r="O192" s="7">
        <f>MIN(I192,H192)*INDEX('2018_commission_structure'!$A$11:$I$14,MATCH(Calculations!$E192,'2018_commission_structure'!$A$11:$A$14,0),MATCH(Calculations!O$1,'2018_commission_structure'!$A$11:$I$11,0))</f>
        <v>78000</v>
      </c>
      <c r="P192" s="7">
        <f>IF($H192&gt;I192,MIN($H192-I192,J192-I192)*INDEX('2018_commission_structure'!$A$11:$I$14,MATCH(Calculations!$E192,'2018_commission_structure'!$A$11:$A$14,0), MATCH(Calculations!P$1,'2018_commission_structure'!$A$11:$I$11,0)),0)</f>
        <v>25500.000000000004</v>
      </c>
      <c r="Q192" s="7">
        <f>IF($H192&gt;J192,MIN($H192-J192,K192-J192)*INDEX('2018_commission_structure'!$A$11:$I$14,MATCH(Calculations!$E192,'2018_commission_structure'!$A$11:$A$14,0), MATCH(Calculations!Q$1,'2018_commission_structure'!$A$11:$I$11,0)),0)</f>
        <v>1347.57</v>
      </c>
      <c r="R192" s="7">
        <f>IF($H192&gt;K192,MIN($H192-K192,L192-K192)*INDEX('2018_commission_structure'!$A$11:$I$14,MATCH(Calculations!$E192,'2018_commission_structure'!$A$11:$A$14,0), MATCH(Calculations!R$1,'2018_commission_structure'!$A$11:$I$11,0)),0)</f>
        <v>0</v>
      </c>
      <c r="S192" s="7">
        <f>IF(H192&gt;L192,(H192-L192)*INDEX('2018_commission_structure'!$A$11:$I$14,MATCH(Calculations!$E192,'2018_commission_structure'!$A$11:$A$14,0),MATCH(Calculations!S$1,'2018_commission_structure'!$A$11:$I$11,0)),0)</f>
        <v>0</v>
      </c>
      <c r="T192" s="7">
        <f t="shared" si="23"/>
        <v>104847.57</v>
      </c>
      <c r="U192" s="7">
        <f t="shared" si="24"/>
        <v>158792.57</v>
      </c>
      <c r="V192" s="7">
        <f>MIN(H192,I192)*INDEX('2018_commission_structure'!$A$5:$J$8,MATCH(Calculations!$E192,'2018_commission_structure'!$A$5:$A$8,0),MATCH(Calculations!V$1,'2018_commission_structure'!$A$5:$J$5,0))</f>
        <v>90000</v>
      </c>
      <c r="W192" s="2">
        <f>IF($H192&gt;I192,MIN($H192-I192,J192-I192)*INDEX('2018_commission_structure'!$A$5:$J$8,MATCH(Calculations!$E192,'2018_commission_structure'!$A$5:$A$8,0),MATCH(Calculations!W$1,'2018_commission_structure'!$A$5:$J$5,0)),0)</f>
        <v>27000</v>
      </c>
      <c r="X192" s="2">
        <f>IF($H192&gt;J192,MIN($H192-J192,K192-J192)*INDEX('2018_commission_structure'!$A$5:$J$8,MATCH(Calculations!$E192,'2018_commission_structure'!$A$5:$A$8,0),MATCH(Calculations!X$1,'2018_commission_structure'!$A$5:$J$5,0)),0)</f>
        <v>1604.25</v>
      </c>
      <c r="Y192" s="2">
        <f>IF($H192&gt;K192,MIN($H192-K192,L192-K192)*INDEX('2018_commission_structure'!$A$5:$J$8,MATCH(Calculations!$E192,'2018_commission_structure'!$A$5:$A$8,0),MATCH(Calculations!Y$1,'2018_commission_structure'!$A$5:$J$5,0)),0)</f>
        <v>0</v>
      </c>
      <c r="Z192" s="2">
        <f xml:space="preserve"> IF(H192&gt;L192,(H192-L192)*INDEX('2018_commission_structure'!$A$11:$I$14,MATCH(Calculations!$E192,'2018_commission_structure'!$A$11:$A$14,0),MATCH(Calculations!Z$1,'2018_commission_structure'!$A$11:$I$11,0)),0)</f>
        <v>0</v>
      </c>
      <c r="AA192" s="7">
        <f t="shared" si="25"/>
        <v>118604.25</v>
      </c>
      <c r="AB192" s="7">
        <f t="shared" si="26"/>
        <v>172549.25</v>
      </c>
    </row>
    <row r="193" spans="1:28" x14ac:dyDescent="0.25">
      <c r="A193">
        <v>858481901</v>
      </c>
      <c r="B193" t="s">
        <v>1630</v>
      </c>
      <c r="C193" t="s">
        <v>1631</v>
      </c>
      <c r="D193" t="str">
        <f>B193&amp;" "&amp;C193</f>
        <v>Cyndi D'Agostino</v>
      </c>
      <c r="E193" t="s">
        <v>10</v>
      </c>
      <c r="F193">
        <v>78794</v>
      </c>
      <c r="G193">
        <f>COUNTIF(deals_closed!D:D,Calculations!A193)</f>
        <v>28</v>
      </c>
      <c r="H193" s="2">
        <f>SUMIF(deals_closed!D:D,Calculations!A193,deals_closed!C:C)</f>
        <v>982174</v>
      </c>
      <c r="I193" s="2">
        <f>VLOOKUP(E193,'2018_commission_structure'!$A$11:$I$14,9,FALSE)</f>
        <v>750000</v>
      </c>
      <c r="J193" s="2">
        <f t="shared" si="18"/>
        <v>937500</v>
      </c>
      <c r="K193" s="2">
        <f t="shared" si="19"/>
        <v>1125000</v>
      </c>
      <c r="L193" s="2">
        <f t="shared" si="20"/>
        <v>1500000</v>
      </c>
      <c r="M193" s="6">
        <f t="shared" si="21"/>
        <v>1.3095653333333332</v>
      </c>
      <c r="N193" t="str">
        <f t="shared" si="22"/>
        <v>125-150%</v>
      </c>
      <c r="O193" s="7">
        <f>MIN(I193,H193)*INDEX('2018_commission_structure'!$A$11:$I$14,MATCH(Calculations!$E193,'2018_commission_structure'!$A$11:$A$14,0),MATCH(Calculations!O$1,'2018_commission_structure'!$A$11:$I$11,0))</f>
        <v>112500</v>
      </c>
      <c r="P193" s="7">
        <f>IF($H193&gt;I193,MIN($H193-I193,J193-I193)*INDEX('2018_commission_structure'!$A$11:$I$14,MATCH(Calculations!$E193,'2018_commission_structure'!$A$11:$A$14,0), MATCH(Calculations!P$1,'2018_commission_structure'!$A$11:$I$11,0)),0)</f>
        <v>35625</v>
      </c>
      <c r="Q193" s="7">
        <f>IF($H193&gt;J193,MIN($H193-J193,K193-J193)*INDEX('2018_commission_structure'!$A$11:$I$14,MATCH(Calculations!$E193,'2018_commission_structure'!$A$11:$A$14,0), MATCH(Calculations!Q$1,'2018_commission_structure'!$A$11:$I$11,0)),0)</f>
        <v>10275.02</v>
      </c>
      <c r="R193" s="7">
        <f>IF($H193&gt;K193,MIN($H193-K193,L193-K193)*INDEX('2018_commission_structure'!$A$11:$I$14,MATCH(Calculations!$E193,'2018_commission_structure'!$A$11:$A$14,0), MATCH(Calculations!R$1,'2018_commission_structure'!$A$11:$I$11,0)),0)</f>
        <v>0</v>
      </c>
      <c r="S193" s="7">
        <f>IF(H193&gt;L193,(H193-L193)*INDEX('2018_commission_structure'!$A$11:$I$14,MATCH(Calculations!$E193,'2018_commission_structure'!$A$11:$A$14,0),MATCH(Calculations!S$1,'2018_commission_structure'!$A$11:$I$11,0)),0)</f>
        <v>0</v>
      </c>
      <c r="T193" s="7">
        <f t="shared" si="23"/>
        <v>158400.01999999999</v>
      </c>
      <c r="U193" s="7">
        <f t="shared" si="24"/>
        <v>237194.02</v>
      </c>
      <c r="V193" s="7">
        <f>MIN(H193,I193)*INDEX('2018_commission_structure'!$A$5:$J$8,MATCH(Calculations!$E193,'2018_commission_structure'!$A$5:$A$8,0),MATCH(Calculations!V$1,'2018_commission_structure'!$A$5:$J$5,0))</f>
        <v>112500</v>
      </c>
      <c r="W193" s="2">
        <f>IF($H193&gt;I193,MIN($H193-I193,J193-I193)*INDEX('2018_commission_structure'!$A$5:$J$8,MATCH(Calculations!$E193,'2018_commission_structure'!$A$5:$A$8,0),MATCH(Calculations!W$1,'2018_commission_structure'!$A$5:$J$5,0)),0)</f>
        <v>41250</v>
      </c>
      <c r="X193" s="2">
        <f>IF($H193&gt;J193,MIN($H193-J193,K193-J193)*INDEX('2018_commission_structure'!$A$5:$J$8,MATCH(Calculations!$E193,'2018_commission_structure'!$A$5:$A$8,0),MATCH(Calculations!X$1,'2018_commission_structure'!$A$5:$J$5,0)),0)</f>
        <v>11168.5</v>
      </c>
      <c r="Y193" s="2">
        <f>IF($H193&gt;K193,MIN($H193-K193,L193-K193)*INDEX('2018_commission_structure'!$A$5:$J$8,MATCH(Calculations!$E193,'2018_commission_structure'!$A$5:$A$8,0),MATCH(Calculations!Y$1,'2018_commission_structure'!$A$5:$J$5,0)),0)</f>
        <v>0</v>
      </c>
      <c r="Z193" s="2">
        <f xml:space="preserve"> IF(H193&gt;L193,(H193-L193)*INDEX('2018_commission_structure'!$A$11:$I$14,MATCH(Calculations!$E193,'2018_commission_structure'!$A$11:$A$14,0),MATCH(Calculations!Z$1,'2018_commission_structure'!$A$11:$I$11,0)),0)</f>
        <v>0</v>
      </c>
      <c r="AA193" s="7">
        <f t="shared" si="25"/>
        <v>164918.5</v>
      </c>
      <c r="AB193" s="7">
        <f t="shared" si="26"/>
        <v>243712.5</v>
      </c>
    </row>
    <row r="194" spans="1:28" x14ac:dyDescent="0.25">
      <c r="A194">
        <v>8173067724</v>
      </c>
      <c r="B194" t="s">
        <v>38</v>
      </c>
      <c r="C194" t="s">
        <v>39</v>
      </c>
      <c r="D194" t="str">
        <f>B194&amp;" "&amp;C194</f>
        <v>Sandor D'Ambrogi</v>
      </c>
      <c r="E194" t="s">
        <v>7</v>
      </c>
      <c r="F194">
        <v>47147</v>
      </c>
      <c r="G194">
        <f>COUNTIF(deals_closed!D:D,Calculations!A194)</f>
        <v>21</v>
      </c>
      <c r="H194" s="2">
        <f>SUMIF(deals_closed!D:D,Calculations!A194,deals_closed!C:C)</f>
        <v>760710</v>
      </c>
      <c r="I194" s="2">
        <f>VLOOKUP(E194,'2018_commission_structure'!$A$11:$I$14,9,FALSE)</f>
        <v>500000</v>
      </c>
      <c r="J194" s="2">
        <f t="shared" ref="J194:J257" si="27">I194*1.25</f>
        <v>625000</v>
      </c>
      <c r="K194" s="2">
        <f t="shared" ref="K194:K257" si="28">I194*1.5</f>
        <v>750000</v>
      </c>
      <c r="L194" s="2">
        <f t="shared" ref="L194:L257" si="29">I194*2</f>
        <v>1000000</v>
      </c>
      <c r="M194" s="6">
        <f t="shared" ref="M194:M257" si="30">H194/I194</f>
        <v>1.52142</v>
      </c>
      <c r="N194" t="str">
        <f t="shared" ref="N194:N257" si="31">IF(M194&lt;=1, "0-100%", IF(M194&lt;=1.25, "100-125%", IF(M194&lt;=1.5, "125-150%", IF(M194&lt;=2, "150-200%", "&gt;200%"))))</f>
        <v>150-200%</v>
      </c>
      <c r="O194" s="7">
        <f>MIN(I194,H194)*INDEX('2018_commission_structure'!$A$11:$I$14,MATCH(Calculations!$E194,'2018_commission_structure'!$A$11:$A$14,0),MATCH(Calculations!O$1,'2018_commission_structure'!$A$11:$I$11,0))</f>
        <v>50000</v>
      </c>
      <c r="P194" s="7">
        <f>IF($H194&gt;I194,MIN($H194-I194,J194-I194)*INDEX('2018_commission_structure'!$A$11:$I$14,MATCH(Calculations!$E194,'2018_commission_structure'!$A$11:$A$14,0), MATCH(Calculations!P$1,'2018_commission_structure'!$A$11:$I$11,0)),0)</f>
        <v>18750</v>
      </c>
      <c r="Q194" s="7">
        <f>IF($H194&gt;J194,MIN($H194-J194,K194-J194)*INDEX('2018_commission_structure'!$A$11:$I$14,MATCH(Calculations!$E194,'2018_commission_structure'!$A$11:$A$14,0), MATCH(Calculations!Q$1,'2018_commission_structure'!$A$11:$I$11,0)),0)</f>
        <v>22500</v>
      </c>
      <c r="R194" s="7">
        <f>IF($H194&gt;K194,MIN($H194-K194,L194-K194)*INDEX('2018_commission_structure'!$A$11:$I$14,MATCH(Calculations!$E194,'2018_commission_structure'!$A$11:$A$14,0), MATCH(Calculations!R$1,'2018_commission_structure'!$A$11:$I$11,0)),0)</f>
        <v>2356.1999999999998</v>
      </c>
      <c r="S194" s="7">
        <f>IF(H194&gt;L194,(H194-L194)*INDEX('2018_commission_structure'!$A$11:$I$14,MATCH(Calculations!$E194,'2018_commission_structure'!$A$11:$A$14,0),MATCH(Calculations!S$1,'2018_commission_structure'!$A$11:$I$11,0)),0)</f>
        <v>0</v>
      </c>
      <c r="T194" s="7">
        <f t="shared" ref="T194:T257" si="32">SUM(O194:S194)</f>
        <v>93606.2</v>
      </c>
      <c r="U194" s="7">
        <f t="shared" ref="U194:U257" si="33">T194+F194</f>
        <v>140753.20000000001</v>
      </c>
      <c r="V194" s="7">
        <f>MIN(H194,I194)*INDEX('2018_commission_structure'!$A$5:$J$8,MATCH(Calculations!$E194,'2018_commission_structure'!$A$5:$A$8,0),MATCH(Calculations!V$1,'2018_commission_structure'!$A$5:$J$5,0))</f>
        <v>60000</v>
      </c>
      <c r="W194" s="2">
        <f>IF($H194&gt;I194,MIN($H194-I194,J194-I194)*INDEX('2018_commission_structure'!$A$5:$J$8,MATCH(Calculations!$E194,'2018_commission_structure'!$A$5:$A$8,0),MATCH(Calculations!W$1,'2018_commission_structure'!$A$5:$J$5,0)),0)</f>
        <v>21250</v>
      </c>
      <c r="X194" s="2">
        <f>IF($H194&gt;J194,MIN($H194-J194,K194-J194)*INDEX('2018_commission_structure'!$A$5:$J$8,MATCH(Calculations!$E194,'2018_commission_structure'!$A$5:$A$8,0),MATCH(Calculations!X$1,'2018_commission_structure'!$A$5:$J$5,0)),0)</f>
        <v>25000</v>
      </c>
      <c r="Y194" s="2">
        <f>IF($H194&gt;K194,MIN($H194-K194,L194-K194)*INDEX('2018_commission_structure'!$A$5:$J$8,MATCH(Calculations!$E194,'2018_commission_structure'!$A$5:$A$8,0),MATCH(Calculations!Y$1,'2018_commission_structure'!$A$5:$J$5,0)),0)</f>
        <v>2356.1999999999998</v>
      </c>
      <c r="Z194" s="2">
        <f xml:space="preserve"> IF(H194&gt;L194,(H194-L194)*INDEX('2018_commission_structure'!$A$11:$I$14,MATCH(Calculations!$E194,'2018_commission_structure'!$A$11:$A$14,0),MATCH(Calculations!Z$1,'2018_commission_structure'!$A$11:$I$11,0)),0)</f>
        <v>0</v>
      </c>
      <c r="AA194" s="7">
        <f t="shared" si="25"/>
        <v>108606.2</v>
      </c>
      <c r="AB194" s="7">
        <f t="shared" si="26"/>
        <v>155753.20000000001</v>
      </c>
    </row>
    <row r="195" spans="1:28" x14ac:dyDescent="0.25">
      <c r="A195">
        <v>9674189459</v>
      </c>
      <c r="B195" t="s">
        <v>826</v>
      </c>
      <c r="C195" t="s">
        <v>827</v>
      </c>
      <c r="D195" t="str">
        <f>B195&amp;" "&amp;C195</f>
        <v>Grenville D'Orsay</v>
      </c>
      <c r="E195" t="s">
        <v>10</v>
      </c>
      <c r="F195">
        <v>77029</v>
      </c>
      <c r="G195">
        <f>COUNTIF(deals_closed!D:D,Calculations!A195)</f>
        <v>17</v>
      </c>
      <c r="H195" s="2">
        <f>SUMIF(deals_closed!D:D,Calculations!A195,deals_closed!C:C)</f>
        <v>608507</v>
      </c>
      <c r="I195" s="2">
        <f>VLOOKUP(E195,'2018_commission_structure'!$A$11:$I$14,9,FALSE)</f>
        <v>750000</v>
      </c>
      <c r="J195" s="2">
        <f t="shared" si="27"/>
        <v>937500</v>
      </c>
      <c r="K195" s="2">
        <f t="shared" si="28"/>
        <v>1125000</v>
      </c>
      <c r="L195" s="2">
        <f t="shared" si="29"/>
        <v>1500000</v>
      </c>
      <c r="M195" s="6">
        <f t="shared" si="30"/>
        <v>0.81134266666666666</v>
      </c>
      <c r="N195" t="str">
        <f t="shared" si="31"/>
        <v>0-100%</v>
      </c>
      <c r="O195" s="7">
        <f>MIN(I195,H195)*INDEX('2018_commission_structure'!$A$11:$I$14,MATCH(Calculations!$E195,'2018_commission_structure'!$A$11:$A$14,0),MATCH(Calculations!O$1,'2018_commission_structure'!$A$11:$I$11,0))</f>
        <v>91276.05</v>
      </c>
      <c r="P195" s="7">
        <f>IF($H195&gt;I195,MIN($H195-I195,J195-I195)*INDEX('2018_commission_structure'!$A$11:$I$14,MATCH(Calculations!$E195,'2018_commission_structure'!$A$11:$A$14,0), MATCH(Calculations!P$1,'2018_commission_structure'!$A$11:$I$11,0)),0)</f>
        <v>0</v>
      </c>
      <c r="Q195" s="7">
        <f>IF($H195&gt;J195,MIN($H195-J195,K195-J195)*INDEX('2018_commission_structure'!$A$11:$I$14,MATCH(Calculations!$E195,'2018_commission_structure'!$A$11:$A$14,0), MATCH(Calculations!Q$1,'2018_commission_structure'!$A$11:$I$11,0)),0)</f>
        <v>0</v>
      </c>
      <c r="R195" s="7">
        <f>IF($H195&gt;K195,MIN($H195-K195,L195-K195)*INDEX('2018_commission_structure'!$A$11:$I$14,MATCH(Calculations!$E195,'2018_commission_structure'!$A$11:$A$14,0), MATCH(Calculations!R$1,'2018_commission_structure'!$A$11:$I$11,0)),0)</f>
        <v>0</v>
      </c>
      <c r="S195" s="7">
        <f>IF(H195&gt;L195,(H195-L195)*INDEX('2018_commission_structure'!$A$11:$I$14,MATCH(Calculations!$E195,'2018_commission_structure'!$A$11:$A$14,0),MATCH(Calculations!S$1,'2018_commission_structure'!$A$11:$I$11,0)),0)</f>
        <v>0</v>
      </c>
      <c r="T195" s="7">
        <f t="shared" si="32"/>
        <v>91276.05</v>
      </c>
      <c r="U195" s="7">
        <f t="shared" si="33"/>
        <v>168305.05</v>
      </c>
      <c r="V195" s="7">
        <f>MIN(H195,I195)*INDEX('2018_commission_structure'!$A$5:$J$8,MATCH(Calculations!$E195,'2018_commission_structure'!$A$5:$A$8,0),MATCH(Calculations!V$1,'2018_commission_structure'!$A$5:$J$5,0))</f>
        <v>91276.05</v>
      </c>
      <c r="W195" s="2">
        <f>IF($H195&gt;I195,MIN($H195-I195,J195-I195)*INDEX('2018_commission_structure'!$A$5:$J$8,MATCH(Calculations!$E195,'2018_commission_structure'!$A$5:$A$8,0),MATCH(Calculations!W$1,'2018_commission_structure'!$A$5:$J$5,0)),0)</f>
        <v>0</v>
      </c>
      <c r="X195" s="2">
        <f>IF($H195&gt;J195,MIN($H195-J195,K195-J195)*INDEX('2018_commission_structure'!$A$5:$J$8,MATCH(Calculations!$E195,'2018_commission_structure'!$A$5:$A$8,0),MATCH(Calculations!X$1,'2018_commission_structure'!$A$5:$J$5,0)),0)</f>
        <v>0</v>
      </c>
      <c r="Y195" s="2">
        <f>IF($H195&gt;K195,MIN($H195-K195,L195-K195)*INDEX('2018_commission_structure'!$A$5:$J$8,MATCH(Calculations!$E195,'2018_commission_structure'!$A$5:$A$8,0),MATCH(Calculations!Y$1,'2018_commission_structure'!$A$5:$J$5,0)),0)</f>
        <v>0</v>
      </c>
      <c r="Z195" s="2">
        <f xml:space="preserve"> IF(H195&gt;L195,(H195-L195)*INDEX('2018_commission_structure'!$A$11:$I$14,MATCH(Calculations!$E195,'2018_commission_structure'!$A$11:$A$14,0),MATCH(Calculations!Z$1,'2018_commission_structure'!$A$11:$I$11,0)),0)</f>
        <v>0</v>
      </c>
      <c r="AA195" s="7">
        <f t="shared" ref="AA195:AA258" si="34">SUM(V195:Z195)</f>
        <v>91276.05</v>
      </c>
      <c r="AB195" s="7">
        <f t="shared" ref="AB195:AB258" si="35">AA195+F195</f>
        <v>168305.05</v>
      </c>
    </row>
    <row r="196" spans="1:28" x14ac:dyDescent="0.25">
      <c r="A196">
        <v>9153408497</v>
      </c>
      <c r="B196" t="s">
        <v>246</v>
      </c>
      <c r="C196" t="s">
        <v>247</v>
      </c>
      <c r="D196" t="str">
        <f>B196&amp;" "&amp;C196</f>
        <v>Shelly Dabs</v>
      </c>
      <c r="E196" t="s">
        <v>10</v>
      </c>
      <c r="F196">
        <v>96381</v>
      </c>
      <c r="G196">
        <f>COUNTIF(deals_closed!D:D,Calculations!A196)</f>
        <v>30</v>
      </c>
      <c r="H196" s="2">
        <f>SUMIF(deals_closed!D:D,Calculations!A196,deals_closed!C:C)</f>
        <v>963557</v>
      </c>
      <c r="I196" s="2">
        <f>VLOOKUP(E196,'2018_commission_structure'!$A$11:$I$14,9,FALSE)</f>
        <v>750000</v>
      </c>
      <c r="J196" s="2">
        <f t="shared" si="27"/>
        <v>937500</v>
      </c>
      <c r="K196" s="2">
        <f t="shared" si="28"/>
        <v>1125000</v>
      </c>
      <c r="L196" s="2">
        <f t="shared" si="29"/>
        <v>1500000</v>
      </c>
      <c r="M196" s="6">
        <f t="shared" si="30"/>
        <v>1.2847426666666666</v>
      </c>
      <c r="N196" t="str">
        <f t="shared" si="31"/>
        <v>125-150%</v>
      </c>
      <c r="O196" s="7">
        <f>MIN(I196,H196)*INDEX('2018_commission_structure'!$A$11:$I$14,MATCH(Calculations!$E196,'2018_commission_structure'!$A$11:$A$14,0),MATCH(Calculations!O$1,'2018_commission_structure'!$A$11:$I$11,0))</f>
        <v>112500</v>
      </c>
      <c r="P196" s="7">
        <f>IF($H196&gt;I196,MIN($H196-I196,J196-I196)*INDEX('2018_commission_structure'!$A$11:$I$14,MATCH(Calculations!$E196,'2018_commission_structure'!$A$11:$A$14,0), MATCH(Calculations!P$1,'2018_commission_structure'!$A$11:$I$11,0)),0)</f>
        <v>35625</v>
      </c>
      <c r="Q196" s="7">
        <f>IF($H196&gt;J196,MIN($H196-J196,K196-J196)*INDEX('2018_commission_structure'!$A$11:$I$14,MATCH(Calculations!$E196,'2018_commission_structure'!$A$11:$A$14,0), MATCH(Calculations!Q$1,'2018_commission_structure'!$A$11:$I$11,0)),0)</f>
        <v>5993.1100000000006</v>
      </c>
      <c r="R196" s="7">
        <f>IF($H196&gt;K196,MIN($H196-K196,L196-K196)*INDEX('2018_commission_structure'!$A$11:$I$14,MATCH(Calculations!$E196,'2018_commission_structure'!$A$11:$A$14,0), MATCH(Calculations!R$1,'2018_commission_structure'!$A$11:$I$11,0)),0)</f>
        <v>0</v>
      </c>
      <c r="S196" s="7">
        <f>IF(H196&gt;L196,(H196-L196)*INDEX('2018_commission_structure'!$A$11:$I$14,MATCH(Calculations!$E196,'2018_commission_structure'!$A$11:$A$14,0),MATCH(Calculations!S$1,'2018_commission_structure'!$A$11:$I$11,0)),0)</f>
        <v>0</v>
      </c>
      <c r="T196" s="7">
        <f t="shared" si="32"/>
        <v>154118.10999999999</v>
      </c>
      <c r="U196" s="7">
        <f t="shared" si="33"/>
        <v>250499.11</v>
      </c>
      <c r="V196" s="7">
        <f>MIN(H196,I196)*INDEX('2018_commission_structure'!$A$5:$J$8,MATCH(Calculations!$E196,'2018_commission_structure'!$A$5:$A$8,0),MATCH(Calculations!V$1,'2018_commission_structure'!$A$5:$J$5,0))</f>
        <v>112500</v>
      </c>
      <c r="W196" s="2">
        <f>IF($H196&gt;I196,MIN($H196-I196,J196-I196)*INDEX('2018_commission_structure'!$A$5:$J$8,MATCH(Calculations!$E196,'2018_commission_structure'!$A$5:$A$8,0),MATCH(Calculations!W$1,'2018_commission_structure'!$A$5:$J$5,0)),0)</f>
        <v>41250</v>
      </c>
      <c r="X196" s="2">
        <f>IF($H196&gt;J196,MIN($H196-J196,K196-J196)*INDEX('2018_commission_structure'!$A$5:$J$8,MATCH(Calculations!$E196,'2018_commission_structure'!$A$5:$A$8,0),MATCH(Calculations!X$1,'2018_commission_structure'!$A$5:$J$5,0)),0)</f>
        <v>6514.25</v>
      </c>
      <c r="Y196" s="2">
        <f>IF($H196&gt;K196,MIN($H196-K196,L196-K196)*INDEX('2018_commission_structure'!$A$5:$J$8,MATCH(Calculations!$E196,'2018_commission_structure'!$A$5:$A$8,0),MATCH(Calculations!Y$1,'2018_commission_structure'!$A$5:$J$5,0)),0)</f>
        <v>0</v>
      </c>
      <c r="Z196" s="2">
        <f xml:space="preserve"> IF(H196&gt;L196,(H196-L196)*INDEX('2018_commission_structure'!$A$11:$I$14,MATCH(Calculations!$E196,'2018_commission_structure'!$A$11:$A$14,0),MATCH(Calculations!Z$1,'2018_commission_structure'!$A$11:$I$11,0)),0)</f>
        <v>0</v>
      </c>
      <c r="AA196" s="7">
        <f t="shared" si="34"/>
        <v>160264.25</v>
      </c>
      <c r="AB196" s="7">
        <f t="shared" si="35"/>
        <v>256645.25</v>
      </c>
    </row>
    <row r="197" spans="1:28" x14ac:dyDescent="0.25">
      <c r="A197">
        <v>9228842121</v>
      </c>
      <c r="B197" t="s">
        <v>1449</v>
      </c>
      <c r="C197" t="s">
        <v>1450</v>
      </c>
      <c r="D197" t="str">
        <f>B197&amp;" "&amp;C197</f>
        <v>Filbert Dahle</v>
      </c>
      <c r="E197" t="s">
        <v>29</v>
      </c>
      <c r="F197">
        <v>74925</v>
      </c>
      <c r="G197">
        <f>COUNTIF(deals_closed!D:D,Calculations!A197)</f>
        <v>25</v>
      </c>
      <c r="H197" s="2">
        <f>SUMIF(deals_closed!D:D,Calculations!A197,deals_closed!C:C)</f>
        <v>921203</v>
      </c>
      <c r="I197" s="2">
        <f>VLOOKUP(E197,'2018_commission_structure'!$A$11:$I$14,9,FALSE)</f>
        <v>600000</v>
      </c>
      <c r="J197" s="2">
        <f t="shared" si="27"/>
        <v>750000</v>
      </c>
      <c r="K197" s="2">
        <f t="shared" si="28"/>
        <v>900000</v>
      </c>
      <c r="L197" s="2">
        <f t="shared" si="29"/>
        <v>1200000</v>
      </c>
      <c r="M197" s="6">
        <f t="shared" si="30"/>
        <v>1.5353383333333332</v>
      </c>
      <c r="N197" t="str">
        <f t="shared" si="31"/>
        <v>150-200%</v>
      </c>
      <c r="O197" s="7">
        <f>MIN(I197,H197)*INDEX('2018_commission_structure'!$A$11:$I$14,MATCH(Calculations!$E197,'2018_commission_structure'!$A$11:$A$14,0),MATCH(Calculations!O$1,'2018_commission_structure'!$A$11:$I$11,0))</f>
        <v>78000</v>
      </c>
      <c r="P197" s="7">
        <f>IF($H197&gt;I197,MIN($H197-I197,J197-I197)*INDEX('2018_commission_structure'!$A$11:$I$14,MATCH(Calculations!$E197,'2018_commission_structure'!$A$11:$A$14,0), MATCH(Calculations!P$1,'2018_commission_structure'!$A$11:$I$11,0)),0)</f>
        <v>25500.000000000004</v>
      </c>
      <c r="Q197" s="7">
        <f>IF($H197&gt;J197,MIN($H197-J197,K197-J197)*INDEX('2018_commission_structure'!$A$11:$I$14,MATCH(Calculations!$E197,'2018_commission_structure'!$A$11:$A$14,0), MATCH(Calculations!Q$1,'2018_commission_structure'!$A$11:$I$11,0)),0)</f>
        <v>31500</v>
      </c>
      <c r="R197" s="7">
        <f>IF($H197&gt;K197,MIN($H197-K197,L197-K197)*INDEX('2018_commission_structure'!$A$11:$I$14,MATCH(Calculations!$E197,'2018_commission_structure'!$A$11:$A$14,0), MATCH(Calculations!R$1,'2018_commission_structure'!$A$11:$I$11,0)),0)</f>
        <v>5512.78</v>
      </c>
      <c r="S197" s="7">
        <f>IF(H197&gt;L197,(H197-L197)*INDEX('2018_commission_structure'!$A$11:$I$14,MATCH(Calculations!$E197,'2018_commission_structure'!$A$11:$A$14,0),MATCH(Calculations!S$1,'2018_commission_structure'!$A$11:$I$11,0)),0)</f>
        <v>0</v>
      </c>
      <c r="T197" s="7">
        <f t="shared" si="32"/>
        <v>140512.78</v>
      </c>
      <c r="U197" s="7">
        <f t="shared" si="33"/>
        <v>215437.78</v>
      </c>
      <c r="V197" s="7">
        <f>MIN(H197,I197)*INDEX('2018_commission_structure'!$A$5:$J$8,MATCH(Calculations!$E197,'2018_commission_structure'!$A$5:$A$8,0),MATCH(Calculations!V$1,'2018_commission_structure'!$A$5:$J$5,0))</f>
        <v>90000</v>
      </c>
      <c r="W197" s="2">
        <f>IF($H197&gt;I197,MIN($H197-I197,J197-I197)*INDEX('2018_commission_structure'!$A$5:$J$8,MATCH(Calculations!$E197,'2018_commission_structure'!$A$5:$A$8,0),MATCH(Calculations!W$1,'2018_commission_structure'!$A$5:$J$5,0)),0)</f>
        <v>27000</v>
      </c>
      <c r="X197" s="2">
        <f>IF($H197&gt;J197,MIN($H197-J197,K197-J197)*INDEX('2018_commission_structure'!$A$5:$J$8,MATCH(Calculations!$E197,'2018_commission_structure'!$A$5:$A$8,0),MATCH(Calculations!X$1,'2018_commission_structure'!$A$5:$J$5,0)),0)</f>
        <v>37500</v>
      </c>
      <c r="Y197" s="2">
        <f>IF($H197&gt;K197,MIN($H197-K197,L197-K197)*INDEX('2018_commission_structure'!$A$5:$J$8,MATCH(Calculations!$E197,'2018_commission_structure'!$A$5:$A$8,0),MATCH(Calculations!Y$1,'2018_commission_structure'!$A$5:$J$5,0)),0)</f>
        <v>6360.9</v>
      </c>
      <c r="Z197" s="2">
        <f xml:space="preserve"> IF(H197&gt;L197,(H197-L197)*INDEX('2018_commission_structure'!$A$11:$I$14,MATCH(Calculations!$E197,'2018_commission_structure'!$A$11:$A$14,0),MATCH(Calculations!Z$1,'2018_commission_structure'!$A$11:$I$11,0)),0)</f>
        <v>0</v>
      </c>
      <c r="AA197" s="7">
        <f t="shared" si="34"/>
        <v>160860.9</v>
      </c>
      <c r="AB197" s="7">
        <f t="shared" si="35"/>
        <v>235785.9</v>
      </c>
    </row>
    <row r="198" spans="1:28" x14ac:dyDescent="0.25">
      <c r="A198">
        <v>7783641539</v>
      </c>
      <c r="B198" t="s">
        <v>1039</v>
      </c>
      <c r="C198" t="s">
        <v>1040</v>
      </c>
      <c r="D198" t="str">
        <f>B198&amp;" "&amp;C198</f>
        <v>Janenna Dailey</v>
      </c>
      <c r="E198" t="s">
        <v>10</v>
      </c>
      <c r="F198">
        <v>109301</v>
      </c>
      <c r="G198">
        <f>COUNTIF(deals_closed!D:D,Calculations!A198)</f>
        <v>20</v>
      </c>
      <c r="H198" s="2">
        <f>SUMIF(deals_closed!D:D,Calculations!A198,deals_closed!C:C)</f>
        <v>729594</v>
      </c>
      <c r="I198" s="2">
        <f>VLOOKUP(E198,'2018_commission_structure'!$A$11:$I$14,9,FALSE)</f>
        <v>750000</v>
      </c>
      <c r="J198" s="2">
        <f t="shared" si="27"/>
        <v>937500</v>
      </c>
      <c r="K198" s="2">
        <f t="shared" si="28"/>
        <v>1125000</v>
      </c>
      <c r="L198" s="2">
        <f t="shared" si="29"/>
        <v>1500000</v>
      </c>
      <c r="M198" s="6">
        <f t="shared" si="30"/>
        <v>0.97279199999999999</v>
      </c>
      <c r="N198" t="str">
        <f t="shared" si="31"/>
        <v>0-100%</v>
      </c>
      <c r="O198" s="7">
        <f>MIN(I198,H198)*INDEX('2018_commission_structure'!$A$11:$I$14,MATCH(Calculations!$E198,'2018_commission_structure'!$A$11:$A$14,0),MATCH(Calculations!O$1,'2018_commission_structure'!$A$11:$I$11,0))</f>
        <v>109439.09999999999</v>
      </c>
      <c r="P198" s="7">
        <f>IF($H198&gt;I198,MIN($H198-I198,J198-I198)*INDEX('2018_commission_structure'!$A$11:$I$14,MATCH(Calculations!$E198,'2018_commission_structure'!$A$11:$A$14,0), MATCH(Calculations!P$1,'2018_commission_structure'!$A$11:$I$11,0)),0)</f>
        <v>0</v>
      </c>
      <c r="Q198" s="7">
        <f>IF($H198&gt;J198,MIN($H198-J198,K198-J198)*INDEX('2018_commission_structure'!$A$11:$I$14,MATCH(Calculations!$E198,'2018_commission_structure'!$A$11:$A$14,0), MATCH(Calculations!Q$1,'2018_commission_structure'!$A$11:$I$11,0)),0)</f>
        <v>0</v>
      </c>
      <c r="R198" s="7">
        <f>IF($H198&gt;K198,MIN($H198-K198,L198-K198)*INDEX('2018_commission_structure'!$A$11:$I$14,MATCH(Calculations!$E198,'2018_commission_structure'!$A$11:$A$14,0), MATCH(Calculations!R$1,'2018_commission_structure'!$A$11:$I$11,0)),0)</f>
        <v>0</v>
      </c>
      <c r="S198" s="7">
        <f>IF(H198&gt;L198,(H198-L198)*INDEX('2018_commission_structure'!$A$11:$I$14,MATCH(Calculations!$E198,'2018_commission_structure'!$A$11:$A$14,0),MATCH(Calculations!S$1,'2018_commission_structure'!$A$11:$I$11,0)),0)</f>
        <v>0</v>
      </c>
      <c r="T198" s="7">
        <f t="shared" si="32"/>
        <v>109439.09999999999</v>
      </c>
      <c r="U198" s="7">
        <f t="shared" si="33"/>
        <v>218740.09999999998</v>
      </c>
      <c r="V198" s="7">
        <f>MIN(H198,I198)*INDEX('2018_commission_structure'!$A$5:$J$8,MATCH(Calculations!$E198,'2018_commission_structure'!$A$5:$A$8,0),MATCH(Calculations!V$1,'2018_commission_structure'!$A$5:$J$5,0))</f>
        <v>109439.09999999999</v>
      </c>
      <c r="W198" s="2">
        <f>IF($H198&gt;I198,MIN($H198-I198,J198-I198)*INDEX('2018_commission_structure'!$A$5:$J$8,MATCH(Calculations!$E198,'2018_commission_structure'!$A$5:$A$8,0),MATCH(Calculations!W$1,'2018_commission_structure'!$A$5:$J$5,0)),0)</f>
        <v>0</v>
      </c>
      <c r="X198" s="2">
        <f>IF($H198&gt;J198,MIN($H198-J198,K198-J198)*INDEX('2018_commission_structure'!$A$5:$J$8,MATCH(Calculations!$E198,'2018_commission_structure'!$A$5:$A$8,0),MATCH(Calculations!X$1,'2018_commission_structure'!$A$5:$J$5,0)),0)</f>
        <v>0</v>
      </c>
      <c r="Y198" s="2">
        <f>IF($H198&gt;K198,MIN($H198-K198,L198-K198)*INDEX('2018_commission_structure'!$A$5:$J$8,MATCH(Calculations!$E198,'2018_commission_structure'!$A$5:$A$8,0),MATCH(Calculations!Y$1,'2018_commission_structure'!$A$5:$J$5,0)),0)</f>
        <v>0</v>
      </c>
      <c r="Z198" s="2">
        <f xml:space="preserve"> IF(H198&gt;L198,(H198-L198)*INDEX('2018_commission_structure'!$A$11:$I$14,MATCH(Calculations!$E198,'2018_commission_structure'!$A$11:$A$14,0),MATCH(Calculations!Z$1,'2018_commission_structure'!$A$11:$I$11,0)),0)</f>
        <v>0</v>
      </c>
      <c r="AA198" s="7">
        <f t="shared" si="34"/>
        <v>109439.09999999999</v>
      </c>
      <c r="AB198" s="7">
        <f t="shared" si="35"/>
        <v>218740.09999999998</v>
      </c>
    </row>
    <row r="199" spans="1:28" x14ac:dyDescent="0.25">
      <c r="A199">
        <v>3915983489</v>
      </c>
      <c r="B199" t="s">
        <v>619</v>
      </c>
      <c r="C199" t="s">
        <v>620</v>
      </c>
      <c r="D199" t="str">
        <f>B199&amp;" "&amp;C199</f>
        <v>Katrina Danne</v>
      </c>
      <c r="E199" t="s">
        <v>7</v>
      </c>
      <c r="F199">
        <v>47584</v>
      </c>
      <c r="G199">
        <f>COUNTIF(deals_closed!D:D,Calculations!A199)</f>
        <v>20</v>
      </c>
      <c r="H199" s="2">
        <f>SUMIF(deals_closed!D:D,Calculations!A199,deals_closed!C:C)</f>
        <v>711786</v>
      </c>
      <c r="I199" s="2">
        <f>VLOOKUP(E199,'2018_commission_structure'!$A$11:$I$14,9,FALSE)</f>
        <v>500000</v>
      </c>
      <c r="J199" s="2">
        <f t="shared" si="27"/>
        <v>625000</v>
      </c>
      <c r="K199" s="2">
        <f t="shared" si="28"/>
        <v>750000</v>
      </c>
      <c r="L199" s="2">
        <f t="shared" si="29"/>
        <v>1000000</v>
      </c>
      <c r="M199" s="6">
        <f t="shared" si="30"/>
        <v>1.4235720000000001</v>
      </c>
      <c r="N199" t="str">
        <f t="shared" si="31"/>
        <v>125-150%</v>
      </c>
      <c r="O199" s="7">
        <f>MIN(I199,H199)*INDEX('2018_commission_structure'!$A$11:$I$14,MATCH(Calculations!$E199,'2018_commission_structure'!$A$11:$A$14,0),MATCH(Calculations!O$1,'2018_commission_structure'!$A$11:$I$11,0))</f>
        <v>50000</v>
      </c>
      <c r="P199" s="7">
        <f>IF($H199&gt;I199,MIN($H199-I199,J199-I199)*INDEX('2018_commission_structure'!$A$11:$I$14,MATCH(Calculations!$E199,'2018_commission_structure'!$A$11:$A$14,0), MATCH(Calculations!P$1,'2018_commission_structure'!$A$11:$I$11,0)),0)</f>
        <v>18750</v>
      </c>
      <c r="Q199" s="7">
        <f>IF($H199&gt;J199,MIN($H199-J199,K199-J199)*INDEX('2018_commission_structure'!$A$11:$I$14,MATCH(Calculations!$E199,'2018_commission_structure'!$A$11:$A$14,0), MATCH(Calculations!Q$1,'2018_commission_structure'!$A$11:$I$11,0)),0)</f>
        <v>15621.48</v>
      </c>
      <c r="R199" s="7">
        <f>IF($H199&gt;K199,MIN($H199-K199,L199-K199)*INDEX('2018_commission_structure'!$A$11:$I$14,MATCH(Calculations!$E199,'2018_commission_structure'!$A$11:$A$14,0), MATCH(Calculations!R$1,'2018_commission_structure'!$A$11:$I$11,0)),0)</f>
        <v>0</v>
      </c>
      <c r="S199" s="7">
        <f>IF(H199&gt;L199,(H199-L199)*INDEX('2018_commission_structure'!$A$11:$I$14,MATCH(Calculations!$E199,'2018_commission_structure'!$A$11:$A$14,0),MATCH(Calculations!S$1,'2018_commission_structure'!$A$11:$I$11,0)),0)</f>
        <v>0</v>
      </c>
      <c r="T199" s="7">
        <f t="shared" si="32"/>
        <v>84371.48</v>
      </c>
      <c r="U199" s="7">
        <f t="shared" si="33"/>
        <v>131955.47999999998</v>
      </c>
      <c r="V199" s="7">
        <f>MIN(H199,I199)*INDEX('2018_commission_structure'!$A$5:$J$8,MATCH(Calculations!$E199,'2018_commission_structure'!$A$5:$A$8,0),MATCH(Calculations!V$1,'2018_commission_structure'!$A$5:$J$5,0))</f>
        <v>60000</v>
      </c>
      <c r="W199" s="2">
        <f>IF($H199&gt;I199,MIN($H199-I199,J199-I199)*INDEX('2018_commission_structure'!$A$5:$J$8,MATCH(Calculations!$E199,'2018_commission_structure'!$A$5:$A$8,0),MATCH(Calculations!W$1,'2018_commission_structure'!$A$5:$J$5,0)),0)</f>
        <v>21250</v>
      </c>
      <c r="X199" s="2">
        <f>IF($H199&gt;J199,MIN($H199-J199,K199-J199)*INDEX('2018_commission_structure'!$A$5:$J$8,MATCH(Calculations!$E199,'2018_commission_structure'!$A$5:$A$8,0),MATCH(Calculations!X$1,'2018_commission_structure'!$A$5:$J$5,0)),0)</f>
        <v>17357.2</v>
      </c>
      <c r="Y199" s="2">
        <f>IF($H199&gt;K199,MIN($H199-K199,L199-K199)*INDEX('2018_commission_structure'!$A$5:$J$8,MATCH(Calculations!$E199,'2018_commission_structure'!$A$5:$A$8,0),MATCH(Calculations!Y$1,'2018_commission_structure'!$A$5:$J$5,0)),0)</f>
        <v>0</v>
      </c>
      <c r="Z199" s="2">
        <f xml:space="preserve"> IF(H199&gt;L199,(H199-L199)*INDEX('2018_commission_structure'!$A$11:$I$14,MATCH(Calculations!$E199,'2018_commission_structure'!$A$11:$A$14,0),MATCH(Calculations!Z$1,'2018_commission_structure'!$A$11:$I$11,0)),0)</f>
        <v>0</v>
      </c>
      <c r="AA199" s="7">
        <f t="shared" si="34"/>
        <v>98607.2</v>
      </c>
      <c r="AB199" s="7">
        <f t="shared" si="35"/>
        <v>146191.20000000001</v>
      </c>
    </row>
    <row r="200" spans="1:28" x14ac:dyDescent="0.25">
      <c r="A200">
        <v>7453397081</v>
      </c>
      <c r="B200" t="s">
        <v>1284</v>
      </c>
      <c r="C200" t="s">
        <v>1285</v>
      </c>
      <c r="D200" t="str">
        <f>B200&amp;" "&amp;C200</f>
        <v>Weylin Daouze</v>
      </c>
      <c r="E200" t="s">
        <v>10</v>
      </c>
      <c r="F200">
        <v>88012</v>
      </c>
      <c r="G200">
        <f>COUNTIF(deals_closed!D:D,Calculations!A200)</f>
        <v>13</v>
      </c>
      <c r="H200" s="2">
        <f>SUMIF(deals_closed!D:D,Calculations!A200,deals_closed!C:C)</f>
        <v>432502</v>
      </c>
      <c r="I200" s="2">
        <f>VLOOKUP(E200,'2018_commission_structure'!$A$11:$I$14,9,FALSE)</f>
        <v>750000</v>
      </c>
      <c r="J200" s="2">
        <f t="shared" si="27"/>
        <v>937500</v>
      </c>
      <c r="K200" s="2">
        <f t="shared" si="28"/>
        <v>1125000</v>
      </c>
      <c r="L200" s="2">
        <f t="shared" si="29"/>
        <v>1500000</v>
      </c>
      <c r="M200" s="6">
        <f t="shared" si="30"/>
        <v>0.57666933333333337</v>
      </c>
      <c r="N200" t="str">
        <f t="shared" si="31"/>
        <v>0-100%</v>
      </c>
      <c r="O200" s="7">
        <f>MIN(I200,H200)*INDEX('2018_commission_structure'!$A$11:$I$14,MATCH(Calculations!$E200,'2018_commission_structure'!$A$11:$A$14,0),MATCH(Calculations!O$1,'2018_commission_structure'!$A$11:$I$11,0))</f>
        <v>64875.299999999996</v>
      </c>
      <c r="P200" s="7">
        <f>IF($H200&gt;I200,MIN($H200-I200,J200-I200)*INDEX('2018_commission_structure'!$A$11:$I$14,MATCH(Calculations!$E200,'2018_commission_structure'!$A$11:$A$14,0), MATCH(Calculations!P$1,'2018_commission_structure'!$A$11:$I$11,0)),0)</f>
        <v>0</v>
      </c>
      <c r="Q200" s="7">
        <f>IF($H200&gt;J200,MIN($H200-J200,K200-J200)*INDEX('2018_commission_structure'!$A$11:$I$14,MATCH(Calculations!$E200,'2018_commission_structure'!$A$11:$A$14,0), MATCH(Calculations!Q$1,'2018_commission_structure'!$A$11:$I$11,0)),0)</f>
        <v>0</v>
      </c>
      <c r="R200" s="7">
        <f>IF($H200&gt;K200,MIN($H200-K200,L200-K200)*INDEX('2018_commission_structure'!$A$11:$I$14,MATCH(Calculations!$E200,'2018_commission_structure'!$A$11:$A$14,0), MATCH(Calculations!R$1,'2018_commission_structure'!$A$11:$I$11,0)),0)</f>
        <v>0</v>
      </c>
      <c r="S200" s="7">
        <f>IF(H200&gt;L200,(H200-L200)*INDEX('2018_commission_structure'!$A$11:$I$14,MATCH(Calculations!$E200,'2018_commission_structure'!$A$11:$A$14,0),MATCH(Calculations!S$1,'2018_commission_structure'!$A$11:$I$11,0)),0)</f>
        <v>0</v>
      </c>
      <c r="T200" s="7">
        <f t="shared" si="32"/>
        <v>64875.299999999996</v>
      </c>
      <c r="U200" s="7">
        <f t="shared" si="33"/>
        <v>152887.29999999999</v>
      </c>
      <c r="V200" s="7">
        <f>MIN(H200,I200)*INDEX('2018_commission_structure'!$A$5:$J$8,MATCH(Calculations!$E200,'2018_commission_structure'!$A$5:$A$8,0),MATCH(Calculations!V$1,'2018_commission_structure'!$A$5:$J$5,0))</f>
        <v>64875.299999999996</v>
      </c>
      <c r="W200" s="2">
        <f>IF($H200&gt;I200,MIN($H200-I200,J200-I200)*INDEX('2018_commission_structure'!$A$5:$J$8,MATCH(Calculations!$E200,'2018_commission_structure'!$A$5:$A$8,0),MATCH(Calculations!W$1,'2018_commission_structure'!$A$5:$J$5,0)),0)</f>
        <v>0</v>
      </c>
      <c r="X200" s="2">
        <f>IF($H200&gt;J200,MIN($H200-J200,K200-J200)*INDEX('2018_commission_structure'!$A$5:$J$8,MATCH(Calculations!$E200,'2018_commission_structure'!$A$5:$A$8,0),MATCH(Calculations!X$1,'2018_commission_structure'!$A$5:$J$5,0)),0)</f>
        <v>0</v>
      </c>
      <c r="Y200" s="2">
        <f>IF($H200&gt;K200,MIN($H200-K200,L200-K200)*INDEX('2018_commission_structure'!$A$5:$J$8,MATCH(Calculations!$E200,'2018_commission_structure'!$A$5:$A$8,0),MATCH(Calculations!Y$1,'2018_commission_structure'!$A$5:$J$5,0)),0)</f>
        <v>0</v>
      </c>
      <c r="Z200" s="2">
        <f xml:space="preserve"> IF(H200&gt;L200,(H200-L200)*INDEX('2018_commission_structure'!$A$11:$I$14,MATCH(Calculations!$E200,'2018_commission_structure'!$A$11:$A$14,0),MATCH(Calculations!Z$1,'2018_commission_structure'!$A$11:$I$11,0)),0)</f>
        <v>0</v>
      </c>
      <c r="AA200" s="7">
        <f t="shared" si="34"/>
        <v>64875.299999999996</v>
      </c>
      <c r="AB200" s="7">
        <f t="shared" si="35"/>
        <v>152887.29999999999</v>
      </c>
    </row>
    <row r="201" spans="1:28" x14ac:dyDescent="0.25">
      <c r="A201">
        <v>7011563598</v>
      </c>
      <c r="B201" t="s">
        <v>958</v>
      </c>
      <c r="C201" t="s">
        <v>959</v>
      </c>
      <c r="D201" t="str">
        <f>B201&amp;" "&amp;C201</f>
        <v>Isadora Davana</v>
      </c>
      <c r="E201" t="s">
        <v>7</v>
      </c>
      <c r="F201">
        <v>30113</v>
      </c>
      <c r="G201">
        <f>COUNTIF(deals_closed!D:D,Calculations!A201)</f>
        <v>18</v>
      </c>
      <c r="H201" s="2">
        <f>SUMIF(deals_closed!D:D,Calculations!A201,deals_closed!C:C)</f>
        <v>664135</v>
      </c>
      <c r="I201" s="2">
        <f>VLOOKUP(E201,'2018_commission_structure'!$A$11:$I$14,9,FALSE)</f>
        <v>500000</v>
      </c>
      <c r="J201" s="2">
        <f t="shared" si="27"/>
        <v>625000</v>
      </c>
      <c r="K201" s="2">
        <f t="shared" si="28"/>
        <v>750000</v>
      </c>
      <c r="L201" s="2">
        <f t="shared" si="29"/>
        <v>1000000</v>
      </c>
      <c r="M201" s="6">
        <f t="shared" si="30"/>
        <v>1.3282700000000001</v>
      </c>
      <c r="N201" t="str">
        <f t="shared" si="31"/>
        <v>125-150%</v>
      </c>
      <c r="O201" s="7">
        <f>MIN(I201,H201)*INDEX('2018_commission_structure'!$A$11:$I$14,MATCH(Calculations!$E201,'2018_commission_structure'!$A$11:$A$14,0),MATCH(Calculations!O$1,'2018_commission_structure'!$A$11:$I$11,0))</f>
        <v>50000</v>
      </c>
      <c r="P201" s="7">
        <f>IF($H201&gt;I201,MIN($H201-I201,J201-I201)*INDEX('2018_commission_structure'!$A$11:$I$14,MATCH(Calculations!$E201,'2018_commission_structure'!$A$11:$A$14,0), MATCH(Calculations!P$1,'2018_commission_structure'!$A$11:$I$11,0)),0)</f>
        <v>18750</v>
      </c>
      <c r="Q201" s="7">
        <f>IF($H201&gt;J201,MIN($H201-J201,K201-J201)*INDEX('2018_commission_structure'!$A$11:$I$14,MATCH(Calculations!$E201,'2018_commission_structure'!$A$11:$A$14,0), MATCH(Calculations!Q$1,'2018_commission_structure'!$A$11:$I$11,0)),0)</f>
        <v>7044.3</v>
      </c>
      <c r="R201" s="7">
        <f>IF($H201&gt;K201,MIN($H201-K201,L201-K201)*INDEX('2018_commission_structure'!$A$11:$I$14,MATCH(Calculations!$E201,'2018_commission_structure'!$A$11:$A$14,0), MATCH(Calculations!R$1,'2018_commission_structure'!$A$11:$I$11,0)),0)</f>
        <v>0</v>
      </c>
      <c r="S201" s="7">
        <f>IF(H201&gt;L201,(H201-L201)*INDEX('2018_commission_structure'!$A$11:$I$14,MATCH(Calculations!$E201,'2018_commission_structure'!$A$11:$A$14,0),MATCH(Calculations!S$1,'2018_commission_structure'!$A$11:$I$11,0)),0)</f>
        <v>0</v>
      </c>
      <c r="T201" s="7">
        <f t="shared" si="32"/>
        <v>75794.3</v>
      </c>
      <c r="U201" s="7">
        <f t="shared" si="33"/>
        <v>105907.3</v>
      </c>
      <c r="V201" s="7">
        <f>MIN(H201,I201)*INDEX('2018_commission_structure'!$A$5:$J$8,MATCH(Calculations!$E201,'2018_commission_structure'!$A$5:$A$8,0),MATCH(Calculations!V$1,'2018_commission_structure'!$A$5:$J$5,0))</f>
        <v>60000</v>
      </c>
      <c r="W201" s="2">
        <f>IF($H201&gt;I201,MIN($H201-I201,J201-I201)*INDEX('2018_commission_structure'!$A$5:$J$8,MATCH(Calculations!$E201,'2018_commission_structure'!$A$5:$A$8,0),MATCH(Calculations!W$1,'2018_commission_structure'!$A$5:$J$5,0)),0)</f>
        <v>21250</v>
      </c>
      <c r="X201" s="2">
        <f>IF($H201&gt;J201,MIN($H201-J201,K201-J201)*INDEX('2018_commission_structure'!$A$5:$J$8,MATCH(Calculations!$E201,'2018_commission_structure'!$A$5:$A$8,0),MATCH(Calculations!X$1,'2018_commission_structure'!$A$5:$J$5,0)),0)</f>
        <v>7827</v>
      </c>
      <c r="Y201" s="2">
        <f>IF($H201&gt;K201,MIN($H201-K201,L201-K201)*INDEX('2018_commission_structure'!$A$5:$J$8,MATCH(Calculations!$E201,'2018_commission_structure'!$A$5:$A$8,0),MATCH(Calculations!Y$1,'2018_commission_structure'!$A$5:$J$5,0)),0)</f>
        <v>0</v>
      </c>
      <c r="Z201" s="2">
        <f xml:space="preserve"> IF(H201&gt;L201,(H201-L201)*INDEX('2018_commission_structure'!$A$11:$I$14,MATCH(Calculations!$E201,'2018_commission_structure'!$A$11:$A$14,0),MATCH(Calculations!Z$1,'2018_commission_structure'!$A$11:$I$11,0)),0)</f>
        <v>0</v>
      </c>
      <c r="AA201" s="7">
        <f t="shared" si="34"/>
        <v>89077</v>
      </c>
      <c r="AB201" s="7">
        <f t="shared" si="35"/>
        <v>119190</v>
      </c>
    </row>
    <row r="202" spans="1:28" x14ac:dyDescent="0.25">
      <c r="A202">
        <v>6402318035</v>
      </c>
      <c r="B202" t="s">
        <v>672</v>
      </c>
      <c r="C202" t="s">
        <v>673</v>
      </c>
      <c r="D202" t="str">
        <f>B202&amp;" "&amp;C202</f>
        <v>Orv Davidou</v>
      </c>
      <c r="E202" t="s">
        <v>7</v>
      </c>
      <c r="F202">
        <v>51501</v>
      </c>
      <c r="G202">
        <f>COUNTIF(deals_closed!D:D,Calculations!A202)</f>
        <v>20</v>
      </c>
      <c r="H202" s="2">
        <f>SUMIF(deals_closed!D:D,Calculations!A202,deals_closed!C:C)</f>
        <v>656820</v>
      </c>
      <c r="I202" s="2">
        <f>VLOOKUP(E202,'2018_commission_structure'!$A$11:$I$14,9,FALSE)</f>
        <v>500000</v>
      </c>
      <c r="J202" s="2">
        <f t="shared" si="27"/>
        <v>625000</v>
      </c>
      <c r="K202" s="2">
        <f t="shared" si="28"/>
        <v>750000</v>
      </c>
      <c r="L202" s="2">
        <f t="shared" si="29"/>
        <v>1000000</v>
      </c>
      <c r="M202" s="6">
        <f t="shared" si="30"/>
        <v>1.3136399999999999</v>
      </c>
      <c r="N202" t="str">
        <f t="shared" si="31"/>
        <v>125-150%</v>
      </c>
      <c r="O202" s="7">
        <f>MIN(I202,H202)*INDEX('2018_commission_structure'!$A$11:$I$14,MATCH(Calculations!$E202,'2018_commission_structure'!$A$11:$A$14,0),MATCH(Calculations!O$1,'2018_commission_structure'!$A$11:$I$11,0))</f>
        <v>50000</v>
      </c>
      <c r="P202" s="7">
        <f>IF($H202&gt;I202,MIN($H202-I202,J202-I202)*INDEX('2018_commission_structure'!$A$11:$I$14,MATCH(Calculations!$E202,'2018_commission_structure'!$A$11:$A$14,0), MATCH(Calculations!P$1,'2018_commission_structure'!$A$11:$I$11,0)),0)</f>
        <v>18750</v>
      </c>
      <c r="Q202" s="7">
        <f>IF($H202&gt;J202,MIN($H202-J202,K202-J202)*INDEX('2018_commission_structure'!$A$11:$I$14,MATCH(Calculations!$E202,'2018_commission_structure'!$A$11:$A$14,0), MATCH(Calculations!Q$1,'2018_commission_structure'!$A$11:$I$11,0)),0)</f>
        <v>5727.5999999999995</v>
      </c>
      <c r="R202" s="7">
        <f>IF($H202&gt;K202,MIN($H202-K202,L202-K202)*INDEX('2018_commission_structure'!$A$11:$I$14,MATCH(Calculations!$E202,'2018_commission_structure'!$A$11:$A$14,0), MATCH(Calculations!R$1,'2018_commission_structure'!$A$11:$I$11,0)),0)</f>
        <v>0</v>
      </c>
      <c r="S202" s="7">
        <f>IF(H202&gt;L202,(H202-L202)*INDEX('2018_commission_structure'!$A$11:$I$14,MATCH(Calculations!$E202,'2018_commission_structure'!$A$11:$A$14,0),MATCH(Calculations!S$1,'2018_commission_structure'!$A$11:$I$11,0)),0)</f>
        <v>0</v>
      </c>
      <c r="T202" s="7">
        <f t="shared" si="32"/>
        <v>74477.600000000006</v>
      </c>
      <c r="U202" s="7">
        <f t="shared" si="33"/>
        <v>125978.6</v>
      </c>
      <c r="V202" s="7">
        <f>MIN(H202,I202)*INDEX('2018_commission_structure'!$A$5:$J$8,MATCH(Calculations!$E202,'2018_commission_structure'!$A$5:$A$8,0),MATCH(Calculations!V$1,'2018_commission_structure'!$A$5:$J$5,0))</f>
        <v>60000</v>
      </c>
      <c r="W202" s="2">
        <f>IF($H202&gt;I202,MIN($H202-I202,J202-I202)*INDEX('2018_commission_structure'!$A$5:$J$8,MATCH(Calculations!$E202,'2018_commission_structure'!$A$5:$A$8,0),MATCH(Calculations!W$1,'2018_commission_structure'!$A$5:$J$5,0)),0)</f>
        <v>21250</v>
      </c>
      <c r="X202" s="2">
        <f>IF($H202&gt;J202,MIN($H202-J202,K202-J202)*INDEX('2018_commission_structure'!$A$5:$J$8,MATCH(Calculations!$E202,'2018_commission_structure'!$A$5:$A$8,0),MATCH(Calculations!X$1,'2018_commission_structure'!$A$5:$J$5,0)),0)</f>
        <v>6364</v>
      </c>
      <c r="Y202" s="2">
        <f>IF($H202&gt;K202,MIN($H202-K202,L202-K202)*INDEX('2018_commission_structure'!$A$5:$J$8,MATCH(Calculations!$E202,'2018_commission_structure'!$A$5:$A$8,0),MATCH(Calculations!Y$1,'2018_commission_structure'!$A$5:$J$5,0)),0)</f>
        <v>0</v>
      </c>
      <c r="Z202" s="2">
        <f xml:space="preserve"> IF(H202&gt;L202,(H202-L202)*INDEX('2018_commission_structure'!$A$11:$I$14,MATCH(Calculations!$E202,'2018_commission_structure'!$A$11:$A$14,0),MATCH(Calculations!Z$1,'2018_commission_structure'!$A$11:$I$11,0)),0)</f>
        <v>0</v>
      </c>
      <c r="AA202" s="7">
        <f t="shared" si="34"/>
        <v>87614</v>
      </c>
      <c r="AB202" s="7">
        <f t="shared" si="35"/>
        <v>139115</v>
      </c>
    </row>
    <row r="203" spans="1:28" x14ac:dyDescent="0.25">
      <c r="A203">
        <v>27852261</v>
      </c>
      <c r="B203" t="s">
        <v>905</v>
      </c>
      <c r="C203" t="s">
        <v>906</v>
      </c>
      <c r="D203" t="str">
        <f>B203&amp;" "&amp;C203</f>
        <v>Ivor Davidy</v>
      </c>
      <c r="E203" t="s">
        <v>10</v>
      </c>
      <c r="F203">
        <v>75324</v>
      </c>
      <c r="G203">
        <f>COUNTIF(deals_closed!D:D,Calculations!A203)</f>
        <v>15</v>
      </c>
      <c r="H203" s="2">
        <f>SUMIF(deals_closed!D:D,Calculations!A203,deals_closed!C:C)</f>
        <v>403196</v>
      </c>
      <c r="I203" s="2">
        <f>VLOOKUP(E203,'2018_commission_structure'!$A$11:$I$14,9,FALSE)</f>
        <v>750000</v>
      </c>
      <c r="J203" s="2">
        <f t="shared" si="27"/>
        <v>937500</v>
      </c>
      <c r="K203" s="2">
        <f t="shared" si="28"/>
        <v>1125000</v>
      </c>
      <c r="L203" s="2">
        <f t="shared" si="29"/>
        <v>1500000</v>
      </c>
      <c r="M203" s="6">
        <f t="shared" si="30"/>
        <v>0.53759466666666667</v>
      </c>
      <c r="N203" t="str">
        <f t="shared" si="31"/>
        <v>0-100%</v>
      </c>
      <c r="O203" s="7">
        <f>MIN(I203,H203)*INDEX('2018_commission_structure'!$A$11:$I$14,MATCH(Calculations!$E203,'2018_commission_structure'!$A$11:$A$14,0),MATCH(Calculations!O$1,'2018_commission_structure'!$A$11:$I$11,0))</f>
        <v>60479.399999999994</v>
      </c>
      <c r="P203" s="7">
        <f>IF($H203&gt;I203,MIN($H203-I203,J203-I203)*INDEX('2018_commission_structure'!$A$11:$I$14,MATCH(Calculations!$E203,'2018_commission_structure'!$A$11:$A$14,0), MATCH(Calculations!P$1,'2018_commission_structure'!$A$11:$I$11,0)),0)</f>
        <v>0</v>
      </c>
      <c r="Q203" s="7">
        <f>IF($H203&gt;J203,MIN($H203-J203,K203-J203)*INDEX('2018_commission_structure'!$A$11:$I$14,MATCH(Calculations!$E203,'2018_commission_structure'!$A$11:$A$14,0), MATCH(Calculations!Q$1,'2018_commission_structure'!$A$11:$I$11,0)),0)</f>
        <v>0</v>
      </c>
      <c r="R203" s="7">
        <f>IF($H203&gt;K203,MIN($H203-K203,L203-K203)*INDEX('2018_commission_structure'!$A$11:$I$14,MATCH(Calculations!$E203,'2018_commission_structure'!$A$11:$A$14,0), MATCH(Calculations!R$1,'2018_commission_structure'!$A$11:$I$11,0)),0)</f>
        <v>0</v>
      </c>
      <c r="S203" s="7">
        <f>IF(H203&gt;L203,(H203-L203)*INDEX('2018_commission_structure'!$A$11:$I$14,MATCH(Calculations!$E203,'2018_commission_structure'!$A$11:$A$14,0),MATCH(Calculations!S$1,'2018_commission_structure'!$A$11:$I$11,0)),0)</f>
        <v>0</v>
      </c>
      <c r="T203" s="7">
        <f t="shared" si="32"/>
        <v>60479.399999999994</v>
      </c>
      <c r="U203" s="7">
        <f t="shared" si="33"/>
        <v>135803.4</v>
      </c>
      <c r="V203" s="7">
        <f>MIN(H203,I203)*INDEX('2018_commission_structure'!$A$5:$J$8,MATCH(Calculations!$E203,'2018_commission_structure'!$A$5:$A$8,0),MATCH(Calculations!V$1,'2018_commission_structure'!$A$5:$J$5,0))</f>
        <v>60479.399999999994</v>
      </c>
      <c r="W203" s="2">
        <f>IF($H203&gt;I203,MIN($H203-I203,J203-I203)*INDEX('2018_commission_structure'!$A$5:$J$8,MATCH(Calculations!$E203,'2018_commission_structure'!$A$5:$A$8,0),MATCH(Calculations!W$1,'2018_commission_structure'!$A$5:$J$5,0)),0)</f>
        <v>0</v>
      </c>
      <c r="X203" s="2">
        <f>IF($H203&gt;J203,MIN($H203-J203,K203-J203)*INDEX('2018_commission_structure'!$A$5:$J$8,MATCH(Calculations!$E203,'2018_commission_structure'!$A$5:$A$8,0),MATCH(Calculations!X$1,'2018_commission_structure'!$A$5:$J$5,0)),0)</f>
        <v>0</v>
      </c>
      <c r="Y203" s="2">
        <f>IF($H203&gt;K203,MIN($H203-K203,L203-K203)*INDEX('2018_commission_structure'!$A$5:$J$8,MATCH(Calculations!$E203,'2018_commission_structure'!$A$5:$A$8,0),MATCH(Calculations!Y$1,'2018_commission_structure'!$A$5:$J$5,0)),0)</f>
        <v>0</v>
      </c>
      <c r="Z203" s="2">
        <f xml:space="preserve"> IF(H203&gt;L203,(H203-L203)*INDEX('2018_commission_structure'!$A$11:$I$14,MATCH(Calculations!$E203,'2018_commission_structure'!$A$11:$A$14,0),MATCH(Calculations!Z$1,'2018_commission_structure'!$A$11:$I$11,0)),0)</f>
        <v>0</v>
      </c>
      <c r="AA203" s="7">
        <f t="shared" si="34"/>
        <v>60479.399999999994</v>
      </c>
      <c r="AB203" s="7">
        <f t="shared" si="35"/>
        <v>135803.4</v>
      </c>
    </row>
    <row r="204" spans="1:28" x14ac:dyDescent="0.25">
      <c r="A204">
        <v>6819637888</v>
      </c>
      <c r="B204" t="s">
        <v>563</v>
      </c>
      <c r="C204" t="s">
        <v>564</v>
      </c>
      <c r="D204" t="str">
        <f>B204&amp;" "&amp;C204</f>
        <v>Ted Davoren</v>
      </c>
      <c r="E204" t="s">
        <v>7</v>
      </c>
      <c r="F204">
        <v>53401</v>
      </c>
      <c r="G204">
        <f>COUNTIF(deals_closed!D:D,Calculations!A204)</f>
        <v>14</v>
      </c>
      <c r="H204" s="2">
        <f>SUMIF(deals_closed!D:D,Calculations!A204,deals_closed!C:C)</f>
        <v>445363</v>
      </c>
      <c r="I204" s="2">
        <f>VLOOKUP(E204,'2018_commission_structure'!$A$11:$I$14,9,FALSE)</f>
        <v>500000</v>
      </c>
      <c r="J204" s="2">
        <f t="shared" si="27"/>
        <v>625000</v>
      </c>
      <c r="K204" s="2">
        <f t="shared" si="28"/>
        <v>750000</v>
      </c>
      <c r="L204" s="2">
        <f t="shared" si="29"/>
        <v>1000000</v>
      </c>
      <c r="M204" s="6">
        <f t="shared" si="30"/>
        <v>0.89072600000000002</v>
      </c>
      <c r="N204" t="str">
        <f t="shared" si="31"/>
        <v>0-100%</v>
      </c>
      <c r="O204" s="7">
        <f>MIN(I204,H204)*INDEX('2018_commission_structure'!$A$11:$I$14,MATCH(Calculations!$E204,'2018_commission_structure'!$A$11:$A$14,0),MATCH(Calculations!O$1,'2018_commission_structure'!$A$11:$I$11,0))</f>
        <v>44536.3</v>
      </c>
      <c r="P204" s="7">
        <f>IF($H204&gt;I204,MIN($H204-I204,J204-I204)*INDEX('2018_commission_structure'!$A$11:$I$14,MATCH(Calculations!$E204,'2018_commission_structure'!$A$11:$A$14,0), MATCH(Calculations!P$1,'2018_commission_structure'!$A$11:$I$11,0)),0)</f>
        <v>0</v>
      </c>
      <c r="Q204" s="7">
        <f>IF($H204&gt;J204,MIN($H204-J204,K204-J204)*INDEX('2018_commission_structure'!$A$11:$I$14,MATCH(Calculations!$E204,'2018_commission_structure'!$A$11:$A$14,0), MATCH(Calculations!Q$1,'2018_commission_structure'!$A$11:$I$11,0)),0)</f>
        <v>0</v>
      </c>
      <c r="R204" s="7">
        <f>IF($H204&gt;K204,MIN($H204-K204,L204-K204)*INDEX('2018_commission_structure'!$A$11:$I$14,MATCH(Calculations!$E204,'2018_commission_structure'!$A$11:$A$14,0), MATCH(Calculations!R$1,'2018_commission_structure'!$A$11:$I$11,0)),0)</f>
        <v>0</v>
      </c>
      <c r="S204" s="7">
        <f>IF(H204&gt;L204,(H204-L204)*INDEX('2018_commission_structure'!$A$11:$I$14,MATCH(Calculations!$E204,'2018_commission_structure'!$A$11:$A$14,0),MATCH(Calculations!S$1,'2018_commission_structure'!$A$11:$I$11,0)),0)</f>
        <v>0</v>
      </c>
      <c r="T204" s="7">
        <f t="shared" si="32"/>
        <v>44536.3</v>
      </c>
      <c r="U204" s="7">
        <f t="shared" si="33"/>
        <v>97937.3</v>
      </c>
      <c r="V204" s="7">
        <f>MIN(H204,I204)*INDEX('2018_commission_structure'!$A$5:$J$8,MATCH(Calculations!$E204,'2018_commission_structure'!$A$5:$A$8,0),MATCH(Calculations!V$1,'2018_commission_structure'!$A$5:$J$5,0))</f>
        <v>53443.56</v>
      </c>
      <c r="W204" s="2">
        <f>IF($H204&gt;I204,MIN($H204-I204,J204-I204)*INDEX('2018_commission_structure'!$A$5:$J$8,MATCH(Calculations!$E204,'2018_commission_structure'!$A$5:$A$8,0),MATCH(Calculations!W$1,'2018_commission_structure'!$A$5:$J$5,0)),0)</f>
        <v>0</v>
      </c>
      <c r="X204" s="2">
        <f>IF($H204&gt;J204,MIN($H204-J204,K204-J204)*INDEX('2018_commission_structure'!$A$5:$J$8,MATCH(Calculations!$E204,'2018_commission_structure'!$A$5:$A$8,0),MATCH(Calculations!X$1,'2018_commission_structure'!$A$5:$J$5,0)),0)</f>
        <v>0</v>
      </c>
      <c r="Y204" s="2">
        <f>IF($H204&gt;K204,MIN($H204-K204,L204-K204)*INDEX('2018_commission_structure'!$A$5:$J$8,MATCH(Calculations!$E204,'2018_commission_structure'!$A$5:$A$8,0),MATCH(Calculations!Y$1,'2018_commission_structure'!$A$5:$J$5,0)),0)</f>
        <v>0</v>
      </c>
      <c r="Z204" s="2">
        <f xml:space="preserve"> IF(H204&gt;L204,(H204-L204)*INDEX('2018_commission_structure'!$A$11:$I$14,MATCH(Calculations!$E204,'2018_commission_structure'!$A$11:$A$14,0),MATCH(Calculations!Z$1,'2018_commission_structure'!$A$11:$I$11,0)),0)</f>
        <v>0</v>
      </c>
      <c r="AA204" s="7">
        <f t="shared" si="34"/>
        <v>53443.56</v>
      </c>
      <c r="AB204" s="7">
        <f t="shared" si="35"/>
        <v>106844.56</v>
      </c>
    </row>
    <row r="205" spans="1:28" x14ac:dyDescent="0.25">
      <c r="A205">
        <v>115757341</v>
      </c>
      <c r="B205" t="s">
        <v>204</v>
      </c>
      <c r="C205" t="s">
        <v>205</v>
      </c>
      <c r="D205" t="str">
        <f>B205&amp;" "&amp;C205</f>
        <v>Yehudit Dawdary</v>
      </c>
      <c r="E205" t="s">
        <v>7</v>
      </c>
      <c r="F205">
        <v>45592</v>
      </c>
      <c r="G205">
        <f>COUNTIF(deals_closed!D:D,Calculations!A205)</f>
        <v>17</v>
      </c>
      <c r="H205" s="2">
        <f>SUMIF(deals_closed!D:D,Calculations!A205,deals_closed!C:C)</f>
        <v>584140</v>
      </c>
      <c r="I205" s="2">
        <f>VLOOKUP(E205,'2018_commission_structure'!$A$11:$I$14,9,FALSE)</f>
        <v>500000</v>
      </c>
      <c r="J205" s="2">
        <f t="shared" si="27"/>
        <v>625000</v>
      </c>
      <c r="K205" s="2">
        <f t="shared" si="28"/>
        <v>750000</v>
      </c>
      <c r="L205" s="2">
        <f t="shared" si="29"/>
        <v>1000000</v>
      </c>
      <c r="M205" s="6">
        <f t="shared" si="30"/>
        <v>1.16828</v>
      </c>
      <c r="N205" t="str">
        <f t="shared" si="31"/>
        <v>100-125%</v>
      </c>
      <c r="O205" s="7">
        <f>MIN(I205,H205)*INDEX('2018_commission_structure'!$A$11:$I$14,MATCH(Calculations!$E205,'2018_commission_structure'!$A$11:$A$14,0),MATCH(Calculations!O$1,'2018_commission_structure'!$A$11:$I$11,0))</f>
        <v>50000</v>
      </c>
      <c r="P205" s="7">
        <f>IF($H205&gt;I205,MIN($H205-I205,J205-I205)*INDEX('2018_commission_structure'!$A$11:$I$14,MATCH(Calculations!$E205,'2018_commission_structure'!$A$11:$A$14,0), MATCH(Calculations!P$1,'2018_commission_structure'!$A$11:$I$11,0)),0)</f>
        <v>12621</v>
      </c>
      <c r="Q205" s="7">
        <f>IF($H205&gt;J205,MIN($H205-J205,K205-J205)*INDEX('2018_commission_structure'!$A$11:$I$14,MATCH(Calculations!$E205,'2018_commission_structure'!$A$11:$A$14,0), MATCH(Calculations!Q$1,'2018_commission_structure'!$A$11:$I$11,0)),0)</f>
        <v>0</v>
      </c>
      <c r="R205" s="7">
        <f>IF($H205&gt;K205,MIN($H205-K205,L205-K205)*INDEX('2018_commission_structure'!$A$11:$I$14,MATCH(Calculations!$E205,'2018_commission_structure'!$A$11:$A$14,0), MATCH(Calculations!R$1,'2018_commission_structure'!$A$11:$I$11,0)),0)</f>
        <v>0</v>
      </c>
      <c r="S205" s="7">
        <f>IF(H205&gt;L205,(H205-L205)*INDEX('2018_commission_structure'!$A$11:$I$14,MATCH(Calculations!$E205,'2018_commission_structure'!$A$11:$A$14,0),MATCH(Calculations!S$1,'2018_commission_structure'!$A$11:$I$11,0)),0)</f>
        <v>0</v>
      </c>
      <c r="T205" s="7">
        <f t="shared" si="32"/>
        <v>62621</v>
      </c>
      <c r="U205" s="7">
        <f t="shared" si="33"/>
        <v>108213</v>
      </c>
      <c r="V205" s="7">
        <f>MIN(H205,I205)*INDEX('2018_commission_structure'!$A$5:$J$8,MATCH(Calculations!$E205,'2018_commission_structure'!$A$5:$A$8,0),MATCH(Calculations!V$1,'2018_commission_structure'!$A$5:$J$5,0))</f>
        <v>60000</v>
      </c>
      <c r="W205" s="2">
        <f>IF($H205&gt;I205,MIN($H205-I205,J205-I205)*INDEX('2018_commission_structure'!$A$5:$J$8,MATCH(Calculations!$E205,'2018_commission_structure'!$A$5:$A$8,0),MATCH(Calculations!W$1,'2018_commission_structure'!$A$5:$J$5,0)),0)</f>
        <v>14303.800000000001</v>
      </c>
      <c r="X205" s="2">
        <f>IF($H205&gt;J205,MIN($H205-J205,K205-J205)*INDEX('2018_commission_structure'!$A$5:$J$8,MATCH(Calculations!$E205,'2018_commission_structure'!$A$5:$A$8,0),MATCH(Calculations!X$1,'2018_commission_structure'!$A$5:$J$5,0)),0)</f>
        <v>0</v>
      </c>
      <c r="Y205" s="2">
        <f>IF($H205&gt;K205,MIN($H205-K205,L205-K205)*INDEX('2018_commission_structure'!$A$5:$J$8,MATCH(Calculations!$E205,'2018_commission_structure'!$A$5:$A$8,0),MATCH(Calculations!Y$1,'2018_commission_structure'!$A$5:$J$5,0)),0)</f>
        <v>0</v>
      </c>
      <c r="Z205" s="2">
        <f xml:space="preserve"> IF(H205&gt;L205,(H205-L205)*INDEX('2018_commission_structure'!$A$11:$I$14,MATCH(Calculations!$E205,'2018_commission_structure'!$A$11:$A$14,0),MATCH(Calculations!Z$1,'2018_commission_structure'!$A$11:$I$11,0)),0)</f>
        <v>0</v>
      </c>
      <c r="AA205" s="7">
        <f t="shared" si="34"/>
        <v>74303.8</v>
      </c>
      <c r="AB205" s="7">
        <f t="shared" si="35"/>
        <v>119895.8</v>
      </c>
    </row>
    <row r="206" spans="1:28" x14ac:dyDescent="0.25">
      <c r="A206">
        <v>324399618</v>
      </c>
      <c r="B206" t="s">
        <v>1552</v>
      </c>
      <c r="C206" t="s">
        <v>205</v>
      </c>
      <c r="D206" t="str">
        <f>B206&amp;" "&amp;C206</f>
        <v>Shani Dawdary</v>
      </c>
      <c r="E206" t="s">
        <v>7</v>
      </c>
      <c r="F206">
        <v>32171</v>
      </c>
      <c r="G206">
        <f>COUNTIF(deals_closed!D:D,Calculations!A206)</f>
        <v>21</v>
      </c>
      <c r="H206" s="2">
        <f>SUMIF(deals_closed!D:D,Calculations!A206,deals_closed!C:C)</f>
        <v>682856</v>
      </c>
      <c r="I206" s="2">
        <f>VLOOKUP(E206,'2018_commission_structure'!$A$11:$I$14,9,FALSE)</f>
        <v>500000</v>
      </c>
      <c r="J206" s="2">
        <f t="shared" si="27"/>
        <v>625000</v>
      </c>
      <c r="K206" s="2">
        <f t="shared" si="28"/>
        <v>750000</v>
      </c>
      <c r="L206" s="2">
        <f t="shared" si="29"/>
        <v>1000000</v>
      </c>
      <c r="M206" s="6">
        <f t="shared" si="30"/>
        <v>1.365712</v>
      </c>
      <c r="N206" t="str">
        <f t="shared" si="31"/>
        <v>125-150%</v>
      </c>
      <c r="O206" s="7">
        <f>MIN(I206,H206)*INDEX('2018_commission_structure'!$A$11:$I$14,MATCH(Calculations!$E206,'2018_commission_structure'!$A$11:$A$14,0),MATCH(Calculations!O$1,'2018_commission_structure'!$A$11:$I$11,0))</f>
        <v>50000</v>
      </c>
      <c r="P206" s="7">
        <f>IF($H206&gt;I206,MIN($H206-I206,J206-I206)*INDEX('2018_commission_structure'!$A$11:$I$14,MATCH(Calculations!$E206,'2018_commission_structure'!$A$11:$A$14,0), MATCH(Calculations!P$1,'2018_commission_structure'!$A$11:$I$11,0)),0)</f>
        <v>18750</v>
      </c>
      <c r="Q206" s="7">
        <f>IF($H206&gt;J206,MIN($H206-J206,K206-J206)*INDEX('2018_commission_structure'!$A$11:$I$14,MATCH(Calculations!$E206,'2018_commission_structure'!$A$11:$A$14,0), MATCH(Calculations!Q$1,'2018_commission_structure'!$A$11:$I$11,0)),0)</f>
        <v>10414.08</v>
      </c>
      <c r="R206" s="7">
        <f>IF($H206&gt;K206,MIN($H206-K206,L206-K206)*INDEX('2018_commission_structure'!$A$11:$I$14,MATCH(Calculations!$E206,'2018_commission_structure'!$A$11:$A$14,0), MATCH(Calculations!R$1,'2018_commission_structure'!$A$11:$I$11,0)),0)</f>
        <v>0</v>
      </c>
      <c r="S206" s="7">
        <f>IF(H206&gt;L206,(H206-L206)*INDEX('2018_commission_structure'!$A$11:$I$14,MATCH(Calculations!$E206,'2018_commission_structure'!$A$11:$A$14,0),MATCH(Calculations!S$1,'2018_commission_structure'!$A$11:$I$11,0)),0)</f>
        <v>0</v>
      </c>
      <c r="T206" s="7">
        <f t="shared" si="32"/>
        <v>79164.08</v>
      </c>
      <c r="U206" s="7">
        <f t="shared" si="33"/>
        <v>111335.08</v>
      </c>
      <c r="V206" s="7">
        <f>MIN(H206,I206)*INDEX('2018_commission_structure'!$A$5:$J$8,MATCH(Calculations!$E206,'2018_commission_structure'!$A$5:$A$8,0),MATCH(Calculations!V$1,'2018_commission_structure'!$A$5:$J$5,0))</f>
        <v>60000</v>
      </c>
      <c r="W206" s="2">
        <f>IF($H206&gt;I206,MIN($H206-I206,J206-I206)*INDEX('2018_commission_structure'!$A$5:$J$8,MATCH(Calculations!$E206,'2018_commission_structure'!$A$5:$A$8,0),MATCH(Calculations!W$1,'2018_commission_structure'!$A$5:$J$5,0)),0)</f>
        <v>21250</v>
      </c>
      <c r="X206" s="2">
        <f>IF($H206&gt;J206,MIN($H206-J206,K206-J206)*INDEX('2018_commission_structure'!$A$5:$J$8,MATCH(Calculations!$E206,'2018_commission_structure'!$A$5:$A$8,0),MATCH(Calculations!X$1,'2018_commission_structure'!$A$5:$J$5,0)),0)</f>
        <v>11571.2</v>
      </c>
      <c r="Y206" s="2">
        <f>IF($H206&gt;K206,MIN($H206-K206,L206-K206)*INDEX('2018_commission_structure'!$A$5:$J$8,MATCH(Calculations!$E206,'2018_commission_structure'!$A$5:$A$8,0),MATCH(Calculations!Y$1,'2018_commission_structure'!$A$5:$J$5,0)),0)</f>
        <v>0</v>
      </c>
      <c r="Z206" s="2">
        <f xml:space="preserve"> IF(H206&gt;L206,(H206-L206)*INDEX('2018_commission_structure'!$A$11:$I$14,MATCH(Calculations!$E206,'2018_commission_structure'!$A$11:$A$14,0),MATCH(Calculations!Z$1,'2018_commission_structure'!$A$11:$I$11,0)),0)</f>
        <v>0</v>
      </c>
      <c r="AA206" s="7">
        <f t="shared" si="34"/>
        <v>92821.2</v>
      </c>
      <c r="AB206" s="7">
        <f t="shared" si="35"/>
        <v>124992.2</v>
      </c>
    </row>
    <row r="207" spans="1:28" x14ac:dyDescent="0.25">
      <c r="A207">
        <v>6286877770</v>
      </c>
      <c r="B207" t="s">
        <v>1427</v>
      </c>
      <c r="C207" t="s">
        <v>1428</v>
      </c>
      <c r="D207" t="str">
        <f>B207&amp;" "&amp;C207</f>
        <v>Ramsay Dawdry</v>
      </c>
      <c r="E207" t="s">
        <v>10</v>
      </c>
      <c r="F207">
        <v>103201</v>
      </c>
      <c r="G207">
        <f>COUNTIF(deals_closed!D:D,Calculations!A207)</f>
        <v>25</v>
      </c>
      <c r="H207" s="2">
        <f>SUMIF(deals_closed!D:D,Calculations!A207,deals_closed!C:C)</f>
        <v>795363</v>
      </c>
      <c r="I207" s="2">
        <f>VLOOKUP(E207,'2018_commission_structure'!$A$11:$I$14,9,FALSE)</f>
        <v>750000</v>
      </c>
      <c r="J207" s="2">
        <f t="shared" si="27"/>
        <v>937500</v>
      </c>
      <c r="K207" s="2">
        <f t="shared" si="28"/>
        <v>1125000</v>
      </c>
      <c r="L207" s="2">
        <f t="shared" si="29"/>
        <v>1500000</v>
      </c>
      <c r="M207" s="6">
        <f t="shared" si="30"/>
        <v>1.060484</v>
      </c>
      <c r="N207" t="str">
        <f t="shared" si="31"/>
        <v>100-125%</v>
      </c>
      <c r="O207" s="7">
        <f>MIN(I207,H207)*INDEX('2018_commission_structure'!$A$11:$I$14,MATCH(Calculations!$E207,'2018_commission_structure'!$A$11:$A$14,0),MATCH(Calculations!O$1,'2018_commission_structure'!$A$11:$I$11,0))</f>
        <v>112500</v>
      </c>
      <c r="P207" s="7">
        <f>IF($H207&gt;I207,MIN($H207-I207,J207-I207)*INDEX('2018_commission_structure'!$A$11:$I$14,MATCH(Calculations!$E207,'2018_commission_structure'!$A$11:$A$14,0), MATCH(Calculations!P$1,'2018_commission_structure'!$A$11:$I$11,0)),0)</f>
        <v>8618.9699999999993</v>
      </c>
      <c r="Q207" s="7">
        <f>IF($H207&gt;J207,MIN($H207-J207,K207-J207)*INDEX('2018_commission_structure'!$A$11:$I$14,MATCH(Calculations!$E207,'2018_commission_structure'!$A$11:$A$14,0), MATCH(Calculations!Q$1,'2018_commission_structure'!$A$11:$I$11,0)),0)</f>
        <v>0</v>
      </c>
      <c r="R207" s="7">
        <f>IF($H207&gt;K207,MIN($H207-K207,L207-K207)*INDEX('2018_commission_structure'!$A$11:$I$14,MATCH(Calculations!$E207,'2018_commission_structure'!$A$11:$A$14,0), MATCH(Calculations!R$1,'2018_commission_structure'!$A$11:$I$11,0)),0)</f>
        <v>0</v>
      </c>
      <c r="S207" s="7">
        <f>IF(H207&gt;L207,(H207-L207)*INDEX('2018_commission_structure'!$A$11:$I$14,MATCH(Calculations!$E207,'2018_commission_structure'!$A$11:$A$14,0),MATCH(Calculations!S$1,'2018_commission_structure'!$A$11:$I$11,0)),0)</f>
        <v>0</v>
      </c>
      <c r="T207" s="7">
        <f t="shared" si="32"/>
        <v>121118.97</v>
      </c>
      <c r="U207" s="7">
        <f t="shared" si="33"/>
        <v>224319.97</v>
      </c>
      <c r="V207" s="7">
        <f>MIN(H207,I207)*INDEX('2018_commission_structure'!$A$5:$J$8,MATCH(Calculations!$E207,'2018_commission_structure'!$A$5:$A$8,0),MATCH(Calculations!V$1,'2018_commission_structure'!$A$5:$J$5,0))</f>
        <v>112500</v>
      </c>
      <c r="W207" s="2">
        <f>IF($H207&gt;I207,MIN($H207-I207,J207-I207)*INDEX('2018_commission_structure'!$A$5:$J$8,MATCH(Calculations!$E207,'2018_commission_structure'!$A$5:$A$8,0),MATCH(Calculations!W$1,'2018_commission_structure'!$A$5:$J$5,0)),0)</f>
        <v>9979.86</v>
      </c>
      <c r="X207" s="2">
        <f>IF($H207&gt;J207,MIN($H207-J207,K207-J207)*INDEX('2018_commission_structure'!$A$5:$J$8,MATCH(Calculations!$E207,'2018_commission_structure'!$A$5:$A$8,0),MATCH(Calculations!X$1,'2018_commission_structure'!$A$5:$J$5,0)),0)</f>
        <v>0</v>
      </c>
      <c r="Y207" s="2">
        <f>IF($H207&gt;K207,MIN($H207-K207,L207-K207)*INDEX('2018_commission_structure'!$A$5:$J$8,MATCH(Calculations!$E207,'2018_commission_structure'!$A$5:$A$8,0),MATCH(Calculations!Y$1,'2018_commission_structure'!$A$5:$J$5,0)),0)</f>
        <v>0</v>
      </c>
      <c r="Z207" s="2">
        <f xml:space="preserve"> IF(H207&gt;L207,(H207-L207)*INDEX('2018_commission_structure'!$A$11:$I$14,MATCH(Calculations!$E207,'2018_commission_structure'!$A$11:$A$14,0),MATCH(Calculations!Z$1,'2018_commission_structure'!$A$11:$I$11,0)),0)</f>
        <v>0</v>
      </c>
      <c r="AA207" s="7">
        <f t="shared" si="34"/>
        <v>122479.86</v>
      </c>
      <c r="AB207" s="7">
        <f t="shared" si="35"/>
        <v>225680.86</v>
      </c>
    </row>
    <row r="208" spans="1:28" x14ac:dyDescent="0.25">
      <c r="A208">
        <v>6531376252</v>
      </c>
      <c r="B208" t="s">
        <v>1062</v>
      </c>
      <c r="C208" t="s">
        <v>1063</v>
      </c>
      <c r="D208" t="str">
        <f>B208&amp;" "&amp;C208</f>
        <v>Clyve Dayley</v>
      </c>
      <c r="E208" t="s">
        <v>29</v>
      </c>
      <c r="F208">
        <v>69272</v>
      </c>
      <c r="G208">
        <f>COUNTIF(deals_closed!D:D,Calculations!A208)</f>
        <v>23</v>
      </c>
      <c r="H208" s="2">
        <f>SUMIF(deals_closed!D:D,Calculations!A208,deals_closed!C:C)</f>
        <v>793429</v>
      </c>
      <c r="I208" s="2">
        <f>VLOOKUP(E208,'2018_commission_structure'!$A$11:$I$14,9,FALSE)</f>
        <v>600000</v>
      </c>
      <c r="J208" s="2">
        <f t="shared" si="27"/>
        <v>750000</v>
      </c>
      <c r="K208" s="2">
        <f t="shared" si="28"/>
        <v>900000</v>
      </c>
      <c r="L208" s="2">
        <f t="shared" si="29"/>
        <v>1200000</v>
      </c>
      <c r="M208" s="6">
        <f t="shared" si="30"/>
        <v>1.3223816666666666</v>
      </c>
      <c r="N208" t="str">
        <f t="shared" si="31"/>
        <v>125-150%</v>
      </c>
      <c r="O208" s="7">
        <f>MIN(I208,H208)*INDEX('2018_commission_structure'!$A$11:$I$14,MATCH(Calculations!$E208,'2018_commission_structure'!$A$11:$A$14,0),MATCH(Calculations!O$1,'2018_commission_structure'!$A$11:$I$11,0))</f>
        <v>78000</v>
      </c>
      <c r="P208" s="7">
        <f>IF($H208&gt;I208,MIN($H208-I208,J208-I208)*INDEX('2018_commission_structure'!$A$11:$I$14,MATCH(Calculations!$E208,'2018_commission_structure'!$A$11:$A$14,0), MATCH(Calculations!P$1,'2018_commission_structure'!$A$11:$I$11,0)),0)</f>
        <v>25500.000000000004</v>
      </c>
      <c r="Q208" s="7">
        <f>IF($H208&gt;J208,MIN($H208-J208,K208-J208)*INDEX('2018_commission_structure'!$A$11:$I$14,MATCH(Calculations!$E208,'2018_commission_structure'!$A$11:$A$14,0), MATCH(Calculations!Q$1,'2018_commission_structure'!$A$11:$I$11,0)),0)</f>
        <v>9120.09</v>
      </c>
      <c r="R208" s="7">
        <f>IF($H208&gt;K208,MIN($H208-K208,L208-K208)*INDEX('2018_commission_structure'!$A$11:$I$14,MATCH(Calculations!$E208,'2018_commission_structure'!$A$11:$A$14,0), MATCH(Calculations!R$1,'2018_commission_structure'!$A$11:$I$11,0)),0)</f>
        <v>0</v>
      </c>
      <c r="S208" s="7">
        <f>IF(H208&gt;L208,(H208-L208)*INDEX('2018_commission_structure'!$A$11:$I$14,MATCH(Calculations!$E208,'2018_commission_structure'!$A$11:$A$14,0),MATCH(Calculations!S$1,'2018_commission_structure'!$A$11:$I$11,0)),0)</f>
        <v>0</v>
      </c>
      <c r="T208" s="7">
        <f t="shared" si="32"/>
        <v>112620.09</v>
      </c>
      <c r="U208" s="7">
        <f t="shared" si="33"/>
        <v>181892.09</v>
      </c>
      <c r="V208" s="7">
        <f>MIN(H208,I208)*INDEX('2018_commission_structure'!$A$5:$J$8,MATCH(Calculations!$E208,'2018_commission_structure'!$A$5:$A$8,0),MATCH(Calculations!V$1,'2018_commission_structure'!$A$5:$J$5,0))</f>
        <v>90000</v>
      </c>
      <c r="W208" s="2">
        <f>IF($H208&gt;I208,MIN($H208-I208,J208-I208)*INDEX('2018_commission_structure'!$A$5:$J$8,MATCH(Calculations!$E208,'2018_commission_structure'!$A$5:$A$8,0),MATCH(Calculations!W$1,'2018_commission_structure'!$A$5:$J$5,0)),0)</f>
        <v>27000</v>
      </c>
      <c r="X208" s="2">
        <f>IF($H208&gt;J208,MIN($H208-J208,K208-J208)*INDEX('2018_commission_structure'!$A$5:$J$8,MATCH(Calculations!$E208,'2018_commission_structure'!$A$5:$A$8,0),MATCH(Calculations!X$1,'2018_commission_structure'!$A$5:$J$5,0)),0)</f>
        <v>10857.25</v>
      </c>
      <c r="Y208" s="2">
        <f>IF($H208&gt;K208,MIN($H208-K208,L208-K208)*INDEX('2018_commission_structure'!$A$5:$J$8,MATCH(Calculations!$E208,'2018_commission_structure'!$A$5:$A$8,0),MATCH(Calculations!Y$1,'2018_commission_structure'!$A$5:$J$5,0)),0)</f>
        <v>0</v>
      </c>
      <c r="Z208" s="2">
        <f xml:space="preserve"> IF(H208&gt;L208,(H208-L208)*INDEX('2018_commission_structure'!$A$11:$I$14,MATCH(Calculations!$E208,'2018_commission_structure'!$A$11:$A$14,0),MATCH(Calculations!Z$1,'2018_commission_structure'!$A$11:$I$11,0)),0)</f>
        <v>0</v>
      </c>
      <c r="AA208" s="7">
        <f t="shared" si="34"/>
        <v>127857.25</v>
      </c>
      <c r="AB208" s="7">
        <f t="shared" si="35"/>
        <v>197129.25</v>
      </c>
    </row>
    <row r="209" spans="1:28" x14ac:dyDescent="0.25">
      <c r="A209">
        <v>1541082834</v>
      </c>
      <c r="B209" t="s">
        <v>543</v>
      </c>
      <c r="C209" t="s">
        <v>544</v>
      </c>
      <c r="D209" t="str">
        <f>B209&amp;" "&amp;C209</f>
        <v>Nikolai De Castri</v>
      </c>
      <c r="E209" t="s">
        <v>29</v>
      </c>
      <c r="F209">
        <v>61060</v>
      </c>
      <c r="G209">
        <f>COUNTIF(deals_closed!D:D,Calculations!A209)</f>
        <v>19</v>
      </c>
      <c r="H209" s="2">
        <f>SUMIF(deals_closed!D:D,Calculations!A209,deals_closed!C:C)</f>
        <v>601444</v>
      </c>
      <c r="I209" s="2">
        <f>VLOOKUP(E209,'2018_commission_structure'!$A$11:$I$14,9,FALSE)</f>
        <v>600000</v>
      </c>
      <c r="J209" s="2">
        <f t="shared" si="27"/>
        <v>750000</v>
      </c>
      <c r="K209" s="2">
        <f t="shared" si="28"/>
        <v>900000</v>
      </c>
      <c r="L209" s="2">
        <f t="shared" si="29"/>
        <v>1200000</v>
      </c>
      <c r="M209" s="6">
        <f t="shared" si="30"/>
        <v>1.0024066666666667</v>
      </c>
      <c r="N209" t="str">
        <f t="shared" si="31"/>
        <v>100-125%</v>
      </c>
      <c r="O209" s="7">
        <f>MIN(I209,H209)*INDEX('2018_commission_structure'!$A$11:$I$14,MATCH(Calculations!$E209,'2018_commission_structure'!$A$11:$A$14,0),MATCH(Calculations!O$1,'2018_commission_structure'!$A$11:$I$11,0))</f>
        <v>78000</v>
      </c>
      <c r="P209" s="7">
        <f>IF($H209&gt;I209,MIN($H209-I209,J209-I209)*INDEX('2018_commission_structure'!$A$11:$I$14,MATCH(Calculations!$E209,'2018_commission_structure'!$A$11:$A$14,0), MATCH(Calculations!P$1,'2018_commission_structure'!$A$11:$I$11,0)),0)</f>
        <v>245.48000000000002</v>
      </c>
      <c r="Q209" s="7">
        <f>IF($H209&gt;J209,MIN($H209-J209,K209-J209)*INDEX('2018_commission_structure'!$A$11:$I$14,MATCH(Calculations!$E209,'2018_commission_structure'!$A$11:$A$14,0), MATCH(Calculations!Q$1,'2018_commission_structure'!$A$11:$I$11,0)),0)</f>
        <v>0</v>
      </c>
      <c r="R209" s="7">
        <f>IF($H209&gt;K209,MIN($H209-K209,L209-K209)*INDEX('2018_commission_structure'!$A$11:$I$14,MATCH(Calculations!$E209,'2018_commission_structure'!$A$11:$A$14,0), MATCH(Calculations!R$1,'2018_commission_structure'!$A$11:$I$11,0)),0)</f>
        <v>0</v>
      </c>
      <c r="S209" s="7">
        <f>IF(H209&gt;L209,(H209-L209)*INDEX('2018_commission_structure'!$A$11:$I$14,MATCH(Calculations!$E209,'2018_commission_structure'!$A$11:$A$14,0),MATCH(Calculations!S$1,'2018_commission_structure'!$A$11:$I$11,0)),0)</f>
        <v>0</v>
      </c>
      <c r="T209" s="7">
        <f t="shared" si="32"/>
        <v>78245.48</v>
      </c>
      <c r="U209" s="7">
        <f t="shared" si="33"/>
        <v>139305.47999999998</v>
      </c>
      <c r="V209" s="7">
        <f>MIN(H209,I209)*INDEX('2018_commission_structure'!$A$5:$J$8,MATCH(Calculations!$E209,'2018_commission_structure'!$A$5:$A$8,0),MATCH(Calculations!V$1,'2018_commission_structure'!$A$5:$J$5,0))</f>
        <v>90000</v>
      </c>
      <c r="W209" s="2">
        <f>IF($H209&gt;I209,MIN($H209-I209,J209-I209)*INDEX('2018_commission_structure'!$A$5:$J$8,MATCH(Calculations!$E209,'2018_commission_structure'!$A$5:$A$8,0),MATCH(Calculations!W$1,'2018_commission_structure'!$A$5:$J$5,0)),0)</f>
        <v>259.92</v>
      </c>
      <c r="X209" s="2">
        <f>IF($H209&gt;J209,MIN($H209-J209,K209-J209)*INDEX('2018_commission_structure'!$A$5:$J$8,MATCH(Calculations!$E209,'2018_commission_structure'!$A$5:$A$8,0),MATCH(Calculations!X$1,'2018_commission_structure'!$A$5:$J$5,0)),0)</f>
        <v>0</v>
      </c>
      <c r="Y209" s="2">
        <f>IF($H209&gt;K209,MIN($H209-K209,L209-K209)*INDEX('2018_commission_structure'!$A$5:$J$8,MATCH(Calculations!$E209,'2018_commission_structure'!$A$5:$A$8,0),MATCH(Calculations!Y$1,'2018_commission_structure'!$A$5:$J$5,0)),0)</f>
        <v>0</v>
      </c>
      <c r="Z209" s="2">
        <f xml:space="preserve"> IF(H209&gt;L209,(H209-L209)*INDEX('2018_commission_structure'!$A$11:$I$14,MATCH(Calculations!$E209,'2018_commission_structure'!$A$11:$A$14,0),MATCH(Calculations!Z$1,'2018_commission_structure'!$A$11:$I$11,0)),0)</f>
        <v>0</v>
      </c>
      <c r="AA209" s="7">
        <f t="shared" si="34"/>
        <v>90259.92</v>
      </c>
      <c r="AB209" s="7">
        <f t="shared" si="35"/>
        <v>151319.91999999998</v>
      </c>
    </row>
    <row r="210" spans="1:28" x14ac:dyDescent="0.25">
      <c r="A210">
        <v>2128813026</v>
      </c>
      <c r="B210" t="s">
        <v>1789</v>
      </c>
      <c r="C210" t="s">
        <v>1883</v>
      </c>
      <c r="D210" t="str">
        <f>B210&amp;" "&amp;C210</f>
        <v>Saree de Clercq</v>
      </c>
      <c r="E210" t="s">
        <v>10</v>
      </c>
      <c r="F210">
        <v>119743</v>
      </c>
      <c r="G210">
        <f>COUNTIF(deals_closed!D:D,Calculations!A210)</f>
        <v>23</v>
      </c>
      <c r="H210" s="2">
        <f>SUMIF(deals_closed!D:D,Calculations!A210,deals_closed!C:C)</f>
        <v>745490</v>
      </c>
      <c r="I210" s="2">
        <f>VLOOKUP(E210,'2018_commission_structure'!$A$11:$I$14,9,FALSE)</f>
        <v>750000</v>
      </c>
      <c r="J210" s="2">
        <f t="shared" si="27"/>
        <v>937500</v>
      </c>
      <c r="K210" s="2">
        <f t="shared" si="28"/>
        <v>1125000</v>
      </c>
      <c r="L210" s="2">
        <f t="shared" si="29"/>
        <v>1500000</v>
      </c>
      <c r="M210" s="6">
        <f t="shared" si="30"/>
        <v>0.99398666666666669</v>
      </c>
      <c r="N210" t="str">
        <f t="shared" si="31"/>
        <v>0-100%</v>
      </c>
      <c r="O210" s="7">
        <f>MIN(I210,H210)*INDEX('2018_commission_structure'!$A$11:$I$14,MATCH(Calculations!$E210,'2018_commission_structure'!$A$11:$A$14,0),MATCH(Calculations!O$1,'2018_commission_structure'!$A$11:$I$11,0))</f>
        <v>111823.5</v>
      </c>
      <c r="P210" s="7">
        <f>IF($H210&gt;I210,MIN($H210-I210,J210-I210)*INDEX('2018_commission_structure'!$A$11:$I$14,MATCH(Calculations!$E210,'2018_commission_structure'!$A$11:$A$14,0), MATCH(Calculations!P$1,'2018_commission_structure'!$A$11:$I$11,0)),0)</f>
        <v>0</v>
      </c>
      <c r="Q210" s="7">
        <f>IF($H210&gt;J210,MIN($H210-J210,K210-J210)*INDEX('2018_commission_structure'!$A$11:$I$14,MATCH(Calculations!$E210,'2018_commission_structure'!$A$11:$A$14,0), MATCH(Calculations!Q$1,'2018_commission_structure'!$A$11:$I$11,0)),0)</f>
        <v>0</v>
      </c>
      <c r="R210" s="7">
        <f>IF($H210&gt;K210,MIN($H210-K210,L210-K210)*INDEX('2018_commission_structure'!$A$11:$I$14,MATCH(Calculations!$E210,'2018_commission_structure'!$A$11:$A$14,0), MATCH(Calculations!R$1,'2018_commission_structure'!$A$11:$I$11,0)),0)</f>
        <v>0</v>
      </c>
      <c r="S210" s="7">
        <f>IF(H210&gt;L210,(H210-L210)*INDEX('2018_commission_structure'!$A$11:$I$14,MATCH(Calculations!$E210,'2018_commission_structure'!$A$11:$A$14,0),MATCH(Calculations!S$1,'2018_commission_structure'!$A$11:$I$11,0)),0)</f>
        <v>0</v>
      </c>
      <c r="T210" s="7">
        <f t="shared" si="32"/>
        <v>111823.5</v>
      </c>
      <c r="U210" s="7">
        <f t="shared" si="33"/>
        <v>231566.5</v>
      </c>
      <c r="V210" s="7">
        <f>MIN(H210,I210)*INDEX('2018_commission_structure'!$A$5:$J$8,MATCH(Calculations!$E210,'2018_commission_structure'!$A$5:$A$8,0),MATCH(Calculations!V$1,'2018_commission_structure'!$A$5:$J$5,0))</f>
        <v>111823.5</v>
      </c>
      <c r="W210" s="2">
        <f>IF($H210&gt;I210,MIN($H210-I210,J210-I210)*INDEX('2018_commission_structure'!$A$5:$J$8,MATCH(Calculations!$E210,'2018_commission_structure'!$A$5:$A$8,0),MATCH(Calculations!W$1,'2018_commission_structure'!$A$5:$J$5,0)),0)</f>
        <v>0</v>
      </c>
      <c r="X210" s="2">
        <f>IF($H210&gt;J210,MIN($H210-J210,K210-J210)*INDEX('2018_commission_structure'!$A$5:$J$8,MATCH(Calculations!$E210,'2018_commission_structure'!$A$5:$A$8,0),MATCH(Calculations!X$1,'2018_commission_structure'!$A$5:$J$5,0)),0)</f>
        <v>0</v>
      </c>
      <c r="Y210" s="2">
        <f>IF($H210&gt;K210,MIN($H210-K210,L210-K210)*INDEX('2018_commission_structure'!$A$5:$J$8,MATCH(Calculations!$E210,'2018_commission_structure'!$A$5:$A$8,0),MATCH(Calculations!Y$1,'2018_commission_structure'!$A$5:$J$5,0)),0)</f>
        <v>0</v>
      </c>
      <c r="Z210" s="2">
        <f xml:space="preserve"> IF(H210&gt;L210,(H210-L210)*INDEX('2018_commission_structure'!$A$11:$I$14,MATCH(Calculations!$E210,'2018_commission_structure'!$A$11:$A$14,0),MATCH(Calculations!Z$1,'2018_commission_structure'!$A$11:$I$11,0)),0)</f>
        <v>0</v>
      </c>
      <c r="AA210" s="7">
        <f t="shared" si="34"/>
        <v>111823.5</v>
      </c>
      <c r="AB210" s="7">
        <f t="shared" si="35"/>
        <v>231566.5</v>
      </c>
    </row>
    <row r="211" spans="1:28" x14ac:dyDescent="0.25">
      <c r="A211">
        <v>9619649427</v>
      </c>
      <c r="B211" t="s">
        <v>1580</v>
      </c>
      <c r="C211" t="s">
        <v>1581</v>
      </c>
      <c r="D211" t="str">
        <f>B211&amp;" "&amp;C211</f>
        <v>Caryn De La Coste</v>
      </c>
      <c r="E211" t="s">
        <v>29</v>
      </c>
      <c r="F211">
        <v>52037</v>
      </c>
      <c r="G211">
        <f>COUNTIF(deals_closed!D:D,Calculations!A211)</f>
        <v>27</v>
      </c>
      <c r="H211" s="2">
        <f>SUMIF(deals_closed!D:D,Calculations!A211,deals_closed!C:C)</f>
        <v>924749</v>
      </c>
      <c r="I211" s="2">
        <f>VLOOKUP(E211,'2018_commission_structure'!$A$11:$I$14,9,FALSE)</f>
        <v>600000</v>
      </c>
      <c r="J211" s="2">
        <f t="shared" si="27"/>
        <v>750000</v>
      </c>
      <c r="K211" s="2">
        <f t="shared" si="28"/>
        <v>900000</v>
      </c>
      <c r="L211" s="2">
        <f t="shared" si="29"/>
        <v>1200000</v>
      </c>
      <c r="M211" s="6">
        <f t="shared" si="30"/>
        <v>1.5412483333333333</v>
      </c>
      <c r="N211" t="str">
        <f t="shared" si="31"/>
        <v>150-200%</v>
      </c>
      <c r="O211" s="7">
        <f>MIN(I211,H211)*INDEX('2018_commission_structure'!$A$11:$I$14,MATCH(Calculations!$E211,'2018_commission_structure'!$A$11:$A$14,0),MATCH(Calculations!O$1,'2018_commission_structure'!$A$11:$I$11,0))</f>
        <v>78000</v>
      </c>
      <c r="P211" s="7">
        <f>IF($H211&gt;I211,MIN($H211-I211,J211-I211)*INDEX('2018_commission_structure'!$A$11:$I$14,MATCH(Calculations!$E211,'2018_commission_structure'!$A$11:$A$14,0), MATCH(Calculations!P$1,'2018_commission_structure'!$A$11:$I$11,0)),0)</f>
        <v>25500.000000000004</v>
      </c>
      <c r="Q211" s="7">
        <f>IF($H211&gt;J211,MIN($H211-J211,K211-J211)*INDEX('2018_commission_structure'!$A$11:$I$14,MATCH(Calculations!$E211,'2018_commission_structure'!$A$11:$A$14,0), MATCH(Calculations!Q$1,'2018_commission_structure'!$A$11:$I$11,0)),0)</f>
        <v>31500</v>
      </c>
      <c r="R211" s="7">
        <f>IF($H211&gt;K211,MIN($H211-K211,L211-K211)*INDEX('2018_commission_structure'!$A$11:$I$14,MATCH(Calculations!$E211,'2018_commission_structure'!$A$11:$A$14,0), MATCH(Calculations!R$1,'2018_commission_structure'!$A$11:$I$11,0)),0)</f>
        <v>6434.74</v>
      </c>
      <c r="S211" s="7">
        <f>IF(H211&gt;L211,(H211-L211)*INDEX('2018_commission_structure'!$A$11:$I$14,MATCH(Calculations!$E211,'2018_commission_structure'!$A$11:$A$14,0),MATCH(Calculations!S$1,'2018_commission_structure'!$A$11:$I$11,0)),0)</f>
        <v>0</v>
      </c>
      <c r="T211" s="7">
        <f t="shared" si="32"/>
        <v>141434.74</v>
      </c>
      <c r="U211" s="7">
        <f t="shared" si="33"/>
        <v>193471.74</v>
      </c>
      <c r="V211" s="7">
        <f>MIN(H211,I211)*INDEX('2018_commission_structure'!$A$5:$J$8,MATCH(Calculations!$E211,'2018_commission_structure'!$A$5:$A$8,0),MATCH(Calculations!V$1,'2018_commission_structure'!$A$5:$J$5,0))</f>
        <v>90000</v>
      </c>
      <c r="W211" s="2">
        <f>IF($H211&gt;I211,MIN($H211-I211,J211-I211)*INDEX('2018_commission_structure'!$A$5:$J$8,MATCH(Calculations!$E211,'2018_commission_structure'!$A$5:$A$8,0),MATCH(Calculations!W$1,'2018_commission_structure'!$A$5:$J$5,0)),0)</f>
        <v>27000</v>
      </c>
      <c r="X211" s="2">
        <f>IF($H211&gt;J211,MIN($H211-J211,K211-J211)*INDEX('2018_commission_structure'!$A$5:$J$8,MATCH(Calculations!$E211,'2018_commission_structure'!$A$5:$A$8,0),MATCH(Calculations!X$1,'2018_commission_structure'!$A$5:$J$5,0)),0)</f>
        <v>37500</v>
      </c>
      <c r="Y211" s="2">
        <f>IF($H211&gt;K211,MIN($H211-K211,L211-K211)*INDEX('2018_commission_structure'!$A$5:$J$8,MATCH(Calculations!$E211,'2018_commission_structure'!$A$5:$A$8,0),MATCH(Calculations!Y$1,'2018_commission_structure'!$A$5:$J$5,0)),0)</f>
        <v>7424.7</v>
      </c>
      <c r="Z211" s="2">
        <f xml:space="preserve"> IF(H211&gt;L211,(H211-L211)*INDEX('2018_commission_structure'!$A$11:$I$14,MATCH(Calculations!$E211,'2018_commission_structure'!$A$11:$A$14,0),MATCH(Calculations!Z$1,'2018_commission_structure'!$A$11:$I$11,0)),0)</f>
        <v>0</v>
      </c>
      <c r="AA211" s="7">
        <f t="shared" si="34"/>
        <v>161924.70000000001</v>
      </c>
      <c r="AB211" s="7">
        <f t="shared" si="35"/>
        <v>213961.7</v>
      </c>
    </row>
    <row r="212" spans="1:28" x14ac:dyDescent="0.25">
      <c r="A212">
        <v>4492546545</v>
      </c>
      <c r="B212" t="s">
        <v>430</v>
      </c>
      <c r="C212" t="s">
        <v>431</v>
      </c>
      <c r="D212" t="str">
        <f>B212&amp;" "&amp;C212</f>
        <v>Queenie De la Harpe</v>
      </c>
      <c r="E212" t="s">
        <v>7</v>
      </c>
      <c r="F212">
        <v>59662</v>
      </c>
      <c r="G212">
        <f>COUNTIF(deals_closed!D:D,Calculations!A212)</f>
        <v>23</v>
      </c>
      <c r="H212" s="2">
        <f>SUMIF(deals_closed!D:D,Calculations!A212,deals_closed!C:C)</f>
        <v>834584</v>
      </c>
      <c r="I212" s="2">
        <f>VLOOKUP(E212,'2018_commission_structure'!$A$11:$I$14,9,FALSE)</f>
        <v>500000</v>
      </c>
      <c r="J212" s="2">
        <f t="shared" si="27"/>
        <v>625000</v>
      </c>
      <c r="K212" s="2">
        <f t="shared" si="28"/>
        <v>750000</v>
      </c>
      <c r="L212" s="2">
        <f t="shared" si="29"/>
        <v>1000000</v>
      </c>
      <c r="M212" s="6">
        <f t="shared" si="30"/>
        <v>1.669168</v>
      </c>
      <c r="N212" t="str">
        <f t="shared" si="31"/>
        <v>150-200%</v>
      </c>
      <c r="O212" s="7">
        <f>MIN(I212,H212)*INDEX('2018_commission_structure'!$A$11:$I$14,MATCH(Calculations!$E212,'2018_commission_structure'!$A$11:$A$14,0),MATCH(Calculations!O$1,'2018_commission_structure'!$A$11:$I$11,0))</f>
        <v>50000</v>
      </c>
      <c r="P212" s="7">
        <f>IF($H212&gt;I212,MIN($H212-I212,J212-I212)*INDEX('2018_commission_structure'!$A$11:$I$14,MATCH(Calculations!$E212,'2018_commission_structure'!$A$11:$A$14,0), MATCH(Calculations!P$1,'2018_commission_structure'!$A$11:$I$11,0)),0)</f>
        <v>18750</v>
      </c>
      <c r="Q212" s="7">
        <f>IF($H212&gt;J212,MIN($H212-J212,K212-J212)*INDEX('2018_commission_structure'!$A$11:$I$14,MATCH(Calculations!$E212,'2018_commission_structure'!$A$11:$A$14,0), MATCH(Calculations!Q$1,'2018_commission_structure'!$A$11:$I$11,0)),0)</f>
        <v>22500</v>
      </c>
      <c r="R212" s="7">
        <f>IF($H212&gt;K212,MIN($H212-K212,L212-K212)*INDEX('2018_commission_structure'!$A$11:$I$14,MATCH(Calculations!$E212,'2018_commission_structure'!$A$11:$A$14,0), MATCH(Calculations!R$1,'2018_commission_structure'!$A$11:$I$11,0)),0)</f>
        <v>18608.48</v>
      </c>
      <c r="S212" s="7">
        <f>IF(H212&gt;L212,(H212-L212)*INDEX('2018_commission_structure'!$A$11:$I$14,MATCH(Calculations!$E212,'2018_commission_structure'!$A$11:$A$14,0),MATCH(Calculations!S$1,'2018_commission_structure'!$A$11:$I$11,0)),0)</f>
        <v>0</v>
      </c>
      <c r="T212" s="7">
        <f t="shared" si="32"/>
        <v>109858.48</v>
      </c>
      <c r="U212" s="7">
        <f t="shared" si="33"/>
        <v>169520.47999999998</v>
      </c>
      <c r="V212" s="7">
        <f>MIN(H212,I212)*INDEX('2018_commission_structure'!$A$5:$J$8,MATCH(Calculations!$E212,'2018_commission_structure'!$A$5:$A$8,0),MATCH(Calculations!V$1,'2018_commission_structure'!$A$5:$J$5,0))</f>
        <v>60000</v>
      </c>
      <c r="W212" s="2">
        <f>IF($H212&gt;I212,MIN($H212-I212,J212-I212)*INDEX('2018_commission_structure'!$A$5:$J$8,MATCH(Calculations!$E212,'2018_commission_structure'!$A$5:$A$8,0),MATCH(Calculations!W$1,'2018_commission_structure'!$A$5:$J$5,0)),0)</f>
        <v>21250</v>
      </c>
      <c r="X212" s="2">
        <f>IF($H212&gt;J212,MIN($H212-J212,K212-J212)*INDEX('2018_commission_structure'!$A$5:$J$8,MATCH(Calculations!$E212,'2018_commission_structure'!$A$5:$A$8,0),MATCH(Calculations!X$1,'2018_commission_structure'!$A$5:$J$5,0)),0)</f>
        <v>25000</v>
      </c>
      <c r="Y212" s="2">
        <f>IF($H212&gt;K212,MIN($H212-K212,L212-K212)*INDEX('2018_commission_structure'!$A$5:$J$8,MATCH(Calculations!$E212,'2018_commission_structure'!$A$5:$A$8,0),MATCH(Calculations!Y$1,'2018_commission_structure'!$A$5:$J$5,0)),0)</f>
        <v>18608.48</v>
      </c>
      <c r="Z212" s="2">
        <f xml:space="preserve"> IF(H212&gt;L212,(H212-L212)*INDEX('2018_commission_structure'!$A$11:$I$14,MATCH(Calculations!$E212,'2018_commission_structure'!$A$11:$A$14,0),MATCH(Calculations!Z$1,'2018_commission_structure'!$A$11:$I$11,0)),0)</f>
        <v>0</v>
      </c>
      <c r="AA212" s="7">
        <f t="shared" si="34"/>
        <v>124858.48</v>
      </c>
      <c r="AB212" s="7">
        <f t="shared" si="35"/>
        <v>184520.47999999998</v>
      </c>
    </row>
    <row r="213" spans="1:28" x14ac:dyDescent="0.25">
      <c r="A213">
        <v>5280433926</v>
      </c>
      <c r="B213" t="s">
        <v>5</v>
      </c>
      <c r="C213" t="s">
        <v>80</v>
      </c>
      <c r="D213" t="str">
        <f>B213&amp;" "&amp;C213</f>
        <v>Elva Delepine</v>
      </c>
      <c r="E213" t="s">
        <v>29</v>
      </c>
      <c r="F213">
        <v>51804</v>
      </c>
      <c r="G213">
        <f>COUNTIF(deals_closed!D:D,Calculations!A213)</f>
        <v>16</v>
      </c>
      <c r="H213" s="2">
        <f>SUMIF(deals_closed!D:D,Calculations!A213,deals_closed!C:C)</f>
        <v>573666</v>
      </c>
      <c r="I213" s="2">
        <f>VLOOKUP(E213,'2018_commission_structure'!$A$11:$I$14,9,FALSE)</f>
        <v>600000</v>
      </c>
      <c r="J213" s="2">
        <f t="shared" si="27"/>
        <v>750000</v>
      </c>
      <c r="K213" s="2">
        <f t="shared" si="28"/>
        <v>900000</v>
      </c>
      <c r="L213" s="2">
        <f t="shared" si="29"/>
        <v>1200000</v>
      </c>
      <c r="M213" s="6">
        <f t="shared" si="30"/>
        <v>0.95611000000000002</v>
      </c>
      <c r="N213" t="str">
        <f t="shared" si="31"/>
        <v>0-100%</v>
      </c>
      <c r="O213" s="7">
        <f>MIN(I213,H213)*INDEX('2018_commission_structure'!$A$11:$I$14,MATCH(Calculations!$E213,'2018_commission_structure'!$A$11:$A$14,0),MATCH(Calculations!O$1,'2018_commission_structure'!$A$11:$I$11,0))</f>
        <v>74576.58</v>
      </c>
      <c r="P213" s="7">
        <f>IF($H213&gt;I213,MIN($H213-I213,J213-I213)*INDEX('2018_commission_structure'!$A$11:$I$14,MATCH(Calculations!$E213,'2018_commission_structure'!$A$11:$A$14,0), MATCH(Calculations!P$1,'2018_commission_structure'!$A$11:$I$11,0)),0)</f>
        <v>0</v>
      </c>
      <c r="Q213" s="7">
        <f>IF($H213&gt;J213,MIN($H213-J213,K213-J213)*INDEX('2018_commission_structure'!$A$11:$I$14,MATCH(Calculations!$E213,'2018_commission_structure'!$A$11:$A$14,0), MATCH(Calculations!Q$1,'2018_commission_structure'!$A$11:$I$11,0)),0)</f>
        <v>0</v>
      </c>
      <c r="R213" s="7">
        <f>IF($H213&gt;K213,MIN($H213-K213,L213-K213)*INDEX('2018_commission_structure'!$A$11:$I$14,MATCH(Calculations!$E213,'2018_commission_structure'!$A$11:$A$14,0), MATCH(Calculations!R$1,'2018_commission_structure'!$A$11:$I$11,0)),0)</f>
        <v>0</v>
      </c>
      <c r="S213" s="7">
        <f>IF(H213&gt;L213,(H213-L213)*INDEX('2018_commission_structure'!$A$11:$I$14,MATCH(Calculations!$E213,'2018_commission_structure'!$A$11:$A$14,0),MATCH(Calculations!S$1,'2018_commission_structure'!$A$11:$I$11,0)),0)</f>
        <v>0</v>
      </c>
      <c r="T213" s="7">
        <f t="shared" si="32"/>
        <v>74576.58</v>
      </c>
      <c r="U213" s="7">
        <f t="shared" si="33"/>
        <v>126380.58</v>
      </c>
      <c r="V213" s="7">
        <f>MIN(H213,I213)*INDEX('2018_commission_structure'!$A$5:$J$8,MATCH(Calculations!$E213,'2018_commission_structure'!$A$5:$A$8,0),MATCH(Calculations!V$1,'2018_commission_structure'!$A$5:$J$5,0))</f>
        <v>86049.9</v>
      </c>
      <c r="W213" s="2">
        <f>IF($H213&gt;I213,MIN($H213-I213,J213-I213)*INDEX('2018_commission_structure'!$A$5:$J$8,MATCH(Calculations!$E213,'2018_commission_structure'!$A$5:$A$8,0),MATCH(Calculations!W$1,'2018_commission_structure'!$A$5:$J$5,0)),0)</f>
        <v>0</v>
      </c>
      <c r="X213" s="2">
        <f>IF($H213&gt;J213,MIN($H213-J213,K213-J213)*INDEX('2018_commission_structure'!$A$5:$J$8,MATCH(Calculations!$E213,'2018_commission_structure'!$A$5:$A$8,0),MATCH(Calculations!X$1,'2018_commission_structure'!$A$5:$J$5,0)),0)</f>
        <v>0</v>
      </c>
      <c r="Y213" s="2">
        <f>IF($H213&gt;K213,MIN($H213-K213,L213-K213)*INDEX('2018_commission_structure'!$A$5:$J$8,MATCH(Calculations!$E213,'2018_commission_structure'!$A$5:$A$8,0),MATCH(Calculations!Y$1,'2018_commission_structure'!$A$5:$J$5,0)),0)</f>
        <v>0</v>
      </c>
      <c r="Z213" s="2">
        <f xml:space="preserve"> IF(H213&gt;L213,(H213-L213)*INDEX('2018_commission_structure'!$A$11:$I$14,MATCH(Calculations!$E213,'2018_commission_structure'!$A$11:$A$14,0),MATCH(Calculations!Z$1,'2018_commission_structure'!$A$11:$I$11,0)),0)</f>
        <v>0</v>
      </c>
      <c r="AA213" s="7">
        <f t="shared" si="34"/>
        <v>86049.9</v>
      </c>
      <c r="AB213" s="7">
        <f t="shared" si="35"/>
        <v>137853.9</v>
      </c>
    </row>
    <row r="214" spans="1:28" x14ac:dyDescent="0.25">
      <c r="A214">
        <v>4445486779</v>
      </c>
      <c r="B214" t="s">
        <v>262</v>
      </c>
      <c r="C214" t="s">
        <v>263</v>
      </c>
      <c r="D214" t="str">
        <f>B214&amp;" "&amp;C214</f>
        <v>Helen Delwater</v>
      </c>
      <c r="E214" t="s">
        <v>10</v>
      </c>
      <c r="F214">
        <v>104472</v>
      </c>
      <c r="G214">
        <f>COUNTIF(deals_closed!D:D,Calculations!A214)</f>
        <v>19</v>
      </c>
      <c r="H214" s="2">
        <f>SUMIF(deals_closed!D:D,Calculations!A214,deals_closed!C:C)</f>
        <v>638646</v>
      </c>
      <c r="I214" s="2">
        <f>VLOOKUP(E214,'2018_commission_structure'!$A$11:$I$14,9,FALSE)</f>
        <v>750000</v>
      </c>
      <c r="J214" s="2">
        <f t="shared" si="27"/>
        <v>937500</v>
      </c>
      <c r="K214" s="2">
        <f t="shared" si="28"/>
        <v>1125000</v>
      </c>
      <c r="L214" s="2">
        <f t="shared" si="29"/>
        <v>1500000</v>
      </c>
      <c r="M214" s="6">
        <f t="shared" si="30"/>
        <v>0.85152799999999995</v>
      </c>
      <c r="N214" t="str">
        <f t="shared" si="31"/>
        <v>0-100%</v>
      </c>
      <c r="O214" s="7">
        <f>MIN(I214,H214)*INDEX('2018_commission_structure'!$A$11:$I$14,MATCH(Calculations!$E214,'2018_commission_structure'!$A$11:$A$14,0),MATCH(Calculations!O$1,'2018_commission_structure'!$A$11:$I$11,0))</f>
        <v>95796.9</v>
      </c>
      <c r="P214" s="7">
        <f>IF($H214&gt;I214,MIN($H214-I214,J214-I214)*INDEX('2018_commission_structure'!$A$11:$I$14,MATCH(Calculations!$E214,'2018_commission_structure'!$A$11:$A$14,0), MATCH(Calculations!P$1,'2018_commission_structure'!$A$11:$I$11,0)),0)</f>
        <v>0</v>
      </c>
      <c r="Q214" s="7">
        <f>IF($H214&gt;J214,MIN($H214-J214,K214-J214)*INDEX('2018_commission_structure'!$A$11:$I$14,MATCH(Calculations!$E214,'2018_commission_structure'!$A$11:$A$14,0), MATCH(Calculations!Q$1,'2018_commission_structure'!$A$11:$I$11,0)),0)</f>
        <v>0</v>
      </c>
      <c r="R214" s="7">
        <f>IF($H214&gt;K214,MIN($H214-K214,L214-K214)*INDEX('2018_commission_structure'!$A$11:$I$14,MATCH(Calculations!$E214,'2018_commission_structure'!$A$11:$A$14,0), MATCH(Calculations!R$1,'2018_commission_structure'!$A$11:$I$11,0)),0)</f>
        <v>0</v>
      </c>
      <c r="S214" s="7">
        <f>IF(H214&gt;L214,(H214-L214)*INDEX('2018_commission_structure'!$A$11:$I$14,MATCH(Calculations!$E214,'2018_commission_structure'!$A$11:$A$14,0),MATCH(Calculations!S$1,'2018_commission_structure'!$A$11:$I$11,0)),0)</f>
        <v>0</v>
      </c>
      <c r="T214" s="7">
        <f t="shared" si="32"/>
        <v>95796.9</v>
      </c>
      <c r="U214" s="7">
        <f t="shared" si="33"/>
        <v>200268.9</v>
      </c>
      <c r="V214" s="7">
        <f>MIN(H214,I214)*INDEX('2018_commission_structure'!$A$5:$J$8,MATCH(Calculations!$E214,'2018_commission_structure'!$A$5:$A$8,0),MATCH(Calculations!V$1,'2018_commission_structure'!$A$5:$J$5,0))</f>
        <v>95796.9</v>
      </c>
      <c r="W214" s="2">
        <f>IF($H214&gt;I214,MIN($H214-I214,J214-I214)*INDEX('2018_commission_structure'!$A$5:$J$8,MATCH(Calculations!$E214,'2018_commission_structure'!$A$5:$A$8,0),MATCH(Calculations!W$1,'2018_commission_structure'!$A$5:$J$5,0)),0)</f>
        <v>0</v>
      </c>
      <c r="X214" s="2">
        <f>IF($H214&gt;J214,MIN($H214-J214,K214-J214)*INDEX('2018_commission_structure'!$A$5:$J$8,MATCH(Calculations!$E214,'2018_commission_structure'!$A$5:$A$8,0),MATCH(Calculations!X$1,'2018_commission_structure'!$A$5:$J$5,0)),0)</f>
        <v>0</v>
      </c>
      <c r="Y214" s="2">
        <f>IF($H214&gt;K214,MIN($H214-K214,L214-K214)*INDEX('2018_commission_structure'!$A$5:$J$8,MATCH(Calculations!$E214,'2018_commission_structure'!$A$5:$A$8,0),MATCH(Calculations!Y$1,'2018_commission_structure'!$A$5:$J$5,0)),0)</f>
        <v>0</v>
      </c>
      <c r="Z214" s="2">
        <f xml:space="preserve"> IF(H214&gt;L214,(H214-L214)*INDEX('2018_commission_structure'!$A$11:$I$14,MATCH(Calculations!$E214,'2018_commission_structure'!$A$11:$A$14,0),MATCH(Calculations!Z$1,'2018_commission_structure'!$A$11:$I$11,0)),0)</f>
        <v>0</v>
      </c>
      <c r="AA214" s="7">
        <f t="shared" si="34"/>
        <v>95796.9</v>
      </c>
      <c r="AB214" s="7">
        <f t="shared" si="35"/>
        <v>200268.9</v>
      </c>
    </row>
    <row r="215" spans="1:28" x14ac:dyDescent="0.25">
      <c r="A215">
        <v>2924550912</v>
      </c>
      <c r="B215" t="s">
        <v>769</v>
      </c>
      <c r="C215" t="s">
        <v>770</v>
      </c>
      <c r="D215" t="str">
        <f>B215&amp;" "&amp;C215</f>
        <v>Bobbi Denis</v>
      </c>
      <c r="E215" t="s">
        <v>29</v>
      </c>
      <c r="F215">
        <v>77174</v>
      </c>
      <c r="G215">
        <f>COUNTIF(deals_closed!D:D,Calculations!A215)</f>
        <v>17</v>
      </c>
      <c r="H215" s="2">
        <f>SUMIF(deals_closed!D:D,Calculations!A215,deals_closed!C:C)</f>
        <v>593443</v>
      </c>
      <c r="I215" s="2">
        <f>VLOOKUP(E215,'2018_commission_structure'!$A$11:$I$14,9,FALSE)</f>
        <v>600000</v>
      </c>
      <c r="J215" s="2">
        <f t="shared" si="27"/>
        <v>750000</v>
      </c>
      <c r="K215" s="2">
        <f t="shared" si="28"/>
        <v>900000</v>
      </c>
      <c r="L215" s="2">
        <f t="shared" si="29"/>
        <v>1200000</v>
      </c>
      <c r="M215" s="6">
        <f t="shared" si="30"/>
        <v>0.98907166666666668</v>
      </c>
      <c r="N215" t="str">
        <f t="shared" si="31"/>
        <v>0-100%</v>
      </c>
      <c r="O215" s="7">
        <f>MIN(I215,H215)*INDEX('2018_commission_structure'!$A$11:$I$14,MATCH(Calculations!$E215,'2018_commission_structure'!$A$11:$A$14,0),MATCH(Calculations!O$1,'2018_commission_structure'!$A$11:$I$11,0))</f>
        <v>77147.59</v>
      </c>
      <c r="P215" s="7">
        <f>IF($H215&gt;I215,MIN($H215-I215,J215-I215)*INDEX('2018_commission_structure'!$A$11:$I$14,MATCH(Calculations!$E215,'2018_commission_structure'!$A$11:$A$14,0), MATCH(Calculations!P$1,'2018_commission_structure'!$A$11:$I$11,0)),0)</f>
        <v>0</v>
      </c>
      <c r="Q215" s="7">
        <f>IF($H215&gt;J215,MIN($H215-J215,K215-J215)*INDEX('2018_commission_structure'!$A$11:$I$14,MATCH(Calculations!$E215,'2018_commission_structure'!$A$11:$A$14,0), MATCH(Calculations!Q$1,'2018_commission_structure'!$A$11:$I$11,0)),0)</f>
        <v>0</v>
      </c>
      <c r="R215" s="7">
        <f>IF($H215&gt;K215,MIN($H215-K215,L215-K215)*INDEX('2018_commission_structure'!$A$11:$I$14,MATCH(Calculations!$E215,'2018_commission_structure'!$A$11:$A$14,0), MATCH(Calculations!R$1,'2018_commission_structure'!$A$11:$I$11,0)),0)</f>
        <v>0</v>
      </c>
      <c r="S215" s="7">
        <f>IF(H215&gt;L215,(H215-L215)*INDEX('2018_commission_structure'!$A$11:$I$14,MATCH(Calculations!$E215,'2018_commission_structure'!$A$11:$A$14,0),MATCH(Calculations!S$1,'2018_commission_structure'!$A$11:$I$11,0)),0)</f>
        <v>0</v>
      </c>
      <c r="T215" s="7">
        <f t="shared" si="32"/>
        <v>77147.59</v>
      </c>
      <c r="U215" s="7">
        <f t="shared" si="33"/>
        <v>154321.59</v>
      </c>
      <c r="V215" s="7">
        <f>MIN(H215,I215)*INDEX('2018_commission_structure'!$A$5:$J$8,MATCH(Calculations!$E215,'2018_commission_structure'!$A$5:$A$8,0),MATCH(Calculations!V$1,'2018_commission_structure'!$A$5:$J$5,0))</f>
        <v>89016.45</v>
      </c>
      <c r="W215" s="2">
        <f>IF($H215&gt;I215,MIN($H215-I215,J215-I215)*INDEX('2018_commission_structure'!$A$5:$J$8,MATCH(Calculations!$E215,'2018_commission_structure'!$A$5:$A$8,0),MATCH(Calculations!W$1,'2018_commission_structure'!$A$5:$J$5,0)),0)</f>
        <v>0</v>
      </c>
      <c r="X215" s="2">
        <f>IF($H215&gt;J215,MIN($H215-J215,K215-J215)*INDEX('2018_commission_structure'!$A$5:$J$8,MATCH(Calculations!$E215,'2018_commission_structure'!$A$5:$A$8,0),MATCH(Calculations!X$1,'2018_commission_structure'!$A$5:$J$5,0)),0)</f>
        <v>0</v>
      </c>
      <c r="Y215" s="2">
        <f>IF($H215&gt;K215,MIN($H215-K215,L215-K215)*INDEX('2018_commission_structure'!$A$5:$J$8,MATCH(Calculations!$E215,'2018_commission_structure'!$A$5:$A$8,0),MATCH(Calculations!Y$1,'2018_commission_structure'!$A$5:$J$5,0)),0)</f>
        <v>0</v>
      </c>
      <c r="Z215" s="2">
        <f xml:space="preserve"> IF(H215&gt;L215,(H215-L215)*INDEX('2018_commission_structure'!$A$11:$I$14,MATCH(Calculations!$E215,'2018_commission_structure'!$A$11:$A$14,0),MATCH(Calculations!Z$1,'2018_commission_structure'!$A$11:$I$11,0)),0)</f>
        <v>0</v>
      </c>
      <c r="AA215" s="7">
        <f t="shared" si="34"/>
        <v>89016.45</v>
      </c>
      <c r="AB215" s="7">
        <f t="shared" si="35"/>
        <v>166190.45000000001</v>
      </c>
    </row>
    <row r="216" spans="1:28" x14ac:dyDescent="0.25">
      <c r="A216">
        <v>5285704227</v>
      </c>
      <c r="B216" t="s">
        <v>654</v>
      </c>
      <c r="C216" t="s">
        <v>655</v>
      </c>
      <c r="D216" t="str">
        <f>B216&amp;" "&amp;C216</f>
        <v>Delphine Denisard</v>
      </c>
      <c r="E216" t="s">
        <v>10</v>
      </c>
      <c r="F216">
        <v>101533</v>
      </c>
      <c r="G216">
        <f>COUNTIF(deals_closed!D:D,Calculations!A216)</f>
        <v>14</v>
      </c>
      <c r="H216" s="2">
        <f>SUMIF(deals_closed!D:D,Calculations!A216,deals_closed!C:C)</f>
        <v>497009</v>
      </c>
      <c r="I216" s="2">
        <f>VLOOKUP(E216,'2018_commission_structure'!$A$11:$I$14,9,FALSE)</f>
        <v>750000</v>
      </c>
      <c r="J216" s="2">
        <f t="shared" si="27"/>
        <v>937500</v>
      </c>
      <c r="K216" s="2">
        <f t="shared" si="28"/>
        <v>1125000</v>
      </c>
      <c r="L216" s="2">
        <f t="shared" si="29"/>
        <v>1500000</v>
      </c>
      <c r="M216" s="6">
        <f t="shared" si="30"/>
        <v>0.66267866666666664</v>
      </c>
      <c r="N216" t="str">
        <f t="shared" si="31"/>
        <v>0-100%</v>
      </c>
      <c r="O216" s="7">
        <f>MIN(I216,H216)*INDEX('2018_commission_structure'!$A$11:$I$14,MATCH(Calculations!$E216,'2018_commission_structure'!$A$11:$A$14,0),MATCH(Calculations!O$1,'2018_commission_structure'!$A$11:$I$11,0))</f>
        <v>74551.349999999991</v>
      </c>
      <c r="P216" s="7">
        <f>IF($H216&gt;I216,MIN($H216-I216,J216-I216)*INDEX('2018_commission_structure'!$A$11:$I$14,MATCH(Calculations!$E216,'2018_commission_structure'!$A$11:$A$14,0), MATCH(Calculations!P$1,'2018_commission_structure'!$A$11:$I$11,0)),0)</f>
        <v>0</v>
      </c>
      <c r="Q216" s="7">
        <f>IF($H216&gt;J216,MIN($H216-J216,K216-J216)*INDEX('2018_commission_structure'!$A$11:$I$14,MATCH(Calculations!$E216,'2018_commission_structure'!$A$11:$A$14,0), MATCH(Calculations!Q$1,'2018_commission_structure'!$A$11:$I$11,0)),0)</f>
        <v>0</v>
      </c>
      <c r="R216" s="7">
        <f>IF($H216&gt;K216,MIN($H216-K216,L216-K216)*INDEX('2018_commission_structure'!$A$11:$I$14,MATCH(Calculations!$E216,'2018_commission_structure'!$A$11:$A$14,0), MATCH(Calculations!R$1,'2018_commission_structure'!$A$11:$I$11,0)),0)</f>
        <v>0</v>
      </c>
      <c r="S216" s="7">
        <f>IF(H216&gt;L216,(H216-L216)*INDEX('2018_commission_structure'!$A$11:$I$14,MATCH(Calculations!$E216,'2018_commission_structure'!$A$11:$A$14,0),MATCH(Calculations!S$1,'2018_commission_structure'!$A$11:$I$11,0)),0)</f>
        <v>0</v>
      </c>
      <c r="T216" s="7">
        <f t="shared" si="32"/>
        <v>74551.349999999991</v>
      </c>
      <c r="U216" s="7">
        <f t="shared" si="33"/>
        <v>176084.34999999998</v>
      </c>
      <c r="V216" s="7">
        <f>MIN(H216,I216)*INDEX('2018_commission_structure'!$A$5:$J$8,MATCH(Calculations!$E216,'2018_commission_structure'!$A$5:$A$8,0),MATCH(Calculations!V$1,'2018_commission_structure'!$A$5:$J$5,0))</f>
        <v>74551.349999999991</v>
      </c>
      <c r="W216" s="2">
        <f>IF($H216&gt;I216,MIN($H216-I216,J216-I216)*INDEX('2018_commission_structure'!$A$5:$J$8,MATCH(Calculations!$E216,'2018_commission_structure'!$A$5:$A$8,0),MATCH(Calculations!W$1,'2018_commission_structure'!$A$5:$J$5,0)),0)</f>
        <v>0</v>
      </c>
      <c r="X216" s="2">
        <f>IF($H216&gt;J216,MIN($H216-J216,K216-J216)*INDEX('2018_commission_structure'!$A$5:$J$8,MATCH(Calculations!$E216,'2018_commission_structure'!$A$5:$A$8,0),MATCH(Calculations!X$1,'2018_commission_structure'!$A$5:$J$5,0)),0)</f>
        <v>0</v>
      </c>
      <c r="Y216" s="2">
        <f>IF($H216&gt;K216,MIN($H216-K216,L216-K216)*INDEX('2018_commission_structure'!$A$5:$J$8,MATCH(Calculations!$E216,'2018_commission_structure'!$A$5:$A$8,0),MATCH(Calculations!Y$1,'2018_commission_structure'!$A$5:$J$5,0)),0)</f>
        <v>0</v>
      </c>
      <c r="Z216" s="2">
        <f xml:space="preserve"> IF(H216&gt;L216,(H216-L216)*INDEX('2018_commission_structure'!$A$11:$I$14,MATCH(Calculations!$E216,'2018_commission_structure'!$A$11:$A$14,0),MATCH(Calculations!Z$1,'2018_commission_structure'!$A$11:$I$11,0)),0)</f>
        <v>0</v>
      </c>
      <c r="AA216" s="7">
        <f t="shared" si="34"/>
        <v>74551.349999999991</v>
      </c>
      <c r="AB216" s="7">
        <f t="shared" si="35"/>
        <v>176084.34999999998</v>
      </c>
    </row>
    <row r="217" spans="1:28" x14ac:dyDescent="0.25">
      <c r="A217">
        <v>933051662</v>
      </c>
      <c r="B217" t="s">
        <v>1466</v>
      </c>
      <c r="C217" t="s">
        <v>1467</v>
      </c>
      <c r="D217" t="str">
        <f>B217&amp;" "&amp;C217</f>
        <v>Arabel Denison</v>
      </c>
      <c r="E217" t="s">
        <v>10</v>
      </c>
      <c r="F217">
        <v>116350</v>
      </c>
      <c r="G217">
        <f>COUNTIF(deals_closed!D:D,Calculations!A217)</f>
        <v>15</v>
      </c>
      <c r="H217" s="2">
        <f>SUMIF(deals_closed!D:D,Calculations!A217,deals_closed!C:C)</f>
        <v>573420</v>
      </c>
      <c r="I217" s="2">
        <f>VLOOKUP(E217,'2018_commission_structure'!$A$11:$I$14,9,FALSE)</f>
        <v>750000</v>
      </c>
      <c r="J217" s="2">
        <f t="shared" si="27"/>
        <v>937500</v>
      </c>
      <c r="K217" s="2">
        <f t="shared" si="28"/>
        <v>1125000</v>
      </c>
      <c r="L217" s="2">
        <f t="shared" si="29"/>
        <v>1500000</v>
      </c>
      <c r="M217" s="6">
        <f t="shared" si="30"/>
        <v>0.76456000000000002</v>
      </c>
      <c r="N217" t="str">
        <f t="shared" si="31"/>
        <v>0-100%</v>
      </c>
      <c r="O217" s="7">
        <f>MIN(I217,H217)*INDEX('2018_commission_structure'!$A$11:$I$14,MATCH(Calculations!$E217,'2018_commission_structure'!$A$11:$A$14,0),MATCH(Calculations!O$1,'2018_commission_structure'!$A$11:$I$11,0))</f>
        <v>86013</v>
      </c>
      <c r="P217" s="7">
        <f>IF($H217&gt;I217,MIN($H217-I217,J217-I217)*INDEX('2018_commission_structure'!$A$11:$I$14,MATCH(Calculations!$E217,'2018_commission_structure'!$A$11:$A$14,0), MATCH(Calculations!P$1,'2018_commission_structure'!$A$11:$I$11,0)),0)</f>
        <v>0</v>
      </c>
      <c r="Q217" s="7">
        <f>IF($H217&gt;J217,MIN($H217-J217,K217-J217)*INDEX('2018_commission_structure'!$A$11:$I$14,MATCH(Calculations!$E217,'2018_commission_structure'!$A$11:$A$14,0), MATCH(Calculations!Q$1,'2018_commission_structure'!$A$11:$I$11,0)),0)</f>
        <v>0</v>
      </c>
      <c r="R217" s="7">
        <f>IF($H217&gt;K217,MIN($H217-K217,L217-K217)*INDEX('2018_commission_structure'!$A$11:$I$14,MATCH(Calculations!$E217,'2018_commission_structure'!$A$11:$A$14,0), MATCH(Calculations!R$1,'2018_commission_structure'!$A$11:$I$11,0)),0)</f>
        <v>0</v>
      </c>
      <c r="S217" s="7">
        <f>IF(H217&gt;L217,(H217-L217)*INDEX('2018_commission_structure'!$A$11:$I$14,MATCH(Calculations!$E217,'2018_commission_structure'!$A$11:$A$14,0),MATCH(Calculations!S$1,'2018_commission_structure'!$A$11:$I$11,0)),0)</f>
        <v>0</v>
      </c>
      <c r="T217" s="7">
        <f t="shared" si="32"/>
        <v>86013</v>
      </c>
      <c r="U217" s="7">
        <f t="shared" si="33"/>
        <v>202363</v>
      </c>
      <c r="V217" s="7">
        <f>MIN(H217,I217)*INDEX('2018_commission_structure'!$A$5:$J$8,MATCH(Calculations!$E217,'2018_commission_structure'!$A$5:$A$8,0),MATCH(Calculations!V$1,'2018_commission_structure'!$A$5:$J$5,0))</f>
        <v>86013</v>
      </c>
      <c r="W217" s="2">
        <f>IF($H217&gt;I217,MIN($H217-I217,J217-I217)*INDEX('2018_commission_structure'!$A$5:$J$8,MATCH(Calculations!$E217,'2018_commission_structure'!$A$5:$A$8,0),MATCH(Calculations!W$1,'2018_commission_structure'!$A$5:$J$5,0)),0)</f>
        <v>0</v>
      </c>
      <c r="X217" s="2">
        <f>IF($H217&gt;J217,MIN($H217-J217,K217-J217)*INDEX('2018_commission_structure'!$A$5:$J$8,MATCH(Calculations!$E217,'2018_commission_structure'!$A$5:$A$8,0),MATCH(Calculations!X$1,'2018_commission_structure'!$A$5:$J$5,0)),0)</f>
        <v>0</v>
      </c>
      <c r="Y217" s="2">
        <f>IF($H217&gt;K217,MIN($H217-K217,L217-K217)*INDEX('2018_commission_structure'!$A$5:$J$8,MATCH(Calculations!$E217,'2018_commission_structure'!$A$5:$A$8,0),MATCH(Calculations!Y$1,'2018_commission_structure'!$A$5:$J$5,0)),0)</f>
        <v>0</v>
      </c>
      <c r="Z217" s="2">
        <f xml:space="preserve"> IF(H217&gt;L217,(H217-L217)*INDEX('2018_commission_structure'!$A$11:$I$14,MATCH(Calculations!$E217,'2018_commission_structure'!$A$11:$A$14,0),MATCH(Calculations!Z$1,'2018_commission_structure'!$A$11:$I$11,0)),0)</f>
        <v>0</v>
      </c>
      <c r="AA217" s="7">
        <f t="shared" si="34"/>
        <v>86013</v>
      </c>
      <c r="AB217" s="7">
        <f t="shared" si="35"/>
        <v>202363</v>
      </c>
    </row>
    <row r="218" spans="1:28" x14ac:dyDescent="0.25">
      <c r="A218">
        <v>9963057691</v>
      </c>
      <c r="B218" t="s">
        <v>256</v>
      </c>
      <c r="C218" t="s">
        <v>257</v>
      </c>
      <c r="D218" t="str">
        <f>B218&amp;" "&amp;C218</f>
        <v>Marty Denson</v>
      </c>
      <c r="E218" t="s">
        <v>29</v>
      </c>
      <c r="F218">
        <v>64506</v>
      </c>
      <c r="G218">
        <f>COUNTIF(deals_closed!D:D,Calculations!A218)</f>
        <v>17</v>
      </c>
      <c r="H218" s="2">
        <f>SUMIF(deals_closed!D:D,Calculations!A218,deals_closed!C:C)</f>
        <v>637475</v>
      </c>
      <c r="I218" s="2">
        <f>VLOOKUP(E218,'2018_commission_structure'!$A$11:$I$14,9,FALSE)</f>
        <v>600000</v>
      </c>
      <c r="J218" s="2">
        <f t="shared" si="27"/>
        <v>750000</v>
      </c>
      <c r="K218" s="2">
        <f t="shared" si="28"/>
        <v>900000</v>
      </c>
      <c r="L218" s="2">
        <f t="shared" si="29"/>
        <v>1200000</v>
      </c>
      <c r="M218" s="6">
        <f t="shared" si="30"/>
        <v>1.0624583333333333</v>
      </c>
      <c r="N218" t="str">
        <f t="shared" si="31"/>
        <v>100-125%</v>
      </c>
      <c r="O218" s="7">
        <f>MIN(I218,H218)*INDEX('2018_commission_structure'!$A$11:$I$14,MATCH(Calculations!$E218,'2018_commission_structure'!$A$11:$A$14,0),MATCH(Calculations!O$1,'2018_commission_structure'!$A$11:$I$11,0))</f>
        <v>78000</v>
      </c>
      <c r="P218" s="7">
        <f>IF($H218&gt;I218,MIN($H218-I218,J218-I218)*INDEX('2018_commission_structure'!$A$11:$I$14,MATCH(Calculations!$E218,'2018_commission_structure'!$A$11:$A$14,0), MATCH(Calculations!P$1,'2018_commission_structure'!$A$11:$I$11,0)),0)</f>
        <v>6370.7500000000009</v>
      </c>
      <c r="Q218" s="7">
        <f>IF($H218&gt;J218,MIN($H218-J218,K218-J218)*INDEX('2018_commission_structure'!$A$11:$I$14,MATCH(Calculations!$E218,'2018_commission_structure'!$A$11:$A$14,0), MATCH(Calculations!Q$1,'2018_commission_structure'!$A$11:$I$11,0)),0)</f>
        <v>0</v>
      </c>
      <c r="R218" s="7">
        <f>IF($H218&gt;K218,MIN($H218-K218,L218-K218)*INDEX('2018_commission_structure'!$A$11:$I$14,MATCH(Calculations!$E218,'2018_commission_structure'!$A$11:$A$14,0), MATCH(Calculations!R$1,'2018_commission_structure'!$A$11:$I$11,0)),0)</f>
        <v>0</v>
      </c>
      <c r="S218" s="7">
        <f>IF(H218&gt;L218,(H218-L218)*INDEX('2018_commission_structure'!$A$11:$I$14,MATCH(Calculations!$E218,'2018_commission_structure'!$A$11:$A$14,0),MATCH(Calculations!S$1,'2018_commission_structure'!$A$11:$I$11,0)),0)</f>
        <v>0</v>
      </c>
      <c r="T218" s="7">
        <f t="shared" si="32"/>
        <v>84370.75</v>
      </c>
      <c r="U218" s="7">
        <f t="shared" si="33"/>
        <v>148876.75</v>
      </c>
      <c r="V218" s="7">
        <f>MIN(H218,I218)*INDEX('2018_commission_structure'!$A$5:$J$8,MATCH(Calculations!$E218,'2018_commission_structure'!$A$5:$A$8,0),MATCH(Calculations!V$1,'2018_commission_structure'!$A$5:$J$5,0))</f>
        <v>90000</v>
      </c>
      <c r="W218" s="2">
        <f>IF($H218&gt;I218,MIN($H218-I218,J218-I218)*INDEX('2018_commission_structure'!$A$5:$J$8,MATCH(Calculations!$E218,'2018_commission_structure'!$A$5:$A$8,0),MATCH(Calculations!W$1,'2018_commission_structure'!$A$5:$J$5,0)),0)</f>
        <v>6745.5</v>
      </c>
      <c r="X218" s="2">
        <f>IF($H218&gt;J218,MIN($H218-J218,K218-J218)*INDEX('2018_commission_structure'!$A$5:$J$8,MATCH(Calculations!$E218,'2018_commission_structure'!$A$5:$A$8,0),MATCH(Calculations!X$1,'2018_commission_structure'!$A$5:$J$5,0)),0)</f>
        <v>0</v>
      </c>
      <c r="Y218" s="2">
        <f>IF($H218&gt;K218,MIN($H218-K218,L218-K218)*INDEX('2018_commission_structure'!$A$5:$J$8,MATCH(Calculations!$E218,'2018_commission_structure'!$A$5:$A$8,0),MATCH(Calculations!Y$1,'2018_commission_structure'!$A$5:$J$5,0)),0)</f>
        <v>0</v>
      </c>
      <c r="Z218" s="2">
        <f xml:space="preserve"> IF(H218&gt;L218,(H218-L218)*INDEX('2018_commission_structure'!$A$11:$I$14,MATCH(Calculations!$E218,'2018_commission_structure'!$A$11:$A$14,0),MATCH(Calculations!Z$1,'2018_commission_structure'!$A$11:$I$11,0)),0)</f>
        <v>0</v>
      </c>
      <c r="AA218" s="7">
        <f t="shared" si="34"/>
        <v>96745.5</v>
      </c>
      <c r="AB218" s="7">
        <f t="shared" si="35"/>
        <v>161251.5</v>
      </c>
    </row>
    <row r="219" spans="1:28" x14ac:dyDescent="0.25">
      <c r="A219">
        <v>7567063646</v>
      </c>
      <c r="B219" t="s">
        <v>1902</v>
      </c>
      <c r="C219" t="s">
        <v>1903</v>
      </c>
      <c r="D219" t="str">
        <f>B219&amp;" "&amp;C219</f>
        <v>Eryn Derle</v>
      </c>
      <c r="E219" t="s">
        <v>29</v>
      </c>
      <c r="F219">
        <v>58778</v>
      </c>
      <c r="G219">
        <f>COUNTIF(deals_closed!D:D,Calculations!A219)</f>
        <v>20</v>
      </c>
      <c r="H219" s="2">
        <f>SUMIF(deals_closed!D:D,Calculations!A219,deals_closed!C:C)</f>
        <v>704698</v>
      </c>
      <c r="I219" s="2">
        <f>VLOOKUP(E219,'2018_commission_structure'!$A$11:$I$14,9,FALSE)</f>
        <v>600000</v>
      </c>
      <c r="J219" s="2">
        <f t="shared" si="27"/>
        <v>750000</v>
      </c>
      <c r="K219" s="2">
        <f t="shared" si="28"/>
        <v>900000</v>
      </c>
      <c r="L219" s="2">
        <f t="shared" si="29"/>
        <v>1200000</v>
      </c>
      <c r="M219" s="6">
        <f t="shared" si="30"/>
        <v>1.1744966666666667</v>
      </c>
      <c r="N219" t="str">
        <f t="shared" si="31"/>
        <v>100-125%</v>
      </c>
      <c r="O219" s="7">
        <f>MIN(I219,H219)*INDEX('2018_commission_structure'!$A$11:$I$14,MATCH(Calculations!$E219,'2018_commission_structure'!$A$11:$A$14,0),MATCH(Calculations!O$1,'2018_commission_structure'!$A$11:$I$11,0))</f>
        <v>78000</v>
      </c>
      <c r="P219" s="7">
        <f>IF($H219&gt;I219,MIN($H219-I219,J219-I219)*INDEX('2018_commission_structure'!$A$11:$I$14,MATCH(Calculations!$E219,'2018_commission_structure'!$A$11:$A$14,0), MATCH(Calculations!P$1,'2018_commission_structure'!$A$11:$I$11,0)),0)</f>
        <v>17798.66</v>
      </c>
      <c r="Q219" s="7">
        <f>IF($H219&gt;J219,MIN($H219-J219,K219-J219)*INDEX('2018_commission_structure'!$A$11:$I$14,MATCH(Calculations!$E219,'2018_commission_structure'!$A$11:$A$14,0), MATCH(Calculations!Q$1,'2018_commission_structure'!$A$11:$I$11,0)),0)</f>
        <v>0</v>
      </c>
      <c r="R219" s="7">
        <f>IF($H219&gt;K219,MIN($H219-K219,L219-K219)*INDEX('2018_commission_structure'!$A$11:$I$14,MATCH(Calculations!$E219,'2018_commission_structure'!$A$11:$A$14,0), MATCH(Calculations!R$1,'2018_commission_structure'!$A$11:$I$11,0)),0)</f>
        <v>0</v>
      </c>
      <c r="S219" s="7">
        <f>IF(H219&gt;L219,(H219-L219)*INDEX('2018_commission_structure'!$A$11:$I$14,MATCH(Calculations!$E219,'2018_commission_structure'!$A$11:$A$14,0),MATCH(Calculations!S$1,'2018_commission_structure'!$A$11:$I$11,0)),0)</f>
        <v>0</v>
      </c>
      <c r="T219" s="7">
        <f t="shared" si="32"/>
        <v>95798.66</v>
      </c>
      <c r="U219" s="7">
        <f t="shared" si="33"/>
        <v>154576.66</v>
      </c>
      <c r="V219" s="7">
        <f>MIN(H219,I219)*INDEX('2018_commission_structure'!$A$5:$J$8,MATCH(Calculations!$E219,'2018_commission_structure'!$A$5:$A$8,0),MATCH(Calculations!V$1,'2018_commission_structure'!$A$5:$J$5,0))</f>
        <v>90000</v>
      </c>
      <c r="W219" s="2">
        <f>IF($H219&gt;I219,MIN($H219-I219,J219-I219)*INDEX('2018_commission_structure'!$A$5:$J$8,MATCH(Calculations!$E219,'2018_commission_structure'!$A$5:$A$8,0),MATCH(Calculations!W$1,'2018_commission_structure'!$A$5:$J$5,0)),0)</f>
        <v>18845.64</v>
      </c>
      <c r="X219" s="2">
        <f>IF($H219&gt;J219,MIN($H219-J219,K219-J219)*INDEX('2018_commission_structure'!$A$5:$J$8,MATCH(Calculations!$E219,'2018_commission_structure'!$A$5:$A$8,0),MATCH(Calculations!X$1,'2018_commission_structure'!$A$5:$J$5,0)),0)</f>
        <v>0</v>
      </c>
      <c r="Y219" s="2">
        <f>IF($H219&gt;K219,MIN($H219-K219,L219-K219)*INDEX('2018_commission_structure'!$A$5:$J$8,MATCH(Calculations!$E219,'2018_commission_structure'!$A$5:$A$8,0),MATCH(Calculations!Y$1,'2018_commission_structure'!$A$5:$J$5,0)),0)</f>
        <v>0</v>
      </c>
      <c r="Z219" s="2">
        <f xml:space="preserve"> IF(H219&gt;L219,(H219-L219)*INDEX('2018_commission_structure'!$A$11:$I$14,MATCH(Calculations!$E219,'2018_commission_structure'!$A$11:$A$14,0),MATCH(Calculations!Z$1,'2018_commission_structure'!$A$11:$I$11,0)),0)</f>
        <v>0</v>
      </c>
      <c r="AA219" s="7">
        <f t="shared" si="34"/>
        <v>108845.64</v>
      </c>
      <c r="AB219" s="7">
        <f t="shared" si="35"/>
        <v>167623.64000000001</v>
      </c>
    </row>
    <row r="220" spans="1:28" x14ac:dyDescent="0.25">
      <c r="A220">
        <v>1420239228</v>
      </c>
      <c r="B220" t="s">
        <v>1662</v>
      </c>
      <c r="C220" t="s">
        <v>1784</v>
      </c>
      <c r="D220" t="str">
        <f>B220&amp;" "&amp;C220</f>
        <v>Jessica Derye-Barrett</v>
      </c>
      <c r="E220" t="s">
        <v>29</v>
      </c>
      <c r="F220">
        <v>62855</v>
      </c>
      <c r="G220">
        <f>COUNTIF(deals_closed!D:D,Calculations!A220)</f>
        <v>16</v>
      </c>
      <c r="H220" s="2">
        <f>SUMIF(deals_closed!D:D,Calculations!A220,deals_closed!C:C)</f>
        <v>593010</v>
      </c>
      <c r="I220" s="2">
        <f>VLOOKUP(E220,'2018_commission_structure'!$A$11:$I$14,9,FALSE)</f>
        <v>600000</v>
      </c>
      <c r="J220" s="2">
        <f t="shared" si="27"/>
        <v>750000</v>
      </c>
      <c r="K220" s="2">
        <f t="shared" si="28"/>
        <v>900000</v>
      </c>
      <c r="L220" s="2">
        <f t="shared" si="29"/>
        <v>1200000</v>
      </c>
      <c r="M220" s="6">
        <f t="shared" si="30"/>
        <v>0.98834999999999995</v>
      </c>
      <c r="N220" t="str">
        <f t="shared" si="31"/>
        <v>0-100%</v>
      </c>
      <c r="O220" s="7">
        <f>MIN(I220,H220)*INDEX('2018_commission_structure'!$A$11:$I$14,MATCH(Calculations!$E220,'2018_commission_structure'!$A$11:$A$14,0),MATCH(Calculations!O$1,'2018_commission_structure'!$A$11:$I$11,0))</f>
        <v>77091.3</v>
      </c>
      <c r="P220" s="7">
        <f>IF($H220&gt;I220,MIN($H220-I220,J220-I220)*INDEX('2018_commission_structure'!$A$11:$I$14,MATCH(Calculations!$E220,'2018_commission_structure'!$A$11:$A$14,0), MATCH(Calculations!P$1,'2018_commission_structure'!$A$11:$I$11,0)),0)</f>
        <v>0</v>
      </c>
      <c r="Q220" s="7">
        <f>IF($H220&gt;J220,MIN($H220-J220,K220-J220)*INDEX('2018_commission_structure'!$A$11:$I$14,MATCH(Calculations!$E220,'2018_commission_structure'!$A$11:$A$14,0), MATCH(Calculations!Q$1,'2018_commission_structure'!$A$11:$I$11,0)),0)</f>
        <v>0</v>
      </c>
      <c r="R220" s="7">
        <f>IF($H220&gt;K220,MIN($H220-K220,L220-K220)*INDEX('2018_commission_structure'!$A$11:$I$14,MATCH(Calculations!$E220,'2018_commission_structure'!$A$11:$A$14,0), MATCH(Calculations!R$1,'2018_commission_structure'!$A$11:$I$11,0)),0)</f>
        <v>0</v>
      </c>
      <c r="S220" s="7">
        <f>IF(H220&gt;L220,(H220-L220)*INDEX('2018_commission_structure'!$A$11:$I$14,MATCH(Calculations!$E220,'2018_commission_structure'!$A$11:$A$14,0),MATCH(Calculations!S$1,'2018_commission_structure'!$A$11:$I$11,0)),0)</f>
        <v>0</v>
      </c>
      <c r="T220" s="7">
        <f t="shared" si="32"/>
        <v>77091.3</v>
      </c>
      <c r="U220" s="7">
        <f t="shared" si="33"/>
        <v>139946.29999999999</v>
      </c>
      <c r="V220" s="7">
        <f>MIN(H220,I220)*INDEX('2018_commission_structure'!$A$5:$J$8,MATCH(Calculations!$E220,'2018_commission_structure'!$A$5:$A$8,0),MATCH(Calculations!V$1,'2018_commission_structure'!$A$5:$J$5,0))</f>
        <v>88951.5</v>
      </c>
      <c r="W220" s="2">
        <f>IF($H220&gt;I220,MIN($H220-I220,J220-I220)*INDEX('2018_commission_structure'!$A$5:$J$8,MATCH(Calculations!$E220,'2018_commission_structure'!$A$5:$A$8,0),MATCH(Calculations!W$1,'2018_commission_structure'!$A$5:$J$5,0)),0)</f>
        <v>0</v>
      </c>
      <c r="X220" s="2">
        <f>IF($H220&gt;J220,MIN($H220-J220,K220-J220)*INDEX('2018_commission_structure'!$A$5:$J$8,MATCH(Calculations!$E220,'2018_commission_structure'!$A$5:$A$8,0),MATCH(Calculations!X$1,'2018_commission_structure'!$A$5:$J$5,0)),0)</f>
        <v>0</v>
      </c>
      <c r="Y220" s="2">
        <f>IF($H220&gt;K220,MIN($H220-K220,L220-K220)*INDEX('2018_commission_structure'!$A$5:$J$8,MATCH(Calculations!$E220,'2018_commission_structure'!$A$5:$A$8,0),MATCH(Calculations!Y$1,'2018_commission_structure'!$A$5:$J$5,0)),0)</f>
        <v>0</v>
      </c>
      <c r="Z220" s="2">
        <f xml:space="preserve"> IF(H220&gt;L220,(H220-L220)*INDEX('2018_commission_structure'!$A$11:$I$14,MATCH(Calculations!$E220,'2018_commission_structure'!$A$11:$A$14,0),MATCH(Calculations!Z$1,'2018_commission_structure'!$A$11:$I$11,0)),0)</f>
        <v>0</v>
      </c>
      <c r="AA220" s="7">
        <f t="shared" si="34"/>
        <v>88951.5</v>
      </c>
      <c r="AB220" s="7">
        <f t="shared" si="35"/>
        <v>151806.5</v>
      </c>
    </row>
    <row r="221" spans="1:28" x14ac:dyDescent="0.25">
      <c r="A221">
        <v>3986480021</v>
      </c>
      <c r="B221" t="s">
        <v>363</v>
      </c>
      <c r="C221" t="s">
        <v>364</v>
      </c>
      <c r="D221" t="str">
        <f>B221&amp;" "&amp;C221</f>
        <v>Cate Devall</v>
      </c>
      <c r="E221" t="s">
        <v>29</v>
      </c>
      <c r="F221">
        <v>59679</v>
      </c>
      <c r="G221">
        <f>COUNTIF(deals_closed!D:D,Calculations!A221)</f>
        <v>23</v>
      </c>
      <c r="H221" s="2">
        <f>SUMIF(deals_closed!D:D,Calculations!A221,deals_closed!C:C)</f>
        <v>908049</v>
      </c>
      <c r="I221" s="2">
        <f>VLOOKUP(E221,'2018_commission_structure'!$A$11:$I$14,9,FALSE)</f>
        <v>600000</v>
      </c>
      <c r="J221" s="2">
        <f t="shared" si="27"/>
        <v>750000</v>
      </c>
      <c r="K221" s="2">
        <f t="shared" si="28"/>
        <v>900000</v>
      </c>
      <c r="L221" s="2">
        <f t="shared" si="29"/>
        <v>1200000</v>
      </c>
      <c r="M221" s="6">
        <f t="shared" si="30"/>
        <v>1.513415</v>
      </c>
      <c r="N221" t="str">
        <f t="shared" si="31"/>
        <v>150-200%</v>
      </c>
      <c r="O221" s="7">
        <f>MIN(I221,H221)*INDEX('2018_commission_structure'!$A$11:$I$14,MATCH(Calculations!$E221,'2018_commission_structure'!$A$11:$A$14,0),MATCH(Calculations!O$1,'2018_commission_structure'!$A$11:$I$11,0))</f>
        <v>78000</v>
      </c>
      <c r="P221" s="7">
        <f>IF($H221&gt;I221,MIN($H221-I221,J221-I221)*INDEX('2018_commission_structure'!$A$11:$I$14,MATCH(Calculations!$E221,'2018_commission_structure'!$A$11:$A$14,0), MATCH(Calculations!P$1,'2018_commission_structure'!$A$11:$I$11,0)),0)</f>
        <v>25500.000000000004</v>
      </c>
      <c r="Q221" s="7">
        <f>IF($H221&gt;J221,MIN($H221-J221,K221-J221)*INDEX('2018_commission_structure'!$A$11:$I$14,MATCH(Calculations!$E221,'2018_commission_structure'!$A$11:$A$14,0), MATCH(Calculations!Q$1,'2018_commission_structure'!$A$11:$I$11,0)),0)</f>
        <v>31500</v>
      </c>
      <c r="R221" s="7">
        <f>IF($H221&gt;K221,MIN($H221-K221,L221-K221)*INDEX('2018_commission_structure'!$A$11:$I$14,MATCH(Calculations!$E221,'2018_commission_structure'!$A$11:$A$14,0), MATCH(Calculations!R$1,'2018_commission_structure'!$A$11:$I$11,0)),0)</f>
        <v>2092.7400000000002</v>
      </c>
      <c r="S221" s="7">
        <f>IF(H221&gt;L221,(H221-L221)*INDEX('2018_commission_structure'!$A$11:$I$14,MATCH(Calculations!$E221,'2018_commission_structure'!$A$11:$A$14,0),MATCH(Calculations!S$1,'2018_commission_structure'!$A$11:$I$11,0)),0)</f>
        <v>0</v>
      </c>
      <c r="T221" s="7">
        <f t="shared" si="32"/>
        <v>137092.74</v>
      </c>
      <c r="U221" s="7">
        <f t="shared" si="33"/>
        <v>196771.74</v>
      </c>
      <c r="V221" s="7">
        <f>MIN(H221,I221)*INDEX('2018_commission_structure'!$A$5:$J$8,MATCH(Calculations!$E221,'2018_commission_structure'!$A$5:$A$8,0),MATCH(Calculations!V$1,'2018_commission_structure'!$A$5:$J$5,0))</f>
        <v>90000</v>
      </c>
      <c r="W221" s="2">
        <f>IF($H221&gt;I221,MIN($H221-I221,J221-I221)*INDEX('2018_commission_structure'!$A$5:$J$8,MATCH(Calculations!$E221,'2018_commission_structure'!$A$5:$A$8,0),MATCH(Calculations!W$1,'2018_commission_structure'!$A$5:$J$5,0)),0)</f>
        <v>27000</v>
      </c>
      <c r="X221" s="2">
        <f>IF($H221&gt;J221,MIN($H221-J221,K221-J221)*INDEX('2018_commission_structure'!$A$5:$J$8,MATCH(Calculations!$E221,'2018_commission_structure'!$A$5:$A$8,0),MATCH(Calculations!X$1,'2018_commission_structure'!$A$5:$J$5,0)),0)</f>
        <v>37500</v>
      </c>
      <c r="Y221" s="2">
        <f>IF($H221&gt;K221,MIN($H221-K221,L221-K221)*INDEX('2018_commission_structure'!$A$5:$J$8,MATCH(Calculations!$E221,'2018_commission_structure'!$A$5:$A$8,0),MATCH(Calculations!Y$1,'2018_commission_structure'!$A$5:$J$5,0)),0)</f>
        <v>2414.6999999999998</v>
      </c>
      <c r="Z221" s="2">
        <f xml:space="preserve"> IF(H221&gt;L221,(H221-L221)*INDEX('2018_commission_structure'!$A$11:$I$14,MATCH(Calculations!$E221,'2018_commission_structure'!$A$11:$A$14,0),MATCH(Calculations!Z$1,'2018_commission_structure'!$A$11:$I$11,0)),0)</f>
        <v>0</v>
      </c>
      <c r="AA221" s="7">
        <f t="shared" si="34"/>
        <v>156914.70000000001</v>
      </c>
      <c r="AB221" s="7">
        <f t="shared" si="35"/>
        <v>216593.7</v>
      </c>
    </row>
    <row r="222" spans="1:28" x14ac:dyDescent="0.25">
      <c r="A222">
        <v>3545427749</v>
      </c>
      <c r="B222" t="s">
        <v>315</v>
      </c>
      <c r="C222" t="s">
        <v>316</v>
      </c>
      <c r="D222" t="str">
        <f>B222&amp;" "&amp;C222</f>
        <v>De Devereux</v>
      </c>
      <c r="E222" t="s">
        <v>7</v>
      </c>
      <c r="F222">
        <v>31483</v>
      </c>
      <c r="G222">
        <f>COUNTIF(deals_closed!D:D,Calculations!A222)</f>
        <v>23</v>
      </c>
      <c r="H222" s="2">
        <f>SUMIF(deals_closed!D:D,Calculations!A222,deals_closed!C:C)</f>
        <v>854322</v>
      </c>
      <c r="I222" s="2">
        <f>VLOOKUP(E222,'2018_commission_structure'!$A$11:$I$14,9,FALSE)</f>
        <v>500000</v>
      </c>
      <c r="J222" s="2">
        <f t="shared" si="27"/>
        <v>625000</v>
      </c>
      <c r="K222" s="2">
        <f t="shared" si="28"/>
        <v>750000</v>
      </c>
      <c r="L222" s="2">
        <f t="shared" si="29"/>
        <v>1000000</v>
      </c>
      <c r="M222" s="6">
        <f t="shared" si="30"/>
        <v>1.7086440000000001</v>
      </c>
      <c r="N222" t="str">
        <f t="shared" si="31"/>
        <v>150-200%</v>
      </c>
      <c r="O222" s="7">
        <f>MIN(I222,H222)*INDEX('2018_commission_structure'!$A$11:$I$14,MATCH(Calculations!$E222,'2018_commission_structure'!$A$11:$A$14,0),MATCH(Calculations!O$1,'2018_commission_structure'!$A$11:$I$11,0))</f>
        <v>50000</v>
      </c>
      <c r="P222" s="7">
        <f>IF($H222&gt;I222,MIN($H222-I222,J222-I222)*INDEX('2018_commission_structure'!$A$11:$I$14,MATCH(Calculations!$E222,'2018_commission_structure'!$A$11:$A$14,0), MATCH(Calculations!P$1,'2018_commission_structure'!$A$11:$I$11,0)),0)</f>
        <v>18750</v>
      </c>
      <c r="Q222" s="7">
        <f>IF($H222&gt;J222,MIN($H222-J222,K222-J222)*INDEX('2018_commission_structure'!$A$11:$I$14,MATCH(Calculations!$E222,'2018_commission_structure'!$A$11:$A$14,0), MATCH(Calculations!Q$1,'2018_commission_structure'!$A$11:$I$11,0)),0)</f>
        <v>22500</v>
      </c>
      <c r="R222" s="7">
        <f>IF($H222&gt;K222,MIN($H222-K222,L222-K222)*INDEX('2018_commission_structure'!$A$11:$I$14,MATCH(Calculations!$E222,'2018_commission_structure'!$A$11:$A$14,0), MATCH(Calculations!R$1,'2018_commission_structure'!$A$11:$I$11,0)),0)</f>
        <v>22950.84</v>
      </c>
      <c r="S222" s="7">
        <f>IF(H222&gt;L222,(H222-L222)*INDEX('2018_commission_structure'!$A$11:$I$14,MATCH(Calculations!$E222,'2018_commission_structure'!$A$11:$A$14,0),MATCH(Calculations!S$1,'2018_commission_structure'!$A$11:$I$11,0)),0)</f>
        <v>0</v>
      </c>
      <c r="T222" s="7">
        <f t="shared" si="32"/>
        <v>114200.84</v>
      </c>
      <c r="U222" s="7">
        <f t="shared" si="33"/>
        <v>145683.84</v>
      </c>
      <c r="V222" s="7">
        <f>MIN(H222,I222)*INDEX('2018_commission_structure'!$A$5:$J$8,MATCH(Calculations!$E222,'2018_commission_structure'!$A$5:$A$8,0),MATCH(Calculations!V$1,'2018_commission_structure'!$A$5:$J$5,0))</f>
        <v>60000</v>
      </c>
      <c r="W222" s="2">
        <f>IF($H222&gt;I222,MIN($H222-I222,J222-I222)*INDEX('2018_commission_structure'!$A$5:$J$8,MATCH(Calculations!$E222,'2018_commission_structure'!$A$5:$A$8,0),MATCH(Calculations!W$1,'2018_commission_structure'!$A$5:$J$5,0)),0)</f>
        <v>21250</v>
      </c>
      <c r="X222" s="2">
        <f>IF($H222&gt;J222,MIN($H222-J222,K222-J222)*INDEX('2018_commission_structure'!$A$5:$J$8,MATCH(Calculations!$E222,'2018_commission_structure'!$A$5:$A$8,0),MATCH(Calculations!X$1,'2018_commission_structure'!$A$5:$J$5,0)),0)</f>
        <v>25000</v>
      </c>
      <c r="Y222" s="2">
        <f>IF($H222&gt;K222,MIN($H222-K222,L222-K222)*INDEX('2018_commission_structure'!$A$5:$J$8,MATCH(Calculations!$E222,'2018_commission_structure'!$A$5:$A$8,0),MATCH(Calculations!Y$1,'2018_commission_structure'!$A$5:$J$5,0)),0)</f>
        <v>22950.84</v>
      </c>
      <c r="Z222" s="2">
        <f xml:space="preserve"> IF(H222&gt;L222,(H222-L222)*INDEX('2018_commission_structure'!$A$11:$I$14,MATCH(Calculations!$E222,'2018_commission_structure'!$A$11:$A$14,0),MATCH(Calculations!Z$1,'2018_commission_structure'!$A$11:$I$11,0)),0)</f>
        <v>0</v>
      </c>
      <c r="AA222" s="7">
        <f t="shared" si="34"/>
        <v>129200.84</v>
      </c>
      <c r="AB222" s="7">
        <f t="shared" si="35"/>
        <v>160683.84</v>
      </c>
    </row>
    <row r="223" spans="1:28" x14ac:dyDescent="0.25">
      <c r="A223">
        <v>7440017404</v>
      </c>
      <c r="B223" t="s">
        <v>868</v>
      </c>
      <c r="C223" t="s">
        <v>869</v>
      </c>
      <c r="D223" t="str">
        <f>B223&amp;" "&amp;C223</f>
        <v>Etan Devericks</v>
      </c>
      <c r="E223" t="s">
        <v>29</v>
      </c>
      <c r="F223">
        <v>55407</v>
      </c>
      <c r="G223">
        <f>COUNTIF(deals_closed!D:D,Calculations!A223)</f>
        <v>20</v>
      </c>
      <c r="H223" s="2">
        <f>SUMIF(deals_closed!D:D,Calculations!A223,deals_closed!C:C)</f>
        <v>621576</v>
      </c>
      <c r="I223" s="2">
        <f>VLOOKUP(E223,'2018_commission_structure'!$A$11:$I$14,9,FALSE)</f>
        <v>600000</v>
      </c>
      <c r="J223" s="2">
        <f t="shared" si="27"/>
        <v>750000</v>
      </c>
      <c r="K223" s="2">
        <f t="shared" si="28"/>
        <v>900000</v>
      </c>
      <c r="L223" s="2">
        <f t="shared" si="29"/>
        <v>1200000</v>
      </c>
      <c r="M223" s="6">
        <f t="shared" si="30"/>
        <v>1.03596</v>
      </c>
      <c r="N223" t="str">
        <f t="shared" si="31"/>
        <v>100-125%</v>
      </c>
      <c r="O223" s="7">
        <f>MIN(I223,H223)*INDEX('2018_commission_structure'!$A$11:$I$14,MATCH(Calculations!$E223,'2018_commission_structure'!$A$11:$A$14,0),MATCH(Calculations!O$1,'2018_commission_structure'!$A$11:$I$11,0))</f>
        <v>78000</v>
      </c>
      <c r="P223" s="7">
        <f>IF($H223&gt;I223,MIN($H223-I223,J223-I223)*INDEX('2018_commission_structure'!$A$11:$I$14,MATCH(Calculations!$E223,'2018_commission_structure'!$A$11:$A$14,0), MATCH(Calculations!P$1,'2018_commission_structure'!$A$11:$I$11,0)),0)</f>
        <v>3667.92</v>
      </c>
      <c r="Q223" s="7">
        <f>IF($H223&gt;J223,MIN($H223-J223,K223-J223)*INDEX('2018_commission_structure'!$A$11:$I$14,MATCH(Calculations!$E223,'2018_commission_structure'!$A$11:$A$14,0), MATCH(Calculations!Q$1,'2018_commission_structure'!$A$11:$I$11,0)),0)</f>
        <v>0</v>
      </c>
      <c r="R223" s="7">
        <f>IF($H223&gt;K223,MIN($H223-K223,L223-K223)*INDEX('2018_commission_structure'!$A$11:$I$14,MATCH(Calculations!$E223,'2018_commission_structure'!$A$11:$A$14,0), MATCH(Calculations!R$1,'2018_commission_structure'!$A$11:$I$11,0)),0)</f>
        <v>0</v>
      </c>
      <c r="S223" s="7">
        <f>IF(H223&gt;L223,(H223-L223)*INDEX('2018_commission_structure'!$A$11:$I$14,MATCH(Calculations!$E223,'2018_commission_structure'!$A$11:$A$14,0),MATCH(Calculations!S$1,'2018_commission_structure'!$A$11:$I$11,0)),0)</f>
        <v>0</v>
      </c>
      <c r="T223" s="7">
        <f t="shared" si="32"/>
        <v>81667.92</v>
      </c>
      <c r="U223" s="7">
        <f t="shared" si="33"/>
        <v>137074.91999999998</v>
      </c>
      <c r="V223" s="7">
        <f>MIN(H223,I223)*INDEX('2018_commission_structure'!$A$5:$J$8,MATCH(Calculations!$E223,'2018_commission_structure'!$A$5:$A$8,0),MATCH(Calculations!V$1,'2018_commission_structure'!$A$5:$J$5,0))</f>
        <v>90000</v>
      </c>
      <c r="W223" s="2">
        <f>IF($H223&gt;I223,MIN($H223-I223,J223-I223)*INDEX('2018_commission_structure'!$A$5:$J$8,MATCH(Calculations!$E223,'2018_commission_structure'!$A$5:$A$8,0),MATCH(Calculations!W$1,'2018_commission_structure'!$A$5:$J$5,0)),0)</f>
        <v>3883.68</v>
      </c>
      <c r="X223" s="2">
        <f>IF($H223&gt;J223,MIN($H223-J223,K223-J223)*INDEX('2018_commission_structure'!$A$5:$J$8,MATCH(Calculations!$E223,'2018_commission_structure'!$A$5:$A$8,0),MATCH(Calculations!X$1,'2018_commission_structure'!$A$5:$J$5,0)),0)</f>
        <v>0</v>
      </c>
      <c r="Y223" s="2">
        <f>IF($H223&gt;K223,MIN($H223-K223,L223-K223)*INDEX('2018_commission_structure'!$A$5:$J$8,MATCH(Calculations!$E223,'2018_commission_structure'!$A$5:$A$8,0),MATCH(Calculations!Y$1,'2018_commission_structure'!$A$5:$J$5,0)),0)</f>
        <v>0</v>
      </c>
      <c r="Z223" s="2">
        <f xml:space="preserve"> IF(H223&gt;L223,(H223-L223)*INDEX('2018_commission_structure'!$A$11:$I$14,MATCH(Calculations!$E223,'2018_commission_structure'!$A$11:$A$14,0),MATCH(Calculations!Z$1,'2018_commission_structure'!$A$11:$I$11,0)),0)</f>
        <v>0</v>
      </c>
      <c r="AA223" s="7">
        <f t="shared" si="34"/>
        <v>93883.68</v>
      </c>
      <c r="AB223" s="7">
        <f t="shared" si="35"/>
        <v>149290.68</v>
      </c>
    </row>
    <row r="224" spans="1:28" x14ac:dyDescent="0.25">
      <c r="A224">
        <v>2804488179</v>
      </c>
      <c r="B224" t="s">
        <v>119</v>
      </c>
      <c r="C224" t="s">
        <v>120</v>
      </c>
      <c r="D224" t="str">
        <f>B224&amp;" "&amp;C224</f>
        <v>Golda Devigne</v>
      </c>
      <c r="E224" t="s">
        <v>10</v>
      </c>
      <c r="F224">
        <v>104547</v>
      </c>
      <c r="G224">
        <f>COUNTIF(deals_closed!D:D,Calculations!A224)</f>
        <v>20</v>
      </c>
      <c r="H224" s="2">
        <f>SUMIF(deals_closed!D:D,Calculations!A224,deals_closed!C:C)</f>
        <v>610321</v>
      </c>
      <c r="I224" s="2">
        <f>VLOOKUP(E224,'2018_commission_structure'!$A$11:$I$14,9,FALSE)</f>
        <v>750000</v>
      </c>
      <c r="J224" s="2">
        <f t="shared" si="27"/>
        <v>937500</v>
      </c>
      <c r="K224" s="2">
        <f t="shared" si="28"/>
        <v>1125000</v>
      </c>
      <c r="L224" s="2">
        <f t="shared" si="29"/>
        <v>1500000</v>
      </c>
      <c r="M224" s="6">
        <f t="shared" si="30"/>
        <v>0.81376133333333334</v>
      </c>
      <c r="N224" t="str">
        <f t="shared" si="31"/>
        <v>0-100%</v>
      </c>
      <c r="O224" s="7">
        <f>MIN(I224,H224)*INDEX('2018_commission_structure'!$A$11:$I$14,MATCH(Calculations!$E224,'2018_commission_structure'!$A$11:$A$14,0),MATCH(Calculations!O$1,'2018_commission_structure'!$A$11:$I$11,0))</f>
        <v>91548.15</v>
      </c>
      <c r="P224" s="7">
        <f>IF($H224&gt;I224,MIN($H224-I224,J224-I224)*INDEX('2018_commission_structure'!$A$11:$I$14,MATCH(Calculations!$E224,'2018_commission_structure'!$A$11:$A$14,0), MATCH(Calculations!P$1,'2018_commission_structure'!$A$11:$I$11,0)),0)</f>
        <v>0</v>
      </c>
      <c r="Q224" s="7">
        <f>IF($H224&gt;J224,MIN($H224-J224,K224-J224)*INDEX('2018_commission_structure'!$A$11:$I$14,MATCH(Calculations!$E224,'2018_commission_structure'!$A$11:$A$14,0), MATCH(Calculations!Q$1,'2018_commission_structure'!$A$11:$I$11,0)),0)</f>
        <v>0</v>
      </c>
      <c r="R224" s="7">
        <f>IF($H224&gt;K224,MIN($H224-K224,L224-K224)*INDEX('2018_commission_structure'!$A$11:$I$14,MATCH(Calculations!$E224,'2018_commission_structure'!$A$11:$A$14,0), MATCH(Calculations!R$1,'2018_commission_structure'!$A$11:$I$11,0)),0)</f>
        <v>0</v>
      </c>
      <c r="S224" s="7">
        <f>IF(H224&gt;L224,(H224-L224)*INDEX('2018_commission_structure'!$A$11:$I$14,MATCH(Calculations!$E224,'2018_commission_structure'!$A$11:$A$14,0),MATCH(Calculations!S$1,'2018_commission_structure'!$A$11:$I$11,0)),0)</f>
        <v>0</v>
      </c>
      <c r="T224" s="7">
        <f t="shared" si="32"/>
        <v>91548.15</v>
      </c>
      <c r="U224" s="7">
        <f t="shared" si="33"/>
        <v>196095.15</v>
      </c>
      <c r="V224" s="7">
        <f>MIN(H224,I224)*INDEX('2018_commission_structure'!$A$5:$J$8,MATCH(Calculations!$E224,'2018_commission_structure'!$A$5:$A$8,0),MATCH(Calculations!V$1,'2018_commission_structure'!$A$5:$J$5,0))</f>
        <v>91548.15</v>
      </c>
      <c r="W224" s="2">
        <f>IF($H224&gt;I224,MIN($H224-I224,J224-I224)*INDEX('2018_commission_structure'!$A$5:$J$8,MATCH(Calculations!$E224,'2018_commission_structure'!$A$5:$A$8,0),MATCH(Calculations!W$1,'2018_commission_structure'!$A$5:$J$5,0)),0)</f>
        <v>0</v>
      </c>
      <c r="X224" s="2">
        <f>IF($H224&gt;J224,MIN($H224-J224,K224-J224)*INDEX('2018_commission_structure'!$A$5:$J$8,MATCH(Calculations!$E224,'2018_commission_structure'!$A$5:$A$8,0),MATCH(Calculations!X$1,'2018_commission_structure'!$A$5:$J$5,0)),0)</f>
        <v>0</v>
      </c>
      <c r="Y224" s="2">
        <f>IF($H224&gt;K224,MIN($H224-K224,L224-K224)*INDEX('2018_commission_structure'!$A$5:$J$8,MATCH(Calculations!$E224,'2018_commission_structure'!$A$5:$A$8,0),MATCH(Calculations!Y$1,'2018_commission_structure'!$A$5:$J$5,0)),0)</f>
        <v>0</v>
      </c>
      <c r="Z224" s="2">
        <f xml:space="preserve"> IF(H224&gt;L224,(H224-L224)*INDEX('2018_commission_structure'!$A$11:$I$14,MATCH(Calculations!$E224,'2018_commission_structure'!$A$11:$A$14,0),MATCH(Calculations!Z$1,'2018_commission_structure'!$A$11:$I$11,0)),0)</f>
        <v>0</v>
      </c>
      <c r="AA224" s="7">
        <f t="shared" si="34"/>
        <v>91548.15</v>
      </c>
      <c r="AB224" s="7">
        <f t="shared" si="35"/>
        <v>196095.15</v>
      </c>
    </row>
    <row r="225" spans="1:28" x14ac:dyDescent="0.25">
      <c r="A225">
        <v>7931128354</v>
      </c>
      <c r="B225" t="s">
        <v>424</v>
      </c>
      <c r="C225" t="s">
        <v>425</v>
      </c>
      <c r="D225" t="str">
        <f>B225&amp;" "&amp;C225</f>
        <v>Emanuel Devita</v>
      </c>
      <c r="E225" t="s">
        <v>29</v>
      </c>
      <c r="F225">
        <v>68190</v>
      </c>
      <c r="G225">
        <f>COUNTIF(deals_closed!D:D,Calculations!A225)</f>
        <v>21</v>
      </c>
      <c r="H225" s="2">
        <f>SUMIF(deals_closed!D:D,Calculations!A225,deals_closed!C:C)</f>
        <v>698195</v>
      </c>
      <c r="I225" s="2">
        <f>VLOOKUP(E225,'2018_commission_structure'!$A$11:$I$14,9,FALSE)</f>
        <v>600000</v>
      </c>
      <c r="J225" s="2">
        <f t="shared" si="27"/>
        <v>750000</v>
      </c>
      <c r="K225" s="2">
        <f t="shared" si="28"/>
        <v>900000</v>
      </c>
      <c r="L225" s="2">
        <f t="shared" si="29"/>
        <v>1200000</v>
      </c>
      <c r="M225" s="6">
        <f t="shared" si="30"/>
        <v>1.1636583333333332</v>
      </c>
      <c r="N225" t="str">
        <f t="shared" si="31"/>
        <v>100-125%</v>
      </c>
      <c r="O225" s="7">
        <f>MIN(I225,H225)*INDEX('2018_commission_structure'!$A$11:$I$14,MATCH(Calculations!$E225,'2018_commission_structure'!$A$11:$A$14,0),MATCH(Calculations!O$1,'2018_commission_structure'!$A$11:$I$11,0))</f>
        <v>78000</v>
      </c>
      <c r="P225" s="7">
        <f>IF($H225&gt;I225,MIN($H225-I225,J225-I225)*INDEX('2018_commission_structure'!$A$11:$I$14,MATCH(Calculations!$E225,'2018_commission_structure'!$A$11:$A$14,0), MATCH(Calculations!P$1,'2018_commission_structure'!$A$11:$I$11,0)),0)</f>
        <v>16693.150000000001</v>
      </c>
      <c r="Q225" s="7">
        <f>IF($H225&gt;J225,MIN($H225-J225,K225-J225)*INDEX('2018_commission_structure'!$A$11:$I$14,MATCH(Calculations!$E225,'2018_commission_structure'!$A$11:$A$14,0), MATCH(Calculations!Q$1,'2018_commission_structure'!$A$11:$I$11,0)),0)</f>
        <v>0</v>
      </c>
      <c r="R225" s="7">
        <f>IF($H225&gt;K225,MIN($H225-K225,L225-K225)*INDEX('2018_commission_structure'!$A$11:$I$14,MATCH(Calculations!$E225,'2018_commission_structure'!$A$11:$A$14,0), MATCH(Calculations!R$1,'2018_commission_structure'!$A$11:$I$11,0)),0)</f>
        <v>0</v>
      </c>
      <c r="S225" s="7">
        <f>IF(H225&gt;L225,(H225-L225)*INDEX('2018_commission_structure'!$A$11:$I$14,MATCH(Calculations!$E225,'2018_commission_structure'!$A$11:$A$14,0),MATCH(Calculations!S$1,'2018_commission_structure'!$A$11:$I$11,0)),0)</f>
        <v>0</v>
      </c>
      <c r="T225" s="7">
        <f t="shared" si="32"/>
        <v>94693.15</v>
      </c>
      <c r="U225" s="7">
        <f t="shared" si="33"/>
        <v>162883.15</v>
      </c>
      <c r="V225" s="7">
        <f>MIN(H225,I225)*INDEX('2018_commission_structure'!$A$5:$J$8,MATCH(Calculations!$E225,'2018_commission_structure'!$A$5:$A$8,0),MATCH(Calculations!V$1,'2018_commission_structure'!$A$5:$J$5,0))</f>
        <v>90000</v>
      </c>
      <c r="W225" s="2">
        <f>IF($H225&gt;I225,MIN($H225-I225,J225-I225)*INDEX('2018_commission_structure'!$A$5:$J$8,MATCH(Calculations!$E225,'2018_commission_structure'!$A$5:$A$8,0),MATCH(Calculations!W$1,'2018_commission_structure'!$A$5:$J$5,0)),0)</f>
        <v>17675.099999999999</v>
      </c>
      <c r="X225" s="2">
        <f>IF($H225&gt;J225,MIN($H225-J225,K225-J225)*INDEX('2018_commission_structure'!$A$5:$J$8,MATCH(Calculations!$E225,'2018_commission_structure'!$A$5:$A$8,0),MATCH(Calculations!X$1,'2018_commission_structure'!$A$5:$J$5,0)),0)</f>
        <v>0</v>
      </c>
      <c r="Y225" s="2">
        <f>IF($H225&gt;K225,MIN($H225-K225,L225-K225)*INDEX('2018_commission_structure'!$A$5:$J$8,MATCH(Calculations!$E225,'2018_commission_structure'!$A$5:$A$8,0),MATCH(Calculations!Y$1,'2018_commission_structure'!$A$5:$J$5,0)),0)</f>
        <v>0</v>
      </c>
      <c r="Z225" s="2">
        <f xml:space="preserve"> IF(H225&gt;L225,(H225-L225)*INDEX('2018_commission_structure'!$A$11:$I$14,MATCH(Calculations!$E225,'2018_commission_structure'!$A$11:$A$14,0),MATCH(Calculations!Z$1,'2018_commission_structure'!$A$11:$I$11,0)),0)</f>
        <v>0</v>
      </c>
      <c r="AA225" s="7">
        <f t="shared" si="34"/>
        <v>107675.1</v>
      </c>
      <c r="AB225" s="7">
        <f t="shared" si="35"/>
        <v>175865.1</v>
      </c>
    </row>
    <row r="226" spans="1:28" x14ac:dyDescent="0.25">
      <c r="A226">
        <v>1664426442</v>
      </c>
      <c r="B226" t="s">
        <v>1609</v>
      </c>
      <c r="C226" t="s">
        <v>1610</v>
      </c>
      <c r="D226" t="str">
        <f>B226&amp;" "&amp;C226</f>
        <v>Saleem Dewdney</v>
      </c>
      <c r="E226" t="s">
        <v>7</v>
      </c>
      <c r="F226">
        <v>57195</v>
      </c>
      <c r="G226">
        <f>COUNTIF(deals_closed!D:D,Calculations!A226)</f>
        <v>17</v>
      </c>
      <c r="H226" s="2">
        <f>SUMIF(deals_closed!D:D,Calculations!A226,deals_closed!C:C)</f>
        <v>601920</v>
      </c>
      <c r="I226" s="2">
        <f>VLOOKUP(E226,'2018_commission_structure'!$A$11:$I$14,9,FALSE)</f>
        <v>500000</v>
      </c>
      <c r="J226" s="2">
        <f t="shared" si="27"/>
        <v>625000</v>
      </c>
      <c r="K226" s="2">
        <f t="shared" si="28"/>
        <v>750000</v>
      </c>
      <c r="L226" s="2">
        <f t="shared" si="29"/>
        <v>1000000</v>
      </c>
      <c r="M226" s="6">
        <f t="shared" si="30"/>
        <v>1.20384</v>
      </c>
      <c r="N226" t="str">
        <f t="shared" si="31"/>
        <v>100-125%</v>
      </c>
      <c r="O226" s="7">
        <f>MIN(I226,H226)*INDEX('2018_commission_structure'!$A$11:$I$14,MATCH(Calculations!$E226,'2018_commission_structure'!$A$11:$A$14,0),MATCH(Calculations!O$1,'2018_commission_structure'!$A$11:$I$11,0))</f>
        <v>50000</v>
      </c>
      <c r="P226" s="7">
        <f>IF($H226&gt;I226,MIN($H226-I226,J226-I226)*INDEX('2018_commission_structure'!$A$11:$I$14,MATCH(Calculations!$E226,'2018_commission_structure'!$A$11:$A$14,0), MATCH(Calculations!P$1,'2018_commission_structure'!$A$11:$I$11,0)),0)</f>
        <v>15288</v>
      </c>
      <c r="Q226" s="7">
        <f>IF($H226&gt;J226,MIN($H226-J226,K226-J226)*INDEX('2018_commission_structure'!$A$11:$I$14,MATCH(Calculations!$E226,'2018_commission_structure'!$A$11:$A$14,0), MATCH(Calculations!Q$1,'2018_commission_structure'!$A$11:$I$11,0)),0)</f>
        <v>0</v>
      </c>
      <c r="R226" s="7">
        <f>IF($H226&gt;K226,MIN($H226-K226,L226-K226)*INDEX('2018_commission_structure'!$A$11:$I$14,MATCH(Calculations!$E226,'2018_commission_structure'!$A$11:$A$14,0), MATCH(Calculations!R$1,'2018_commission_structure'!$A$11:$I$11,0)),0)</f>
        <v>0</v>
      </c>
      <c r="S226" s="7">
        <f>IF(H226&gt;L226,(H226-L226)*INDEX('2018_commission_structure'!$A$11:$I$14,MATCH(Calculations!$E226,'2018_commission_structure'!$A$11:$A$14,0),MATCH(Calculations!S$1,'2018_commission_structure'!$A$11:$I$11,0)),0)</f>
        <v>0</v>
      </c>
      <c r="T226" s="7">
        <f t="shared" si="32"/>
        <v>65288</v>
      </c>
      <c r="U226" s="7">
        <f t="shared" si="33"/>
        <v>122483</v>
      </c>
      <c r="V226" s="7">
        <f>MIN(H226,I226)*INDEX('2018_commission_structure'!$A$5:$J$8,MATCH(Calculations!$E226,'2018_commission_structure'!$A$5:$A$8,0),MATCH(Calculations!V$1,'2018_commission_structure'!$A$5:$J$5,0))</f>
        <v>60000</v>
      </c>
      <c r="W226" s="2">
        <f>IF($H226&gt;I226,MIN($H226-I226,J226-I226)*INDEX('2018_commission_structure'!$A$5:$J$8,MATCH(Calculations!$E226,'2018_commission_structure'!$A$5:$A$8,0),MATCH(Calculations!W$1,'2018_commission_structure'!$A$5:$J$5,0)),0)</f>
        <v>17326.400000000001</v>
      </c>
      <c r="X226" s="2">
        <f>IF($H226&gt;J226,MIN($H226-J226,K226-J226)*INDEX('2018_commission_structure'!$A$5:$J$8,MATCH(Calculations!$E226,'2018_commission_structure'!$A$5:$A$8,0),MATCH(Calculations!X$1,'2018_commission_structure'!$A$5:$J$5,0)),0)</f>
        <v>0</v>
      </c>
      <c r="Y226" s="2">
        <f>IF($H226&gt;K226,MIN($H226-K226,L226-K226)*INDEX('2018_commission_structure'!$A$5:$J$8,MATCH(Calculations!$E226,'2018_commission_structure'!$A$5:$A$8,0),MATCH(Calculations!Y$1,'2018_commission_structure'!$A$5:$J$5,0)),0)</f>
        <v>0</v>
      </c>
      <c r="Z226" s="2">
        <f xml:space="preserve"> IF(H226&gt;L226,(H226-L226)*INDEX('2018_commission_structure'!$A$11:$I$14,MATCH(Calculations!$E226,'2018_commission_structure'!$A$11:$A$14,0),MATCH(Calculations!Z$1,'2018_commission_structure'!$A$11:$I$11,0)),0)</f>
        <v>0</v>
      </c>
      <c r="AA226" s="7">
        <f t="shared" si="34"/>
        <v>77326.399999999994</v>
      </c>
      <c r="AB226" s="7">
        <f t="shared" si="35"/>
        <v>134521.4</v>
      </c>
    </row>
    <row r="227" spans="1:28" x14ac:dyDescent="0.25">
      <c r="A227">
        <v>2297168497</v>
      </c>
      <c r="B227" t="s">
        <v>398</v>
      </c>
      <c r="C227" t="s">
        <v>399</v>
      </c>
      <c r="D227" t="str">
        <f>B227&amp;" "&amp;C227</f>
        <v>Gris Dewsnap</v>
      </c>
      <c r="E227" t="s">
        <v>7</v>
      </c>
      <c r="F227">
        <v>52584</v>
      </c>
      <c r="G227">
        <f>COUNTIF(deals_closed!D:D,Calculations!A227)</f>
        <v>17</v>
      </c>
      <c r="H227" s="2">
        <f>SUMIF(deals_closed!D:D,Calculations!A227,deals_closed!C:C)</f>
        <v>596801</v>
      </c>
      <c r="I227" s="2">
        <f>VLOOKUP(E227,'2018_commission_structure'!$A$11:$I$14,9,FALSE)</f>
        <v>500000</v>
      </c>
      <c r="J227" s="2">
        <f t="shared" si="27"/>
        <v>625000</v>
      </c>
      <c r="K227" s="2">
        <f t="shared" si="28"/>
        <v>750000</v>
      </c>
      <c r="L227" s="2">
        <f t="shared" si="29"/>
        <v>1000000</v>
      </c>
      <c r="M227" s="6">
        <f t="shared" si="30"/>
        <v>1.1936020000000001</v>
      </c>
      <c r="N227" t="str">
        <f t="shared" si="31"/>
        <v>100-125%</v>
      </c>
      <c r="O227" s="7">
        <f>MIN(I227,H227)*INDEX('2018_commission_structure'!$A$11:$I$14,MATCH(Calculations!$E227,'2018_commission_structure'!$A$11:$A$14,0),MATCH(Calculations!O$1,'2018_commission_structure'!$A$11:$I$11,0))</f>
        <v>50000</v>
      </c>
      <c r="P227" s="7">
        <f>IF($H227&gt;I227,MIN($H227-I227,J227-I227)*INDEX('2018_commission_structure'!$A$11:$I$14,MATCH(Calculations!$E227,'2018_commission_structure'!$A$11:$A$14,0), MATCH(Calculations!P$1,'2018_commission_structure'!$A$11:$I$11,0)),0)</f>
        <v>14520.15</v>
      </c>
      <c r="Q227" s="7">
        <f>IF($H227&gt;J227,MIN($H227-J227,K227-J227)*INDEX('2018_commission_structure'!$A$11:$I$14,MATCH(Calculations!$E227,'2018_commission_structure'!$A$11:$A$14,0), MATCH(Calculations!Q$1,'2018_commission_structure'!$A$11:$I$11,0)),0)</f>
        <v>0</v>
      </c>
      <c r="R227" s="7">
        <f>IF($H227&gt;K227,MIN($H227-K227,L227-K227)*INDEX('2018_commission_structure'!$A$11:$I$14,MATCH(Calculations!$E227,'2018_commission_structure'!$A$11:$A$14,0), MATCH(Calculations!R$1,'2018_commission_structure'!$A$11:$I$11,0)),0)</f>
        <v>0</v>
      </c>
      <c r="S227" s="7">
        <f>IF(H227&gt;L227,(H227-L227)*INDEX('2018_commission_structure'!$A$11:$I$14,MATCH(Calculations!$E227,'2018_commission_structure'!$A$11:$A$14,0),MATCH(Calculations!S$1,'2018_commission_structure'!$A$11:$I$11,0)),0)</f>
        <v>0</v>
      </c>
      <c r="T227" s="7">
        <f t="shared" si="32"/>
        <v>64520.15</v>
      </c>
      <c r="U227" s="7">
        <f t="shared" si="33"/>
        <v>117104.15</v>
      </c>
      <c r="V227" s="7">
        <f>MIN(H227,I227)*INDEX('2018_commission_structure'!$A$5:$J$8,MATCH(Calculations!$E227,'2018_commission_structure'!$A$5:$A$8,0),MATCH(Calculations!V$1,'2018_commission_structure'!$A$5:$J$5,0))</f>
        <v>60000</v>
      </c>
      <c r="W227" s="2">
        <f>IF($H227&gt;I227,MIN($H227-I227,J227-I227)*INDEX('2018_commission_structure'!$A$5:$J$8,MATCH(Calculations!$E227,'2018_commission_structure'!$A$5:$A$8,0),MATCH(Calculations!W$1,'2018_commission_structure'!$A$5:$J$5,0)),0)</f>
        <v>16456.170000000002</v>
      </c>
      <c r="X227" s="2">
        <f>IF($H227&gt;J227,MIN($H227-J227,K227-J227)*INDEX('2018_commission_structure'!$A$5:$J$8,MATCH(Calculations!$E227,'2018_commission_structure'!$A$5:$A$8,0),MATCH(Calculations!X$1,'2018_commission_structure'!$A$5:$J$5,0)),0)</f>
        <v>0</v>
      </c>
      <c r="Y227" s="2">
        <f>IF($H227&gt;K227,MIN($H227-K227,L227-K227)*INDEX('2018_commission_structure'!$A$5:$J$8,MATCH(Calculations!$E227,'2018_commission_structure'!$A$5:$A$8,0),MATCH(Calculations!Y$1,'2018_commission_structure'!$A$5:$J$5,0)),0)</f>
        <v>0</v>
      </c>
      <c r="Z227" s="2">
        <f xml:space="preserve"> IF(H227&gt;L227,(H227-L227)*INDEX('2018_commission_structure'!$A$11:$I$14,MATCH(Calculations!$E227,'2018_commission_structure'!$A$11:$A$14,0),MATCH(Calculations!Z$1,'2018_commission_structure'!$A$11:$I$11,0)),0)</f>
        <v>0</v>
      </c>
      <c r="AA227" s="7">
        <f t="shared" si="34"/>
        <v>76456.17</v>
      </c>
      <c r="AB227" s="7">
        <f t="shared" si="35"/>
        <v>129040.17</v>
      </c>
    </row>
    <row r="228" spans="1:28" x14ac:dyDescent="0.25">
      <c r="A228">
        <v>813832926</v>
      </c>
      <c r="B228" t="s">
        <v>952</v>
      </c>
      <c r="C228" t="s">
        <v>953</v>
      </c>
      <c r="D228" t="str">
        <f>B228&amp;" "&amp;C228</f>
        <v>Corene Diamant</v>
      </c>
      <c r="E228" t="s">
        <v>29</v>
      </c>
      <c r="F228">
        <v>62260</v>
      </c>
      <c r="G228">
        <f>COUNTIF(deals_closed!D:D,Calculations!A228)</f>
        <v>19</v>
      </c>
      <c r="H228" s="2">
        <f>SUMIF(deals_closed!D:D,Calculations!A228,deals_closed!C:C)</f>
        <v>674298</v>
      </c>
      <c r="I228" s="2">
        <f>VLOOKUP(E228,'2018_commission_structure'!$A$11:$I$14,9,FALSE)</f>
        <v>600000</v>
      </c>
      <c r="J228" s="2">
        <f t="shared" si="27"/>
        <v>750000</v>
      </c>
      <c r="K228" s="2">
        <f t="shared" si="28"/>
        <v>900000</v>
      </c>
      <c r="L228" s="2">
        <f t="shared" si="29"/>
        <v>1200000</v>
      </c>
      <c r="M228" s="6">
        <f t="shared" si="30"/>
        <v>1.1238300000000001</v>
      </c>
      <c r="N228" t="str">
        <f t="shared" si="31"/>
        <v>100-125%</v>
      </c>
      <c r="O228" s="7">
        <f>MIN(I228,H228)*INDEX('2018_commission_structure'!$A$11:$I$14,MATCH(Calculations!$E228,'2018_commission_structure'!$A$11:$A$14,0),MATCH(Calculations!O$1,'2018_commission_structure'!$A$11:$I$11,0))</f>
        <v>78000</v>
      </c>
      <c r="P228" s="7">
        <f>IF($H228&gt;I228,MIN($H228-I228,J228-I228)*INDEX('2018_commission_structure'!$A$11:$I$14,MATCH(Calculations!$E228,'2018_commission_structure'!$A$11:$A$14,0), MATCH(Calculations!P$1,'2018_commission_structure'!$A$11:$I$11,0)),0)</f>
        <v>12630.660000000002</v>
      </c>
      <c r="Q228" s="7">
        <f>IF($H228&gt;J228,MIN($H228-J228,K228-J228)*INDEX('2018_commission_structure'!$A$11:$I$14,MATCH(Calculations!$E228,'2018_commission_structure'!$A$11:$A$14,0), MATCH(Calculations!Q$1,'2018_commission_structure'!$A$11:$I$11,0)),0)</f>
        <v>0</v>
      </c>
      <c r="R228" s="7">
        <f>IF($H228&gt;K228,MIN($H228-K228,L228-K228)*INDEX('2018_commission_structure'!$A$11:$I$14,MATCH(Calculations!$E228,'2018_commission_structure'!$A$11:$A$14,0), MATCH(Calculations!R$1,'2018_commission_structure'!$A$11:$I$11,0)),0)</f>
        <v>0</v>
      </c>
      <c r="S228" s="7">
        <f>IF(H228&gt;L228,(H228-L228)*INDEX('2018_commission_structure'!$A$11:$I$14,MATCH(Calculations!$E228,'2018_commission_structure'!$A$11:$A$14,0),MATCH(Calculations!S$1,'2018_commission_structure'!$A$11:$I$11,0)),0)</f>
        <v>0</v>
      </c>
      <c r="T228" s="7">
        <f t="shared" si="32"/>
        <v>90630.66</v>
      </c>
      <c r="U228" s="7">
        <f t="shared" si="33"/>
        <v>152890.66</v>
      </c>
      <c r="V228" s="7">
        <f>MIN(H228,I228)*INDEX('2018_commission_structure'!$A$5:$J$8,MATCH(Calculations!$E228,'2018_commission_structure'!$A$5:$A$8,0),MATCH(Calculations!V$1,'2018_commission_structure'!$A$5:$J$5,0))</f>
        <v>90000</v>
      </c>
      <c r="W228" s="2">
        <f>IF($H228&gt;I228,MIN($H228-I228,J228-I228)*INDEX('2018_commission_structure'!$A$5:$J$8,MATCH(Calculations!$E228,'2018_commission_structure'!$A$5:$A$8,0),MATCH(Calculations!W$1,'2018_commission_structure'!$A$5:$J$5,0)),0)</f>
        <v>13373.64</v>
      </c>
      <c r="X228" s="2">
        <f>IF($H228&gt;J228,MIN($H228-J228,K228-J228)*INDEX('2018_commission_structure'!$A$5:$J$8,MATCH(Calculations!$E228,'2018_commission_structure'!$A$5:$A$8,0),MATCH(Calculations!X$1,'2018_commission_structure'!$A$5:$J$5,0)),0)</f>
        <v>0</v>
      </c>
      <c r="Y228" s="2">
        <f>IF($H228&gt;K228,MIN($H228-K228,L228-K228)*INDEX('2018_commission_structure'!$A$5:$J$8,MATCH(Calculations!$E228,'2018_commission_structure'!$A$5:$A$8,0),MATCH(Calculations!Y$1,'2018_commission_structure'!$A$5:$J$5,0)),0)</f>
        <v>0</v>
      </c>
      <c r="Z228" s="2">
        <f xml:space="preserve"> IF(H228&gt;L228,(H228-L228)*INDEX('2018_commission_structure'!$A$11:$I$14,MATCH(Calculations!$E228,'2018_commission_structure'!$A$11:$A$14,0),MATCH(Calculations!Z$1,'2018_commission_structure'!$A$11:$I$11,0)),0)</f>
        <v>0</v>
      </c>
      <c r="AA228" s="7">
        <f t="shared" si="34"/>
        <v>103373.64</v>
      </c>
      <c r="AB228" s="7">
        <f t="shared" si="35"/>
        <v>165633.64000000001</v>
      </c>
    </row>
    <row r="229" spans="1:28" x14ac:dyDescent="0.25">
      <c r="A229">
        <v>7166957409</v>
      </c>
      <c r="B229" t="s">
        <v>1912</v>
      </c>
      <c r="C229" t="s">
        <v>1913</v>
      </c>
      <c r="D229" t="str">
        <f>B229&amp;" "&amp;C229</f>
        <v>Chen Dicker</v>
      </c>
      <c r="E229" t="s">
        <v>10</v>
      </c>
      <c r="F229">
        <v>113321</v>
      </c>
      <c r="G229">
        <f>COUNTIF(deals_closed!D:D,Calculations!A229)</f>
        <v>14</v>
      </c>
      <c r="H229" s="2">
        <f>SUMIF(deals_closed!D:D,Calculations!A229,deals_closed!C:C)</f>
        <v>489227</v>
      </c>
      <c r="I229" s="2">
        <f>VLOOKUP(E229,'2018_commission_structure'!$A$11:$I$14,9,FALSE)</f>
        <v>750000</v>
      </c>
      <c r="J229" s="2">
        <f t="shared" si="27"/>
        <v>937500</v>
      </c>
      <c r="K229" s="2">
        <f t="shared" si="28"/>
        <v>1125000</v>
      </c>
      <c r="L229" s="2">
        <f t="shared" si="29"/>
        <v>1500000</v>
      </c>
      <c r="M229" s="6">
        <f t="shared" si="30"/>
        <v>0.6523026666666667</v>
      </c>
      <c r="N229" t="str">
        <f t="shared" si="31"/>
        <v>0-100%</v>
      </c>
      <c r="O229" s="7">
        <f>MIN(I229,H229)*INDEX('2018_commission_structure'!$A$11:$I$14,MATCH(Calculations!$E229,'2018_commission_structure'!$A$11:$A$14,0),MATCH(Calculations!O$1,'2018_commission_structure'!$A$11:$I$11,0))</f>
        <v>73384.05</v>
      </c>
      <c r="P229" s="7">
        <f>IF($H229&gt;I229,MIN($H229-I229,J229-I229)*INDEX('2018_commission_structure'!$A$11:$I$14,MATCH(Calculations!$E229,'2018_commission_structure'!$A$11:$A$14,0), MATCH(Calculations!P$1,'2018_commission_structure'!$A$11:$I$11,0)),0)</f>
        <v>0</v>
      </c>
      <c r="Q229" s="7">
        <f>IF($H229&gt;J229,MIN($H229-J229,K229-J229)*INDEX('2018_commission_structure'!$A$11:$I$14,MATCH(Calculations!$E229,'2018_commission_structure'!$A$11:$A$14,0), MATCH(Calculations!Q$1,'2018_commission_structure'!$A$11:$I$11,0)),0)</f>
        <v>0</v>
      </c>
      <c r="R229" s="7">
        <f>IF($H229&gt;K229,MIN($H229-K229,L229-K229)*INDEX('2018_commission_structure'!$A$11:$I$14,MATCH(Calculations!$E229,'2018_commission_structure'!$A$11:$A$14,0), MATCH(Calculations!R$1,'2018_commission_structure'!$A$11:$I$11,0)),0)</f>
        <v>0</v>
      </c>
      <c r="S229" s="7">
        <f>IF(H229&gt;L229,(H229-L229)*INDEX('2018_commission_structure'!$A$11:$I$14,MATCH(Calculations!$E229,'2018_commission_structure'!$A$11:$A$14,0),MATCH(Calculations!S$1,'2018_commission_structure'!$A$11:$I$11,0)),0)</f>
        <v>0</v>
      </c>
      <c r="T229" s="7">
        <f t="shared" si="32"/>
        <v>73384.05</v>
      </c>
      <c r="U229" s="7">
        <f t="shared" si="33"/>
        <v>186705.05</v>
      </c>
      <c r="V229" s="7">
        <f>MIN(H229,I229)*INDEX('2018_commission_structure'!$A$5:$J$8,MATCH(Calculations!$E229,'2018_commission_structure'!$A$5:$A$8,0),MATCH(Calculations!V$1,'2018_commission_structure'!$A$5:$J$5,0))</f>
        <v>73384.05</v>
      </c>
      <c r="W229" s="2">
        <f>IF($H229&gt;I229,MIN($H229-I229,J229-I229)*INDEX('2018_commission_structure'!$A$5:$J$8,MATCH(Calculations!$E229,'2018_commission_structure'!$A$5:$A$8,0),MATCH(Calculations!W$1,'2018_commission_structure'!$A$5:$J$5,0)),0)</f>
        <v>0</v>
      </c>
      <c r="X229" s="2">
        <f>IF($H229&gt;J229,MIN($H229-J229,K229-J229)*INDEX('2018_commission_structure'!$A$5:$J$8,MATCH(Calculations!$E229,'2018_commission_structure'!$A$5:$A$8,0),MATCH(Calculations!X$1,'2018_commission_structure'!$A$5:$J$5,0)),0)</f>
        <v>0</v>
      </c>
      <c r="Y229" s="2">
        <f>IF($H229&gt;K229,MIN($H229-K229,L229-K229)*INDEX('2018_commission_structure'!$A$5:$J$8,MATCH(Calculations!$E229,'2018_commission_structure'!$A$5:$A$8,0),MATCH(Calculations!Y$1,'2018_commission_structure'!$A$5:$J$5,0)),0)</f>
        <v>0</v>
      </c>
      <c r="Z229" s="2">
        <f xml:space="preserve"> IF(H229&gt;L229,(H229-L229)*INDEX('2018_commission_structure'!$A$11:$I$14,MATCH(Calculations!$E229,'2018_commission_structure'!$A$11:$A$14,0),MATCH(Calculations!Z$1,'2018_commission_structure'!$A$11:$I$11,0)),0)</f>
        <v>0</v>
      </c>
      <c r="AA229" s="7">
        <f t="shared" si="34"/>
        <v>73384.05</v>
      </c>
      <c r="AB229" s="7">
        <f t="shared" si="35"/>
        <v>186705.05</v>
      </c>
    </row>
    <row r="230" spans="1:28" x14ac:dyDescent="0.25">
      <c r="A230">
        <v>7769010411</v>
      </c>
      <c r="B230" t="s">
        <v>228</v>
      </c>
      <c r="C230" t="s">
        <v>229</v>
      </c>
      <c r="D230" t="str">
        <f>B230&amp;" "&amp;C230</f>
        <v>Robbyn Didball</v>
      </c>
      <c r="E230" t="s">
        <v>29</v>
      </c>
      <c r="F230">
        <v>67024</v>
      </c>
      <c r="G230">
        <f>COUNTIF(deals_closed!D:D,Calculations!A230)</f>
        <v>21</v>
      </c>
      <c r="H230" s="2">
        <f>SUMIF(deals_closed!D:D,Calculations!A230,deals_closed!C:C)</f>
        <v>809800</v>
      </c>
      <c r="I230" s="2">
        <f>VLOOKUP(E230,'2018_commission_structure'!$A$11:$I$14,9,FALSE)</f>
        <v>600000</v>
      </c>
      <c r="J230" s="2">
        <f t="shared" si="27"/>
        <v>750000</v>
      </c>
      <c r="K230" s="2">
        <f t="shared" si="28"/>
        <v>900000</v>
      </c>
      <c r="L230" s="2">
        <f t="shared" si="29"/>
        <v>1200000</v>
      </c>
      <c r="M230" s="6">
        <f t="shared" si="30"/>
        <v>1.3496666666666666</v>
      </c>
      <c r="N230" t="str">
        <f t="shared" si="31"/>
        <v>125-150%</v>
      </c>
      <c r="O230" s="7">
        <f>MIN(I230,H230)*INDEX('2018_commission_structure'!$A$11:$I$14,MATCH(Calculations!$E230,'2018_commission_structure'!$A$11:$A$14,0),MATCH(Calculations!O$1,'2018_commission_structure'!$A$11:$I$11,0))</f>
        <v>78000</v>
      </c>
      <c r="P230" s="7">
        <f>IF($H230&gt;I230,MIN($H230-I230,J230-I230)*INDEX('2018_commission_structure'!$A$11:$I$14,MATCH(Calculations!$E230,'2018_commission_structure'!$A$11:$A$14,0), MATCH(Calculations!P$1,'2018_commission_structure'!$A$11:$I$11,0)),0)</f>
        <v>25500.000000000004</v>
      </c>
      <c r="Q230" s="7">
        <f>IF($H230&gt;J230,MIN($H230-J230,K230-J230)*INDEX('2018_commission_structure'!$A$11:$I$14,MATCH(Calculations!$E230,'2018_commission_structure'!$A$11:$A$14,0), MATCH(Calculations!Q$1,'2018_commission_structure'!$A$11:$I$11,0)),0)</f>
        <v>12558</v>
      </c>
      <c r="R230" s="7">
        <f>IF($H230&gt;K230,MIN($H230-K230,L230-K230)*INDEX('2018_commission_structure'!$A$11:$I$14,MATCH(Calculations!$E230,'2018_commission_structure'!$A$11:$A$14,0), MATCH(Calculations!R$1,'2018_commission_structure'!$A$11:$I$11,0)),0)</f>
        <v>0</v>
      </c>
      <c r="S230" s="7">
        <f>IF(H230&gt;L230,(H230-L230)*INDEX('2018_commission_structure'!$A$11:$I$14,MATCH(Calculations!$E230,'2018_commission_structure'!$A$11:$A$14,0),MATCH(Calculations!S$1,'2018_commission_structure'!$A$11:$I$11,0)),0)</f>
        <v>0</v>
      </c>
      <c r="T230" s="7">
        <f t="shared" si="32"/>
        <v>116058</v>
      </c>
      <c r="U230" s="7">
        <f t="shared" si="33"/>
        <v>183082</v>
      </c>
      <c r="V230" s="7">
        <f>MIN(H230,I230)*INDEX('2018_commission_structure'!$A$5:$J$8,MATCH(Calculations!$E230,'2018_commission_structure'!$A$5:$A$8,0),MATCH(Calculations!V$1,'2018_commission_structure'!$A$5:$J$5,0))</f>
        <v>90000</v>
      </c>
      <c r="W230" s="2">
        <f>IF($H230&gt;I230,MIN($H230-I230,J230-I230)*INDEX('2018_commission_structure'!$A$5:$J$8,MATCH(Calculations!$E230,'2018_commission_structure'!$A$5:$A$8,0),MATCH(Calculations!W$1,'2018_commission_structure'!$A$5:$J$5,0)),0)</f>
        <v>27000</v>
      </c>
      <c r="X230" s="2">
        <f>IF($H230&gt;J230,MIN($H230-J230,K230-J230)*INDEX('2018_commission_structure'!$A$5:$J$8,MATCH(Calculations!$E230,'2018_commission_structure'!$A$5:$A$8,0),MATCH(Calculations!X$1,'2018_commission_structure'!$A$5:$J$5,0)),0)</f>
        <v>14950</v>
      </c>
      <c r="Y230" s="2">
        <f>IF($H230&gt;K230,MIN($H230-K230,L230-K230)*INDEX('2018_commission_structure'!$A$5:$J$8,MATCH(Calculations!$E230,'2018_commission_structure'!$A$5:$A$8,0),MATCH(Calculations!Y$1,'2018_commission_structure'!$A$5:$J$5,0)),0)</f>
        <v>0</v>
      </c>
      <c r="Z230" s="2">
        <f xml:space="preserve"> IF(H230&gt;L230,(H230-L230)*INDEX('2018_commission_structure'!$A$11:$I$14,MATCH(Calculations!$E230,'2018_commission_structure'!$A$11:$A$14,0),MATCH(Calculations!Z$1,'2018_commission_structure'!$A$11:$I$11,0)),0)</f>
        <v>0</v>
      </c>
      <c r="AA230" s="7">
        <f t="shared" si="34"/>
        <v>131950</v>
      </c>
      <c r="AB230" s="7">
        <f t="shared" si="35"/>
        <v>198974</v>
      </c>
    </row>
    <row r="231" spans="1:28" x14ac:dyDescent="0.25">
      <c r="A231">
        <v>2306669465</v>
      </c>
      <c r="B231" t="s">
        <v>494</v>
      </c>
      <c r="C231" t="s">
        <v>229</v>
      </c>
      <c r="D231" t="str">
        <f>B231&amp;" "&amp;C231</f>
        <v>Grazia Didball</v>
      </c>
      <c r="E231" t="s">
        <v>29</v>
      </c>
      <c r="F231">
        <v>50762</v>
      </c>
      <c r="G231">
        <f>COUNTIF(deals_closed!D:D,Calculations!A231)</f>
        <v>15</v>
      </c>
      <c r="H231" s="2">
        <f>SUMIF(deals_closed!D:D,Calculations!A231,deals_closed!C:C)</f>
        <v>481035</v>
      </c>
      <c r="I231" s="2">
        <f>VLOOKUP(E231,'2018_commission_structure'!$A$11:$I$14,9,FALSE)</f>
        <v>600000</v>
      </c>
      <c r="J231" s="2">
        <f t="shared" si="27"/>
        <v>750000</v>
      </c>
      <c r="K231" s="2">
        <f t="shared" si="28"/>
        <v>900000</v>
      </c>
      <c r="L231" s="2">
        <f t="shared" si="29"/>
        <v>1200000</v>
      </c>
      <c r="M231" s="6">
        <f t="shared" si="30"/>
        <v>0.80172500000000002</v>
      </c>
      <c r="N231" t="str">
        <f t="shared" si="31"/>
        <v>0-100%</v>
      </c>
      <c r="O231" s="7">
        <f>MIN(I231,H231)*INDEX('2018_commission_structure'!$A$11:$I$14,MATCH(Calculations!$E231,'2018_commission_structure'!$A$11:$A$14,0),MATCH(Calculations!O$1,'2018_commission_structure'!$A$11:$I$11,0))</f>
        <v>62534.55</v>
      </c>
      <c r="P231" s="7">
        <f>IF($H231&gt;I231,MIN($H231-I231,J231-I231)*INDEX('2018_commission_structure'!$A$11:$I$14,MATCH(Calculations!$E231,'2018_commission_structure'!$A$11:$A$14,0), MATCH(Calculations!P$1,'2018_commission_structure'!$A$11:$I$11,0)),0)</f>
        <v>0</v>
      </c>
      <c r="Q231" s="7">
        <f>IF($H231&gt;J231,MIN($H231-J231,K231-J231)*INDEX('2018_commission_structure'!$A$11:$I$14,MATCH(Calculations!$E231,'2018_commission_structure'!$A$11:$A$14,0), MATCH(Calculations!Q$1,'2018_commission_structure'!$A$11:$I$11,0)),0)</f>
        <v>0</v>
      </c>
      <c r="R231" s="7">
        <f>IF($H231&gt;K231,MIN($H231-K231,L231-K231)*INDEX('2018_commission_structure'!$A$11:$I$14,MATCH(Calculations!$E231,'2018_commission_structure'!$A$11:$A$14,0), MATCH(Calculations!R$1,'2018_commission_structure'!$A$11:$I$11,0)),0)</f>
        <v>0</v>
      </c>
      <c r="S231" s="7">
        <f>IF(H231&gt;L231,(H231-L231)*INDEX('2018_commission_structure'!$A$11:$I$14,MATCH(Calculations!$E231,'2018_commission_structure'!$A$11:$A$14,0),MATCH(Calculations!S$1,'2018_commission_structure'!$A$11:$I$11,0)),0)</f>
        <v>0</v>
      </c>
      <c r="T231" s="7">
        <f t="shared" si="32"/>
        <v>62534.55</v>
      </c>
      <c r="U231" s="7">
        <f t="shared" si="33"/>
        <v>113296.55</v>
      </c>
      <c r="V231" s="7">
        <f>MIN(H231,I231)*INDEX('2018_commission_structure'!$A$5:$J$8,MATCH(Calculations!$E231,'2018_commission_structure'!$A$5:$A$8,0),MATCH(Calculations!V$1,'2018_commission_structure'!$A$5:$J$5,0))</f>
        <v>72155.25</v>
      </c>
      <c r="W231" s="2">
        <f>IF($H231&gt;I231,MIN($H231-I231,J231-I231)*INDEX('2018_commission_structure'!$A$5:$J$8,MATCH(Calculations!$E231,'2018_commission_structure'!$A$5:$A$8,0),MATCH(Calculations!W$1,'2018_commission_structure'!$A$5:$J$5,0)),0)</f>
        <v>0</v>
      </c>
      <c r="X231" s="2">
        <f>IF($H231&gt;J231,MIN($H231-J231,K231-J231)*INDEX('2018_commission_structure'!$A$5:$J$8,MATCH(Calculations!$E231,'2018_commission_structure'!$A$5:$A$8,0),MATCH(Calculations!X$1,'2018_commission_structure'!$A$5:$J$5,0)),0)</f>
        <v>0</v>
      </c>
      <c r="Y231" s="2">
        <f>IF($H231&gt;K231,MIN($H231-K231,L231-K231)*INDEX('2018_commission_structure'!$A$5:$J$8,MATCH(Calculations!$E231,'2018_commission_structure'!$A$5:$A$8,0),MATCH(Calculations!Y$1,'2018_commission_structure'!$A$5:$J$5,0)),0)</f>
        <v>0</v>
      </c>
      <c r="Z231" s="2">
        <f xml:space="preserve"> IF(H231&gt;L231,(H231-L231)*INDEX('2018_commission_structure'!$A$11:$I$14,MATCH(Calculations!$E231,'2018_commission_structure'!$A$11:$A$14,0),MATCH(Calculations!Z$1,'2018_commission_structure'!$A$11:$I$11,0)),0)</f>
        <v>0</v>
      </c>
      <c r="AA231" s="7">
        <f t="shared" si="34"/>
        <v>72155.25</v>
      </c>
      <c r="AB231" s="7">
        <f t="shared" si="35"/>
        <v>122917.25</v>
      </c>
    </row>
    <row r="232" spans="1:28" x14ac:dyDescent="0.25">
      <c r="A232">
        <v>9196221739</v>
      </c>
      <c r="B232" t="s">
        <v>1632</v>
      </c>
      <c r="C232" t="s">
        <v>1633</v>
      </c>
      <c r="D232" t="str">
        <f>B232&amp;" "&amp;C232</f>
        <v>Finn Dixey</v>
      </c>
      <c r="E232" t="s">
        <v>10</v>
      </c>
      <c r="F232">
        <v>89772</v>
      </c>
      <c r="G232">
        <f>COUNTIF(deals_closed!D:D,Calculations!A232)</f>
        <v>22</v>
      </c>
      <c r="H232" s="2">
        <f>SUMIF(deals_closed!D:D,Calculations!A232,deals_closed!C:C)</f>
        <v>773763</v>
      </c>
      <c r="I232" s="2">
        <f>VLOOKUP(E232,'2018_commission_structure'!$A$11:$I$14,9,FALSE)</f>
        <v>750000</v>
      </c>
      <c r="J232" s="2">
        <f t="shared" si="27"/>
        <v>937500</v>
      </c>
      <c r="K232" s="2">
        <f t="shared" si="28"/>
        <v>1125000</v>
      </c>
      <c r="L232" s="2">
        <f t="shared" si="29"/>
        <v>1500000</v>
      </c>
      <c r="M232" s="6">
        <f t="shared" si="30"/>
        <v>1.031684</v>
      </c>
      <c r="N232" t="str">
        <f t="shared" si="31"/>
        <v>100-125%</v>
      </c>
      <c r="O232" s="7">
        <f>MIN(I232,H232)*INDEX('2018_commission_structure'!$A$11:$I$14,MATCH(Calculations!$E232,'2018_commission_structure'!$A$11:$A$14,0),MATCH(Calculations!O$1,'2018_commission_structure'!$A$11:$I$11,0))</f>
        <v>112500</v>
      </c>
      <c r="P232" s="7">
        <f>IF($H232&gt;I232,MIN($H232-I232,J232-I232)*INDEX('2018_commission_structure'!$A$11:$I$14,MATCH(Calculations!$E232,'2018_commission_structure'!$A$11:$A$14,0), MATCH(Calculations!P$1,'2018_commission_structure'!$A$11:$I$11,0)),0)</f>
        <v>4514.97</v>
      </c>
      <c r="Q232" s="7">
        <f>IF($H232&gt;J232,MIN($H232-J232,K232-J232)*INDEX('2018_commission_structure'!$A$11:$I$14,MATCH(Calculations!$E232,'2018_commission_structure'!$A$11:$A$14,0), MATCH(Calculations!Q$1,'2018_commission_structure'!$A$11:$I$11,0)),0)</f>
        <v>0</v>
      </c>
      <c r="R232" s="7">
        <f>IF($H232&gt;K232,MIN($H232-K232,L232-K232)*INDEX('2018_commission_structure'!$A$11:$I$14,MATCH(Calculations!$E232,'2018_commission_structure'!$A$11:$A$14,0), MATCH(Calculations!R$1,'2018_commission_structure'!$A$11:$I$11,0)),0)</f>
        <v>0</v>
      </c>
      <c r="S232" s="7">
        <f>IF(H232&gt;L232,(H232-L232)*INDEX('2018_commission_structure'!$A$11:$I$14,MATCH(Calculations!$E232,'2018_commission_structure'!$A$11:$A$14,0),MATCH(Calculations!S$1,'2018_commission_structure'!$A$11:$I$11,0)),0)</f>
        <v>0</v>
      </c>
      <c r="T232" s="7">
        <f t="shared" si="32"/>
        <v>117014.97</v>
      </c>
      <c r="U232" s="7">
        <f t="shared" si="33"/>
        <v>206786.97</v>
      </c>
      <c r="V232" s="7">
        <f>MIN(H232,I232)*INDEX('2018_commission_structure'!$A$5:$J$8,MATCH(Calculations!$E232,'2018_commission_structure'!$A$5:$A$8,0),MATCH(Calculations!V$1,'2018_commission_structure'!$A$5:$J$5,0))</f>
        <v>112500</v>
      </c>
      <c r="W232" s="2">
        <f>IF($H232&gt;I232,MIN($H232-I232,J232-I232)*INDEX('2018_commission_structure'!$A$5:$J$8,MATCH(Calculations!$E232,'2018_commission_structure'!$A$5:$A$8,0),MATCH(Calculations!W$1,'2018_commission_structure'!$A$5:$J$5,0)),0)</f>
        <v>5227.8599999999997</v>
      </c>
      <c r="X232" s="2">
        <f>IF($H232&gt;J232,MIN($H232-J232,K232-J232)*INDEX('2018_commission_structure'!$A$5:$J$8,MATCH(Calculations!$E232,'2018_commission_structure'!$A$5:$A$8,0),MATCH(Calculations!X$1,'2018_commission_structure'!$A$5:$J$5,0)),0)</f>
        <v>0</v>
      </c>
      <c r="Y232" s="2">
        <f>IF($H232&gt;K232,MIN($H232-K232,L232-K232)*INDEX('2018_commission_structure'!$A$5:$J$8,MATCH(Calculations!$E232,'2018_commission_structure'!$A$5:$A$8,0),MATCH(Calculations!Y$1,'2018_commission_structure'!$A$5:$J$5,0)),0)</f>
        <v>0</v>
      </c>
      <c r="Z232" s="2">
        <f xml:space="preserve"> IF(H232&gt;L232,(H232-L232)*INDEX('2018_commission_structure'!$A$11:$I$14,MATCH(Calculations!$E232,'2018_commission_structure'!$A$11:$A$14,0),MATCH(Calculations!Z$1,'2018_commission_structure'!$A$11:$I$11,0)),0)</f>
        <v>0</v>
      </c>
      <c r="AA232" s="7">
        <f t="shared" si="34"/>
        <v>117727.86</v>
      </c>
      <c r="AB232" s="7">
        <f t="shared" si="35"/>
        <v>207499.86</v>
      </c>
    </row>
    <row r="233" spans="1:28" x14ac:dyDescent="0.25">
      <c r="A233">
        <v>3996818513</v>
      </c>
      <c r="B233" t="s">
        <v>157</v>
      </c>
      <c r="C233" t="s">
        <v>158</v>
      </c>
      <c r="D233" t="str">
        <f>B233&amp;" "&amp;C233</f>
        <v>Neil Doctor</v>
      </c>
      <c r="E233" t="s">
        <v>10</v>
      </c>
      <c r="F233">
        <v>94317</v>
      </c>
      <c r="G233">
        <f>COUNTIF(deals_closed!D:D,Calculations!A233)</f>
        <v>29</v>
      </c>
      <c r="H233" s="2">
        <f>SUMIF(deals_closed!D:D,Calculations!A233,deals_closed!C:C)</f>
        <v>997332</v>
      </c>
      <c r="I233" s="2">
        <f>VLOOKUP(E233,'2018_commission_structure'!$A$11:$I$14,9,FALSE)</f>
        <v>750000</v>
      </c>
      <c r="J233" s="2">
        <f t="shared" si="27"/>
        <v>937500</v>
      </c>
      <c r="K233" s="2">
        <f t="shared" si="28"/>
        <v>1125000</v>
      </c>
      <c r="L233" s="2">
        <f t="shared" si="29"/>
        <v>1500000</v>
      </c>
      <c r="M233" s="6">
        <f t="shared" si="30"/>
        <v>1.3297760000000001</v>
      </c>
      <c r="N233" t="str">
        <f t="shared" si="31"/>
        <v>125-150%</v>
      </c>
      <c r="O233" s="7">
        <f>MIN(I233,H233)*INDEX('2018_commission_structure'!$A$11:$I$14,MATCH(Calculations!$E233,'2018_commission_structure'!$A$11:$A$14,0),MATCH(Calculations!O$1,'2018_commission_structure'!$A$11:$I$11,0))</f>
        <v>112500</v>
      </c>
      <c r="P233" s="7">
        <f>IF($H233&gt;I233,MIN($H233-I233,J233-I233)*INDEX('2018_commission_structure'!$A$11:$I$14,MATCH(Calculations!$E233,'2018_commission_structure'!$A$11:$A$14,0), MATCH(Calculations!P$1,'2018_commission_structure'!$A$11:$I$11,0)),0)</f>
        <v>35625</v>
      </c>
      <c r="Q233" s="7">
        <f>IF($H233&gt;J233,MIN($H233-J233,K233-J233)*INDEX('2018_commission_structure'!$A$11:$I$14,MATCH(Calculations!$E233,'2018_commission_structure'!$A$11:$A$14,0), MATCH(Calculations!Q$1,'2018_commission_structure'!$A$11:$I$11,0)),0)</f>
        <v>13761.36</v>
      </c>
      <c r="R233" s="7">
        <f>IF($H233&gt;K233,MIN($H233-K233,L233-K233)*INDEX('2018_commission_structure'!$A$11:$I$14,MATCH(Calculations!$E233,'2018_commission_structure'!$A$11:$A$14,0), MATCH(Calculations!R$1,'2018_commission_structure'!$A$11:$I$11,0)),0)</f>
        <v>0</v>
      </c>
      <c r="S233" s="7">
        <f>IF(H233&gt;L233,(H233-L233)*INDEX('2018_commission_structure'!$A$11:$I$14,MATCH(Calculations!$E233,'2018_commission_structure'!$A$11:$A$14,0),MATCH(Calculations!S$1,'2018_commission_structure'!$A$11:$I$11,0)),0)</f>
        <v>0</v>
      </c>
      <c r="T233" s="7">
        <f t="shared" si="32"/>
        <v>161886.35999999999</v>
      </c>
      <c r="U233" s="7">
        <f t="shared" si="33"/>
        <v>256203.36</v>
      </c>
      <c r="V233" s="7">
        <f>MIN(H233,I233)*INDEX('2018_commission_structure'!$A$5:$J$8,MATCH(Calculations!$E233,'2018_commission_structure'!$A$5:$A$8,0),MATCH(Calculations!V$1,'2018_commission_structure'!$A$5:$J$5,0))</f>
        <v>112500</v>
      </c>
      <c r="W233" s="2">
        <f>IF($H233&gt;I233,MIN($H233-I233,J233-I233)*INDEX('2018_commission_structure'!$A$5:$J$8,MATCH(Calculations!$E233,'2018_commission_structure'!$A$5:$A$8,0),MATCH(Calculations!W$1,'2018_commission_structure'!$A$5:$J$5,0)),0)</f>
        <v>41250</v>
      </c>
      <c r="X233" s="2">
        <f>IF($H233&gt;J233,MIN($H233-J233,K233-J233)*INDEX('2018_commission_structure'!$A$5:$J$8,MATCH(Calculations!$E233,'2018_commission_structure'!$A$5:$A$8,0),MATCH(Calculations!X$1,'2018_commission_structure'!$A$5:$J$5,0)),0)</f>
        <v>14958</v>
      </c>
      <c r="Y233" s="2">
        <f>IF($H233&gt;K233,MIN($H233-K233,L233-K233)*INDEX('2018_commission_structure'!$A$5:$J$8,MATCH(Calculations!$E233,'2018_commission_structure'!$A$5:$A$8,0),MATCH(Calculations!Y$1,'2018_commission_structure'!$A$5:$J$5,0)),0)</f>
        <v>0</v>
      </c>
      <c r="Z233" s="2">
        <f xml:space="preserve"> IF(H233&gt;L233,(H233-L233)*INDEX('2018_commission_structure'!$A$11:$I$14,MATCH(Calculations!$E233,'2018_commission_structure'!$A$11:$A$14,0),MATCH(Calculations!Z$1,'2018_commission_structure'!$A$11:$I$11,0)),0)</f>
        <v>0</v>
      </c>
      <c r="AA233" s="7">
        <f t="shared" si="34"/>
        <v>168708</v>
      </c>
      <c r="AB233" s="7">
        <f t="shared" si="35"/>
        <v>263025</v>
      </c>
    </row>
    <row r="234" spans="1:28" x14ac:dyDescent="0.25">
      <c r="A234">
        <v>7281103514</v>
      </c>
      <c r="B234" t="s">
        <v>674</v>
      </c>
      <c r="C234" t="s">
        <v>675</v>
      </c>
      <c r="D234" t="str">
        <f>B234&amp;" "&amp;C234</f>
        <v>Tam Doniso</v>
      </c>
      <c r="E234" t="s">
        <v>29</v>
      </c>
      <c r="F234">
        <v>56065</v>
      </c>
      <c r="G234">
        <f>COUNTIF(deals_closed!D:D,Calculations!A234)</f>
        <v>24</v>
      </c>
      <c r="H234" s="2">
        <f>SUMIF(deals_closed!D:D,Calculations!A234,deals_closed!C:C)</f>
        <v>937239</v>
      </c>
      <c r="I234" s="2">
        <f>VLOOKUP(E234,'2018_commission_structure'!$A$11:$I$14,9,FALSE)</f>
        <v>600000</v>
      </c>
      <c r="J234" s="2">
        <f t="shared" si="27"/>
        <v>750000</v>
      </c>
      <c r="K234" s="2">
        <f t="shared" si="28"/>
        <v>900000</v>
      </c>
      <c r="L234" s="2">
        <f t="shared" si="29"/>
        <v>1200000</v>
      </c>
      <c r="M234" s="6">
        <f t="shared" si="30"/>
        <v>1.562065</v>
      </c>
      <c r="N234" t="str">
        <f t="shared" si="31"/>
        <v>150-200%</v>
      </c>
      <c r="O234" s="7">
        <f>MIN(I234,H234)*INDEX('2018_commission_structure'!$A$11:$I$14,MATCH(Calculations!$E234,'2018_commission_structure'!$A$11:$A$14,0),MATCH(Calculations!O$1,'2018_commission_structure'!$A$11:$I$11,0))</f>
        <v>78000</v>
      </c>
      <c r="P234" s="7">
        <f>IF($H234&gt;I234,MIN($H234-I234,J234-I234)*INDEX('2018_commission_structure'!$A$11:$I$14,MATCH(Calculations!$E234,'2018_commission_structure'!$A$11:$A$14,0), MATCH(Calculations!P$1,'2018_commission_structure'!$A$11:$I$11,0)),0)</f>
        <v>25500.000000000004</v>
      </c>
      <c r="Q234" s="7">
        <f>IF($H234&gt;J234,MIN($H234-J234,K234-J234)*INDEX('2018_commission_structure'!$A$11:$I$14,MATCH(Calculations!$E234,'2018_commission_structure'!$A$11:$A$14,0), MATCH(Calculations!Q$1,'2018_commission_structure'!$A$11:$I$11,0)),0)</f>
        <v>31500</v>
      </c>
      <c r="R234" s="7">
        <f>IF($H234&gt;K234,MIN($H234-K234,L234-K234)*INDEX('2018_commission_structure'!$A$11:$I$14,MATCH(Calculations!$E234,'2018_commission_structure'!$A$11:$A$14,0), MATCH(Calculations!R$1,'2018_commission_structure'!$A$11:$I$11,0)),0)</f>
        <v>9682.1400000000012</v>
      </c>
      <c r="S234" s="7">
        <f>IF(H234&gt;L234,(H234-L234)*INDEX('2018_commission_structure'!$A$11:$I$14,MATCH(Calculations!$E234,'2018_commission_structure'!$A$11:$A$14,0),MATCH(Calculations!S$1,'2018_commission_structure'!$A$11:$I$11,0)),0)</f>
        <v>0</v>
      </c>
      <c r="T234" s="7">
        <f t="shared" si="32"/>
        <v>144682.14000000001</v>
      </c>
      <c r="U234" s="7">
        <f t="shared" si="33"/>
        <v>200747.14</v>
      </c>
      <c r="V234" s="7">
        <f>MIN(H234,I234)*INDEX('2018_commission_structure'!$A$5:$J$8,MATCH(Calculations!$E234,'2018_commission_structure'!$A$5:$A$8,0),MATCH(Calculations!V$1,'2018_commission_structure'!$A$5:$J$5,0))</f>
        <v>90000</v>
      </c>
      <c r="W234" s="2">
        <f>IF($H234&gt;I234,MIN($H234-I234,J234-I234)*INDEX('2018_commission_structure'!$A$5:$J$8,MATCH(Calculations!$E234,'2018_commission_structure'!$A$5:$A$8,0),MATCH(Calculations!W$1,'2018_commission_structure'!$A$5:$J$5,0)),0)</f>
        <v>27000</v>
      </c>
      <c r="X234" s="2">
        <f>IF($H234&gt;J234,MIN($H234-J234,K234-J234)*INDEX('2018_commission_structure'!$A$5:$J$8,MATCH(Calculations!$E234,'2018_commission_structure'!$A$5:$A$8,0),MATCH(Calculations!X$1,'2018_commission_structure'!$A$5:$J$5,0)),0)</f>
        <v>37500</v>
      </c>
      <c r="Y234" s="2">
        <f>IF($H234&gt;K234,MIN($H234-K234,L234-K234)*INDEX('2018_commission_structure'!$A$5:$J$8,MATCH(Calculations!$E234,'2018_commission_structure'!$A$5:$A$8,0),MATCH(Calculations!Y$1,'2018_commission_structure'!$A$5:$J$5,0)),0)</f>
        <v>11171.699999999999</v>
      </c>
      <c r="Z234" s="2">
        <f xml:space="preserve"> IF(H234&gt;L234,(H234-L234)*INDEX('2018_commission_structure'!$A$11:$I$14,MATCH(Calculations!$E234,'2018_commission_structure'!$A$11:$A$14,0),MATCH(Calculations!Z$1,'2018_commission_structure'!$A$11:$I$11,0)),0)</f>
        <v>0</v>
      </c>
      <c r="AA234" s="7">
        <f t="shared" si="34"/>
        <v>165671.70000000001</v>
      </c>
      <c r="AB234" s="7">
        <f t="shared" si="35"/>
        <v>221736.7</v>
      </c>
    </row>
    <row r="235" spans="1:28" x14ac:dyDescent="0.25">
      <c r="A235">
        <v>9458563771</v>
      </c>
      <c r="B235" t="s">
        <v>509</v>
      </c>
      <c r="C235" t="s">
        <v>510</v>
      </c>
      <c r="D235" t="str">
        <f>B235&amp;" "&amp;C235</f>
        <v>Ellen Dooman</v>
      </c>
      <c r="E235" t="s">
        <v>7</v>
      </c>
      <c r="F235">
        <v>52419</v>
      </c>
      <c r="G235">
        <f>COUNTIF(deals_closed!D:D,Calculations!A235)</f>
        <v>18</v>
      </c>
      <c r="H235" s="2">
        <f>SUMIF(deals_closed!D:D,Calculations!A235,deals_closed!C:C)</f>
        <v>646430</v>
      </c>
      <c r="I235" s="2">
        <f>VLOOKUP(E235,'2018_commission_structure'!$A$11:$I$14,9,FALSE)</f>
        <v>500000</v>
      </c>
      <c r="J235" s="2">
        <f t="shared" si="27"/>
        <v>625000</v>
      </c>
      <c r="K235" s="2">
        <f t="shared" si="28"/>
        <v>750000</v>
      </c>
      <c r="L235" s="2">
        <f t="shared" si="29"/>
        <v>1000000</v>
      </c>
      <c r="M235" s="6">
        <f t="shared" si="30"/>
        <v>1.2928599999999999</v>
      </c>
      <c r="N235" t="str">
        <f t="shared" si="31"/>
        <v>125-150%</v>
      </c>
      <c r="O235" s="7">
        <f>MIN(I235,H235)*INDEX('2018_commission_structure'!$A$11:$I$14,MATCH(Calculations!$E235,'2018_commission_structure'!$A$11:$A$14,0),MATCH(Calculations!O$1,'2018_commission_structure'!$A$11:$I$11,0))</f>
        <v>50000</v>
      </c>
      <c r="P235" s="7">
        <f>IF($H235&gt;I235,MIN($H235-I235,J235-I235)*INDEX('2018_commission_structure'!$A$11:$I$14,MATCH(Calculations!$E235,'2018_commission_structure'!$A$11:$A$14,0), MATCH(Calculations!P$1,'2018_commission_structure'!$A$11:$I$11,0)),0)</f>
        <v>18750</v>
      </c>
      <c r="Q235" s="7">
        <f>IF($H235&gt;J235,MIN($H235-J235,K235-J235)*INDEX('2018_commission_structure'!$A$11:$I$14,MATCH(Calculations!$E235,'2018_commission_structure'!$A$11:$A$14,0), MATCH(Calculations!Q$1,'2018_commission_structure'!$A$11:$I$11,0)),0)</f>
        <v>3857.3999999999996</v>
      </c>
      <c r="R235" s="7">
        <f>IF($H235&gt;K235,MIN($H235-K235,L235-K235)*INDEX('2018_commission_structure'!$A$11:$I$14,MATCH(Calculations!$E235,'2018_commission_structure'!$A$11:$A$14,0), MATCH(Calculations!R$1,'2018_commission_structure'!$A$11:$I$11,0)),0)</f>
        <v>0</v>
      </c>
      <c r="S235" s="7">
        <f>IF(H235&gt;L235,(H235-L235)*INDEX('2018_commission_structure'!$A$11:$I$14,MATCH(Calculations!$E235,'2018_commission_structure'!$A$11:$A$14,0),MATCH(Calculations!S$1,'2018_commission_structure'!$A$11:$I$11,0)),0)</f>
        <v>0</v>
      </c>
      <c r="T235" s="7">
        <f t="shared" si="32"/>
        <v>72607.399999999994</v>
      </c>
      <c r="U235" s="7">
        <f t="shared" si="33"/>
        <v>125026.4</v>
      </c>
      <c r="V235" s="7">
        <f>MIN(H235,I235)*INDEX('2018_commission_structure'!$A$5:$J$8,MATCH(Calculations!$E235,'2018_commission_structure'!$A$5:$A$8,0),MATCH(Calculations!V$1,'2018_commission_structure'!$A$5:$J$5,0))</f>
        <v>60000</v>
      </c>
      <c r="W235" s="2">
        <f>IF($H235&gt;I235,MIN($H235-I235,J235-I235)*INDEX('2018_commission_structure'!$A$5:$J$8,MATCH(Calculations!$E235,'2018_commission_structure'!$A$5:$A$8,0),MATCH(Calculations!W$1,'2018_commission_structure'!$A$5:$J$5,0)),0)</f>
        <v>21250</v>
      </c>
      <c r="X235" s="2">
        <f>IF($H235&gt;J235,MIN($H235-J235,K235-J235)*INDEX('2018_commission_structure'!$A$5:$J$8,MATCH(Calculations!$E235,'2018_commission_structure'!$A$5:$A$8,0),MATCH(Calculations!X$1,'2018_commission_structure'!$A$5:$J$5,0)),0)</f>
        <v>4286</v>
      </c>
      <c r="Y235" s="2">
        <f>IF($H235&gt;K235,MIN($H235-K235,L235-K235)*INDEX('2018_commission_structure'!$A$5:$J$8,MATCH(Calculations!$E235,'2018_commission_structure'!$A$5:$A$8,0),MATCH(Calculations!Y$1,'2018_commission_structure'!$A$5:$J$5,0)),0)</f>
        <v>0</v>
      </c>
      <c r="Z235" s="2">
        <f xml:space="preserve"> IF(H235&gt;L235,(H235-L235)*INDEX('2018_commission_structure'!$A$11:$I$14,MATCH(Calculations!$E235,'2018_commission_structure'!$A$11:$A$14,0),MATCH(Calculations!Z$1,'2018_commission_structure'!$A$11:$I$11,0)),0)</f>
        <v>0</v>
      </c>
      <c r="AA235" s="7">
        <f t="shared" si="34"/>
        <v>85536</v>
      </c>
      <c r="AB235" s="7">
        <f t="shared" si="35"/>
        <v>137955</v>
      </c>
    </row>
    <row r="236" spans="1:28" x14ac:dyDescent="0.25">
      <c r="A236">
        <v>3642988458</v>
      </c>
      <c r="B236" t="s">
        <v>703</v>
      </c>
      <c r="C236" t="s">
        <v>704</v>
      </c>
      <c r="D236" t="str">
        <f>B236&amp;" "&amp;C236</f>
        <v>Barn Doram</v>
      </c>
      <c r="E236" t="s">
        <v>29</v>
      </c>
      <c r="F236">
        <v>79142</v>
      </c>
      <c r="G236">
        <f>COUNTIF(deals_closed!D:D,Calculations!A236)</f>
        <v>26</v>
      </c>
      <c r="H236" s="2">
        <f>SUMIF(deals_closed!D:D,Calculations!A236,deals_closed!C:C)</f>
        <v>932920</v>
      </c>
      <c r="I236" s="2">
        <f>VLOOKUP(E236,'2018_commission_structure'!$A$11:$I$14,9,FALSE)</f>
        <v>600000</v>
      </c>
      <c r="J236" s="2">
        <f t="shared" si="27"/>
        <v>750000</v>
      </c>
      <c r="K236" s="2">
        <f t="shared" si="28"/>
        <v>900000</v>
      </c>
      <c r="L236" s="2">
        <f t="shared" si="29"/>
        <v>1200000</v>
      </c>
      <c r="M236" s="6">
        <f t="shared" si="30"/>
        <v>1.5548666666666666</v>
      </c>
      <c r="N236" t="str">
        <f t="shared" si="31"/>
        <v>150-200%</v>
      </c>
      <c r="O236" s="7">
        <f>MIN(I236,H236)*INDEX('2018_commission_structure'!$A$11:$I$14,MATCH(Calculations!$E236,'2018_commission_structure'!$A$11:$A$14,0),MATCH(Calculations!O$1,'2018_commission_structure'!$A$11:$I$11,0))</f>
        <v>78000</v>
      </c>
      <c r="P236" s="7">
        <f>IF($H236&gt;I236,MIN($H236-I236,J236-I236)*INDEX('2018_commission_structure'!$A$11:$I$14,MATCH(Calculations!$E236,'2018_commission_structure'!$A$11:$A$14,0), MATCH(Calculations!P$1,'2018_commission_structure'!$A$11:$I$11,0)),0)</f>
        <v>25500.000000000004</v>
      </c>
      <c r="Q236" s="7">
        <f>IF($H236&gt;J236,MIN($H236-J236,K236-J236)*INDEX('2018_commission_structure'!$A$11:$I$14,MATCH(Calculations!$E236,'2018_commission_structure'!$A$11:$A$14,0), MATCH(Calculations!Q$1,'2018_commission_structure'!$A$11:$I$11,0)),0)</f>
        <v>31500</v>
      </c>
      <c r="R236" s="7">
        <f>IF($H236&gt;K236,MIN($H236-K236,L236-K236)*INDEX('2018_commission_structure'!$A$11:$I$14,MATCH(Calculations!$E236,'2018_commission_structure'!$A$11:$A$14,0), MATCH(Calculations!R$1,'2018_commission_structure'!$A$11:$I$11,0)),0)</f>
        <v>8559.2000000000007</v>
      </c>
      <c r="S236" s="7">
        <f>IF(H236&gt;L236,(H236-L236)*INDEX('2018_commission_structure'!$A$11:$I$14,MATCH(Calculations!$E236,'2018_commission_structure'!$A$11:$A$14,0),MATCH(Calculations!S$1,'2018_commission_structure'!$A$11:$I$11,0)),0)</f>
        <v>0</v>
      </c>
      <c r="T236" s="7">
        <f t="shared" si="32"/>
        <v>143559.20000000001</v>
      </c>
      <c r="U236" s="7">
        <f t="shared" si="33"/>
        <v>222701.2</v>
      </c>
      <c r="V236" s="7">
        <f>MIN(H236,I236)*INDEX('2018_commission_structure'!$A$5:$J$8,MATCH(Calculations!$E236,'2018_commission_structure'!$A$5:$A$8,0),MATCH(Calculations!V$1,'2018_commission_structure'!$A$5:$J$5,0))</f>
        <v>90000</v>
      </c>
      <c r="W236" s="2">
        <f>IF($H236&gt;I236,MIN($H236-I236,J236-I236)*INDEX('2018_commission_structure'!$A$5:$J$8,MATCH(Calculations!$E236,'2018_commission_structure'!$A$5:$A$8,0),MATCH(Calculations!W$1,'2018_commission_structure'!$A$5:$J$5,0)),0)</f>
        <v>27000</v>
      </c>
      <c r="X236" s="2">
        <f>IF($H236&gt;J236,MIN($H236-J236,K236-J236)*INDEX('2018_commission_structure'!$A$5:$J$8,MATCH(Calculations!$E236,'2018_commission_structure'!$A$5:$A$8,0),MATCH(Calculations!X$1,'2018_commission_structure'!$A$5:$J$5,0)),0)</f>
        <v>37500</v>
      </c>
      <c r="Y236" s="2">
        <f>IF($H236&gt;K236,MIN($H236-K236,L236-K236)*INDEX('2018_commission_structure'!$A$5:$J$8,MATCH(Calculations!$E236,'2018_commission_structure'!$A$5:$A$8,0),MATCH(Calculations!Y$1,'2018_commission_structure'!$A$5:$J$5,0)),0)</f>
        <v>9876</v>
      </c>
      <c r="Z236" s="2">
        <f xml:space="preserve"> IF(H236&gt;L236,(H236-L236)*INDEX('2018_commission_structure'!$A$11:$I$14,MATCH(Calculations!$E236,'2018_commission_structure'!$A$11:$A$14,0),MATCH(Calculations!Z$1,'2018_commission_structure'!$A$11:$I$11,0)),0)</f>
        <v>0</v>
      </c>
      <c r="AA236" s="7">
        <f t="shared" si="34"/>
        <v>164376</v>
      </c>
      <c r="AB236" s="7">
        <f t="shared" si="35"/>
        <v>243518</v>
      </c>
    </row>
    <row r="237" spans="1:28" x14ac:dyDescent="0.25">
      <c r="A237">
        <v>5795848808</v>
      </c>
      <c r="B237" t="s">
        <v>518</v>
      </c>
      <c r="C237" t="s">
        <v>1050</v>
      </c>
      <c r="D237" t="str">
        <f>B237&amp;" "&amp;C237</f>
        <v>Terri Dorn</v>
      </c>
      <c r="E237" t="s">
        <v>10</v>
      </c>
      <c r="F237">
        <v>92315</v>
      </c>
      <c r="G237">
        <f>COUNTIF(deals_closed!D:D,Calculations!A237)</f>
        <v>30</v>
      </c>
      <c r="H237" s="2">
        <f>SUMIF(deals_closed!D:D,Calculations!A237,deals_closed!C:C)</f>
        <v>1039370</v>
      </c>
      <c r="I237" s="2">
        <f>VLOOKUP(E237,'2018_commission_structure'!$A$11:$I$14,9,FALSE)</f>
        <v>750000</v>
      </c>
      <c r="J237" s="2">
        <f t="shared" si="27"/>
        <v>937500</v>
      </c>
      <c r="K237" s="2">
        <f t="shared" si="28"/>
        <v>1125000</v>
      </c>
      <c r="L237" s="2">
        <f t="shared" si="29"/>
        <v>1500000</v>
      </c>
      <c r="M237" s="6">
        <f t="shared" si="30"/>
        <v>1.3858266666666668</v>
      </c>
      <c r="N237" t="str">
        <f t="shared" si="31"/>
        <v>125-150%</v>
      </c>
      <c r="O237" s="7">
        <f>MIN(I237,H237)*INDEX('2018_commission_structure'!$A$11:$I$14,MATCH(Calculations!$E237,'2018_commission_structure'!$A$11:$A$14,0),MATCH(Calculations!O$1,'2018_commission_structure'!$A$11:$I$11,0))</f>
        <v>112500</v>
      </c>
      <c r="P237" s="7">
        <f>IF($H237&gt;I237,MIN($H237-I237,J237-I237)*INDEX('2018_commission_structure'!$A$11:$I$14,MATCH(Calculations!$E237,'2018_commission_structure'!$A$11:$A$14,0), MATCH(Calculations!P$1,'2018_commission_structure'!$A$11:$I$11,0)),0)</f>
        <v>35625</v>
      </c>
      <c r="Q237" s="7">
        <f>IF($H237&gt;J237,MIN($H237-J237,K237-J237)*INDEX('2018_commission_structure'!$A$11:$I$14,MATCH(Calculations!$E237,'2018_commission_structure'!$A$11:$A$14,0), MATCH(Calculations!Q$1,'2018_commission_structure'!$A$11:$I$11,0)),0)</f>
        <v>23430.100000000002</v>
      </c>
      <c r="R237" s="7">
        <f>IF($H237&gt;K237,MIN($H237-K237,L237-K237)*INDEX('2018_commission_structure'!$A$11:$I$14,MATCH(Calculations!$E237,'2018_commission_structure'!$A$11:$A$14,0), MATCH(Calculations!R$1,'2018_commission_structure'!$A$11:$I$11,0)),0)</f>
        <v>0</v>
      </c>
      <c r="S237" s="7">
        <f>IF(H237&gt;L237,(H237-L237)*INDEX('2018_commission_structure'!$A$11:$I$14,MATCH(Calculations!$E237,'2018_commission_structure'!$A$11:$A$14,0),MATCH(Calculations!S$1,'2018_commission_structure'!$A$11:$I$11,0)),0)</f>
        <v>0</v>
      </c>
      <c r="T237" s="7">
        <f t="shared" si="32"/>
        <v>171555.1</v>
      </c>
      <c r="U237" s="7">
        <f t="shared" si="33"/>
        <v>263870.09999999998</v>
      </c>
      <c r="V237" s="7">
        <f>MIN(H237,I237)*INDEX('2018_commission_structure'!$A$5:$J$8,MATCH(Calculations!$E237,'2018_commission_structure'!$A$5:$A$8,0),MATCH(Calculations!V$1,'2018_commission_structure'!$A$5:$J$5,0))</f>
        <v>112500</v>
      </c>
      <c r="W237" s="2">
        <f>IF($H237&gt;I237,MIN($H237-I237,J237-I237)*INDEX('2018_commission_structure'!$A$5:$J$8,MATCH(Calculations!$E237,'2018_commission_structure'!$A$5:$A$8,0),MATCH(Calculations!W$1,'2018_commission_structure'!$A$5:$J$5,0)),0)</f>
        <v>41250</v>
      </c>
      <c r="X237" s="2">
        <f>IF($H237&gt;J237,MIN($H237-J237,K237-J237)*INDEX('2018_commission_structure'!$A$5:$J$8,MATCH(Calculations!$E237,'2018_commission_structure'!$A$5:$A$8,0),MATCH(Calculations!X$1,'2018_commission_structure'!$A$5:$J$5,0)),0)</f>
        <v>25467.5</v>
      </c>
      <c r="Y237" s="2">
        <f>IF($H237&gt;K237,MIN($H237-K237,L237-K237)*INDEX('2018_commission_structure'!$A$5:$J$8,MATCH(Calculations!$E237,'2018_commission_structure'!$A$5:$A$8,0),MATCH(Calculations!Y$1,'2018_commission_structure'!$A$5:$J$5,0)),0)</f>
        <v>0</v>
      </c>
      <c r="Z237" s="2">
        <f xml:space="preserve"> IF(H237&gt;L237,(H237-L237)*INDEX('2018_commission_structure'!$A$11:$I$14,MATCH(Calculations!$E237,'2018_commission_structure'!$A$11:$A$14,0),MATCH(Calculations!Z$1,'2018_commission_structure'!$A$11:$I$11,0)),0)</f>
        <v>0</v>
      </c>
      <c r="AA237" s="7">
        <f t="shared" si="34"/>
        <v>179217.5</v>
      </c>
      <c r="AB237" s="7">
        <f t="shared" si="35"/>
        <v>271532.5</v>
      </c>
    </row>
    <row r="238" spans="1:28" x14ac:dyDescent="0.25">
      <c r="A238">
        <v>1014658829</v>
      </c>
      <c r="B238" t="s">
        <v>737</v>
      </c>
      <c r="C238" t="s">
        <v>738</v>
      </c>
      <c r="D238" t="str">
        <f>B238&amp;" "&amp;C238</f>
        <v>Temple Dorracott</v>
      </c>
      <c r="E238" t="s">
        <v>29</v>
      </c>
      <c r="F238">
        <v>71890</v>
      </c>
      <c r="G238">
        <f>COUNTIF(deals_closed!D:D,Calculations!A238)</f>
        <v>18</v>
      </c>
      <c r="H238" s="2">
        <f>SUMIF(deals_closed!D:D,Calculations!A238,deals_closed!C:C)</f>
        <v>725779</v>
      </c>
      <c r="I238" s="2">
        <f>VLOOKUP(E238,'2018_commission_structure'!$A$11:$I$14,9,FALSE)</f>
        <v>600000</v>
      </c>
      <c r="J238" s="2">
        <f t="shared" si="27"/>
        <v>750000</v>
      </c>
      <c r="K238" s="2">
        <f t="shared" si="28"/>
        <v>900000</v>
      </c>
      <c r="L238" s="2">
        <f t="shared" si="29"/>
        <v>1200000</v>
      </c>
      <c r="M238" s="6">
        <f t="shared" si="30"/>
        <v>1.2096316666666667</v>
      </c>
      <c r="N238" t="str">
        <f t="shared" si="31"/>
        <v>100-125%</v>
      </c>
      <c r="O238" s="7">
        <f>MIN(I238,H238)*INDEX('2018_commission_structure'!$A$11:$I$14,MATCH(Calculations!$E238,'2018_commission_structure'!$A$11:$A$14,0),MATCH(Calculations!O$1,'2018_commission_structure'!$A$11:$I$11,0))</f>
        <v>78000</v>
      </c>
      <c r="P238" s="7">
        <f>IF($H238&gt;I238,MIN($H238-I238,J238-I238)*INDEX('2018_commission_structure'!$A$11:$I$14,MATCH(Calculations!$E238,'2018_commission_structure'!$A$11:$A$14,0), MATCH(Calculations!P$1,'2018_commission_structure'!$A$11:$I$11,0)),0)</f>
        <v>21382.43</v>
      </c>
      <c r="Q238" s="7">
        <f>IF($H238&gt;J238,MIN($H238-J238,K238-J238)*INDEX('2018_commission_structure'!$A$11:$I$14,MATCH(Calculations!$E238,'2018_commission_structure'!$A$11:$A$14,0), MATCH(Calculations!Q$1,'2018_commission_structure'!$A$11:$I$11,0)),0)</f>
        <v>0</v>
      </c>
      <c r="R238" s="7">
        <f>IF($H238&gt;K238,MIN($H238-K238,L238-K238)*INDEX('2018_commission_structure'!$A$11:$I$14,MATCH(Calculations!$E238,'2018_commission_structure'!$A$11:$A$14,0), MATCH(Calculations!R$1,'2018_commission_structure'!$A$11:$I$11,0)),0)</f>
        <v>0</v>
      </c>
      <c r="S238" s="7">
        <f>IF(H238&gt;L238,(H238-L238)*INDEX('2018_commission_structure'!$A$11:$I$14,MATCH(Calculations!$E238,'2018_commission_structure'!$A$11:$A$14,0),MATCH(Calculations!S$1,'2018_commission_structure'!$A$11:$I$11,0)),0)</f>
        <v>0</v>
      </c>
      <c r="T238" s="7">
        <f t="shared" si="32"/>
        <v>99382.43</v>
      </c>
      <c r="U238" s="7">
        <f t="shared" si="33"/>
        <v>171272.43</v>
      </c>
      <c r="V238" s="7">
        <f>MIN(H238,I238)*INDEX('2018_commission_structure'!$A$5:$J$8,MATCH(Calculations!$E238,'2018_commission_structure'!$A$5:$A$8,0),MATCH(Calculations!V$1,'2018_commission_structure'!$A$5:$J$5,0))</f>
        <v>90000</v>
      </c>
      <c r="W238" s="2">
        <f>IF($H238&gt;I238,MIN($H238-I238,J238-I238)*INDEX('2018_commission_structure'!$A$5:$J$8,MATCH(Calculations!$E238,'2018_commission_structure'!$A$5:$A$8,0),MATCH(Calculations!W$1,'2018_commission_structure'!$A$5:$J$5,0)),0)</f>
        <v>22640.219999999998</v>
      </c>
      <c r="X238" s="2">
        <f>IF($H238&gt;J238,MIN($H238-J238,K238-J238)*INDEX('2018_commission_structure'!$A$5:$J$8,MATCH(Calculations!$E238,'2018_commission_structure'!$A$5:$A$8,0),MATCH(Calculations!X$1,'2018_commission_structure'!$A$5:$J$5,0)),0)</f>
        <v>0</v>
      </c>
      <c r="Y238" s="2">
        <f>IF($H238&gt;K238,MIN($H238-K238,L238-K238)*INDEX('2018_commission_structure'!$A$5:$J$8,MATCH(Calculations!$E238,'2018_commission_structure'!$A$5:$A$8,0),MATCH(Calculations!Y$1,'2018_commission_structure'!$A$5:$J$5,0)),0)</f>
        <v>0</v>
      </c>
      <c r="Z238" s="2">
        <f xml:space="preserve"> IF(H238&gt;L238,(H238-L238)*INDEX('2018_commission_structure'!$A$11:$I$14,MATCH(Calculations!$E238,'2018_commission_structure'!$A$11:$A$14,0),MATCH(Calculations!Z$1,'2018_commission_structure'!$A$11:$I$11,0)),0)</f>
        <v>0</v>
      </c>
      <c r="AA238" s="7">
        <f t="shared" si="34"/>
        <v>112640.22</v>
      </c>
      <c r="AB238" s="7">
        <f t="shared" si="35"/>
        <v>184530.22</v>
      </c>
    </row>
    <row r="239" spans="1:28" x14ac:dyDescent="0.25">
      <c r="A239">
        <v>8370379001</v>
      </c>
      <c r="B239" t="s">
        <v>1532</v>
      </c>
      <c r="C239" t="s">
        <v>1533</v>
      </c>
      <c r="D239" t="str">
        <f>B239&amp;" "&amp;C239</f>
        <v>Dewie Dory</v>
      </c>
      <c r="E239" t="s">
        <v>7</v>
      </c>
      <c r="F239">
        <v>57499</v>
      </c>
      <c r="G239">
        <f>COUNTIF(deals_closed!D:D,Calculations!A239)</f>
        <v>27</v>
      </c>
      <c r="H239" s="2">
        <f>SUMIF(deals_closed!D:D,Calculations!A239,deals_closed!C:C)</f>
        <v>942255</v>
      </c>
      <c r="I239" s="2">
        <f>VLOOKUP(E239,'2018_commission_structure'!$A$11:$I$14,9,FALSE)</f>
        <v>500000</v>
      </c>
      <c r="J239" s="2">
        <f t="shared" si="27"/>
        <v>625000</v>
      </c>
      <c r="K239" s="2">
        <f t="shared" si="28"/>
        <v>750000</v>
      </c>
      <c r="L239" s="2">
        <f t="shared" si="29"/>
        <v>1000000</v>
      </c>
      <c r="M239" s="6">
        <f t="shared" si="30"/>
        <v>1.8845099999999999</v>
      </c>
      <c r="N239" t="str">
        <f t="shared" si="31"/>
        <v>150-200%</v>
      </c>
      <c r="O239" s="7">
        <f>MIN(I239,H239)*INDEX('2018_commission_structure'!$A$11:$I$14,MATCH(Calculations!$E239,'2018_commission_structure'!$A$11:$A$14,0),MATCH(Calculations!O$1,'2018_commission_structure'!$A$11:$I$11,0))</f>
        <v>50000</v>
      </c>
      <c r="P239" s="7">
        <f>IF($H239&gt;I239,MIN($H239-I239,J239-I239)*INDEX('2018_commission_structure'!$A$11:$I$14,MATCH(Calculations!$E239,'2018_commission_structure'!$A$11:$A$14,0), MATCH(Calculations!P$1,'2018_commission_structure'!$A$11:$I$11,0)),0)</f>
        <v>18750</v>
      </c>
      <c r="Q239" s="7">
        <f>IF($H239&gt;J239,MIN($H239-J239,K239-J239)*INDEX('2018_commission_structure'!$A$11:$I$14,MATCH(Calculations!$E239,'2018_commission_structure'!$A$11:$A$14,0), MATCH(Calculations!Q$1,'2018_commission_structure'!$A$11:$I$11,0)),0)</f>
        <v>22500</v>
      </c>
      <c r="R239" s="7">
        <f>IF($H239&gt;K239,MIN($H239-K239,L239-K239)*INDEX('2018_commission_structure'!$A$11:$I$14,MATCH(Calculations!$E239,'2018_commission_structure'!$A$11:$A$14,0), MATCH(Calculations!R$1,'2018_commission_structure'!$A$11:$I$11,0)),0)</f>
        <v>42296.1</v>
      </c>
      <c r="S239" s="7">
        <f>IF(H239&gt;L239,(H239-L239)*INDEX('2018_commission_structure'!$A$11:$I$14,MATCH(Calculations!$E239,'2018_commission_structure'!$A$11:$A$14,0),MATCH(Calculations!S$1,'2018_commission_structure'!$A$11:$I$11,0)),0)</f>
        <v>0</v>
      </c>
      <c r="T239" s="7">
        <f t="shared" si="32"/>
        <v>133546.1</v>
      </c>
      <c r="U239" s="7">
        <f t="shared" si="33"/>
        <v>191045.1</v>
      </c>
      <c r="V239" s="7">
        <f>MIN(H239,I239)*INDEX('2018_commission_structure'!$A$5:$J$8,MATCH(Calculations!$E239,'2018_commission_structure'!$A$5:$A$8,0),MATCH(Calculations!V$1,'2018_commission_structure'!$A$5:$J$5,0))</f>
        <v>60000</v>
      </c>
      <c r="W239" s="2">
        <f>IF($H239&gt;I239,MIN($H239-I239,J239-I239)*INDEX('2018_commission_structure'!$A$5:$J$8,MATCH(Calculations!$E239,'2018_commission_structure'!$A$5:$A$8,0),MATCH(Calculations!W$1,'2018_commission_structure'!$A$5:$J$5,0)),0)</f>
        <v>21250</v>
      </c>
      <c r="X239" s="2">
        <f>IF($H239&gt;J239,MIN($H239-J239,K239-J239)*INDEX('2018_commission_structure'!$A$5:$J$8,MATCH(Calculations!$E239,'2018_commission_structure'!$A$5:$A$8,0),MATCH(Calculations!X$1,'2018_commission_structure'!$A$5:$J$5,0)),0)</f>
        <v>25000</v>
      </c>
      <c r="Y239" s="2">
        <f>IF($H239&gt;K239,MIN($H239-K239,L239-K239)*INDEX('2018_commission_structure'!$A$5:$J$8,MATCH(Calculations!$E239,'2018_commission_structure'!$A$5:$A$8,0),MATCH(Calculations!Y$1,'2018_commission_structure'!$A$5:$J$5,0)),0)</f>
        <v>42296.1</v>
      </c>
      <c r="Z239" s="2">
        <f xml:space="preserve"> IF(H239&gt;L239,(H239-L239)*INDEX('2018_commission_structure'!$A$11:$I$14,MATCH(Calculations!$E239,'2018_commission_structure'!$A$11:$A$14,0),MATCH(Calculations!Z$1,'2018_commission_structure'!$A$11:$I$11,0)),0)</f>
        <v>0</v>
      </c>
      <c r="AA239" s="7">
        <f t="shared" si="34"/>
        <v>148546.1</v>
      </c>
      <c r="AB239" s="7">
        <f t="shared" si="35"/>
        <v>206045.1</v>
      </c>
    </row>
    <row r="240" spans="1:28" x14ac:dyDescent="0.25">
      <c r="A240">
        <v>5929508313</v>
      </c>
      <c r="B240" t="s">
        <v>123</v>
      </c>
      <c r="C240" t="s">
        <v>1769</v>
      </c>
      <c r="D240" t="str">
        <f>B240&amp;" "&amp;C240</f>
        <v>Georgiana Doul</v>
      </c>
      <c r="E240" t="s">
        <v>7</v>
      </c>
      <c r="F240">
        <v>64685</v>
      </c>
      <c r="G240">
        <f>COUNTIF(deals_closed!D:D,Calculations!A240)</f>
        <v>26</v>
      </c>
      <c r="H240" s="2">
        <f>SUMIF(deals_closed!D:D,Calculations!A240,deals_closed!C:C)</f>
        <v>925114</v>
      </c>
      <c r="I240" s="2">
        <f>VLOOKUP(E240,'2018_commission_structure'!$A$11:$I$14,9,FALSE)</f>
        <v>500000</v>
      </c>
      <c r="J240" s="2">
        <f t="shared" si="27"/>
        <v>625000</v>
      </c>
      <c r="K240" s="2">
        <f t="shared" si="28"/>
        <v>750000</v>
      </c>
      <c r="L240" s="2">
        <f t="shared" si="29"/>
        <v>1000000</v>
      </c>
      <c r="M240" s="6">
        <f t="shared" si="30"/>
        <v>1.850228</v>
      </c>
      <c r="N240" t="str">
        <f t="shared" si="31"/>
        <v>150-200%</v>
      </c>
      <c r="O240" s="7">
        <f>MIN(I240,H240)*INDEX('2018_commission_structure'!$A$11:$I$14,MATCH(Calculations!$E240,'2018_commission_structure'!$A$11:$A$14,0),MATCH(Calculations!O$1,'2018_commission_structure'!$A$11:$I$11,0))</f>
        <v>50000</v>
      </c>
      <c r="P240" s="7">
        <f>IF($H240&gt;I240,MIN($H240-I240,J240-I240)*INDEX('2018_commission_structure'!$A$11:$I$14,MATCH(Calculations!$E240,'2018_commission_structure'!$A$11:$A$14,0), MATCH(Calculations!P$1,'2018_commission_structure'!$A$11:$I$11,0)),0)</f>
        <v>18750</v>
      </c>
      <c r="Q240" s="7">
        <f>IF($H240&gt;J240,MIN($H240-J240,K240-J240)*INDEX('2018_commission_structure'!$A$11:$I$14,MATCH(Calculations!$E240,'2018_commission_structure'!$A$11:$A$14,0), MATCH(Calculations!Q$1,'2018_commission_structure'!$A$11:$I$11,0)),0)</f>
        <v>22500</v>
      </c>
      <c r="R240" s="7">
        <f>IF($H240&gt;K240,MIN($H240-K240,L240-K240)*INDEX('2018_commission_structure'!$A$11:$I$14,MATCH(Calculations!$E240,'2018_commission_structure'!$A$11:$A$14,0), MATCH(Calculations!R$1,'2018_commission_structure'!$A$11:$I$11,0)),0)</f>
        <v>38525.08</v>
      </c>
      <c r="S240" s="7">
        <f>IF(H240&gt;L240,(H240-L240)*INDEX('2018_commission_structure'!$A$11:$I$14,MATCH(Calculations!$E240,'2018_commission_structure'!$A$11:$A$14,0),MATCH(Calculations!S$1,'2018_commission_structure'!$A$11:$I$11,0)),0)</f>
        <v>0</v>
      </c>
      <c r="T240" s="7">
        <f t="shared" si="32"/>
        <v>129775.08</v>
      </c>
      <c r="U240" s="7">
        <f t="shared" si="33"/>
        <v>194460.08000000002</v>
      </c>
      <c r="V240" s="7">
        <f>MIN(H240,I240)*INDEX('2018_commission_structure'!$A$5:$J$8,MATCH(Calculations!$E240,'2018_commission_structure'!$A$5:$A$8,0),MATCH(Calculations!V$1,'2018_commission_structure'!$A$5:$J$5,0))</f>
        <v>60000</v>
      </c>
      <c r="W240" s="2">
        <f>IF($H240&gt;I240,MIN($H240-I240,J240-I240)*INDEX('2018_commission_structure'!$A$5:$J$8,MATCH(Calculations!$E240,'2018_commission_structure'!$A$5:$A$8,0),MATCH(Calculations!W$1,'2018_commission_structure'!$A$5:$J$5,0)),0)</f>
        <v>21250</v>
      </c>
      <c r="X240" s="2">
        <f>IF($H240&gt;J240,MIN($H240-J240,K240-J240)*INDEX('2018_commission_structure'!$A$5:$J$8,MATCH(Calculations!$E240,'2018_commission_structure'!$A$5:$A$8,0),MATCH(Calculations!X$1,'2018_commission_structure'!$A$5:$J$5,0)),0)</f>
        <v>25000</v>
      </c>
      <c r="Y240" s="2">
        <f>IF($H240&gt;K240,MIN($H240-K240,L240-K240)*INDEX('2018_commission_structure'!$A$5:$J$8,MATCH(Calculations!$E240,'2018_commission_structure'!$A$5:$A$8,0),MATCH(Calculations!Y$1,'2018_commission_structure'!$A$5:$J$5,0)),0)</f>
        <v>38525.08</v>
      </c>
      <c r="Z240" s="2">
        <f xml:space="preserve"> IF(H240&gt;L240,(H240-L240)*INDEX('2018_commission_structure'!$A$11:$I$14,MATCH(Calculations!$E240,'2018_commission_structure'!$A$11:$A$14,0),MATCH(Calculations!Z$1,'2018_commission_structure'!$A$11:$I$11,0)),0)</f>
        <v>0</v>
      </c>
      <c r="AA240" s="7">
        <f t="shared" si="34"/>
        <v>144775.08000000002</v>
      </c>
      <c r="AB240" s="7">
        <f t="shared" si="35"/>
        <v>209460.08000000002</v>
      </c>
    </row>
    <row r="241" spans="1:28" x14ac:dyDescent="0.25">
      <c r="A241">
        <v>923191143</v>
      </c>
      <c r="B241" t="s">
        <v>792</v>
      </c>
      <c r="C241" t="s">
        <v>793</v>
      </c>
      <c r="D241" t="str">
        <f>B241&amp;" "&amp;C241</f>
        <v>Nil Dowden</v>
      </c>
      <c r="E241" t="s">
        <v>29</v>
      </c>
      <c r="F241">
        <v>53354</v>
      </c>
      <c r="G241">
        <f>COUNTIF(deals_closed!D:D,Calculations!A241)</f>
        <v>15</v>
      </c>
      <c r="H241" s="2">
        <f>SUMIF(deals_closed!D:D,Calculations!A241,deals_closed!C:C)</f>
        <v>488228</v>
      </c>
      <c r="I241" s="2">
        <f>VLOOKUP(E241,'2018_commission_structure'!$A$11:$I$14,9,FALSE)</f>
        <v>600000</v>
      </c>
      <c r="J241" s="2">
        <f t="shared" si="27"/>
        <v>750000</v>
      </c>
      <c r="K241" s="2">
        <f t="shared" si="28"/>
        <v>900000</v>
      </c>
      <c r="L241" s="2">
        <f t="shared" si="29"/>
        <v>1200000</v>
      </c>
      <c r="M241" s="6">
        <f t="shared" si="30"/>
        <v>0.81371333333333329</v>
      </c>
      <c r="N241" t="str">
        <f t="shared" si="31"/>
        <v>0-100%</v>
      </c>
      <c r="O241" s="7">
        <f>MIN(I241,H241)*INDEX('2018_commission_structure'!$A$11:$I$14,MATCH(Calculations!$E241,'2018_commission_structure'!$A$11:$A$14,0),MATCH(Calculations!O$1,'2018_commission_structure'!$A$11:$I$11,0))</f>
        <v>63469.64</v>
      </c>
      <c r="P241" s="7">
        <f>IF($H241&gt;I241,MIN($H241-I241,J241-I241)*INDEX('2018_commission_structure'!$A$11:$I$14,MATCH(Calculations!$E241,'2018_commission_structure'!$A$11:$A$14,0), MATCH(Calculations!P$1,'2018_commission_structure'!$A$11:$I$11,0)),0)</f>
        <v>0</v>
      </c>
      <c r="Q241" s="7">
        <f>IF($H241&gt;J241,MIN($H241-J241,K241-J241)*INDEX('2018_commission_structure'!$A$11:$I$14,MATCH(Calculations!$E241,'2018_commission_structure'!$A$11:$A$14,0), MATCH(Calculations!Q$1,'2018_commission_structure'!$A$11:$I$11,0)),0)</f>
        <v>0</v>
      </c>
      <c r="R241" s="7">
        <f>IF($H241&gt;K241,MIN($H241-K241,L241-K241)*INDEX('2018_commission_structure'!$A$11:$I$14,MATCH(Calculations!$E241,'2018_commission_structure'!$A$11:$A$14,0), MATCH(Calculations!R$1,'2018_commission_structure'!$A$11:$I$11,0)),0)</f>
        <v>0</v>
      </c>
      <c r="S241" s="7">
        <f>IF(H241&gt;L241,(H241-L241)*INDEX('2018_commission_structure'!$A$11:$I$14,MATCH(Calculations!$E241,'2018_commission_structure'!$A$11:$A$14,0),MATCH(Calculations!S$1,'2018_commission_structure'!$A$11:$I$11,0)),0)</f>
        <v>0</v>
      </c>
      <c r="T241" s="7">
        <f t="shared" si="32"/>
        <v>63469.64</v>
      </c>
      <c r="U241" s="7">
        <f t="shared" si="33"/>
        <v>116823.64</v>
      </c>
      <c r="V241" s="7">
        <f>MIN(H241,I241)*INDEX('2018_commission_structure'!$A$5:$J$8,MATCH(Calculations!$E241,'2018_commission_structure'!$A$5:$A$8,0),MATCH(Calculations!V$1,'2018_commission_structure'!$A$5:$J$5,0))</f>
        <v>73234.2</v>
      </c>
      <c r="W241" s="2">
        <f>IF($H241&gt;I241,MIN($H241-I241,J241-I241)*INDEX('2018_commission_structure'!$A$5:$J$8,MATCH(Calculations!$E241,'2018_commission_structure'!$A$5:$A$8,0),MATCH(Calculations!W$1,'2018_commission_structure'!$A$5:$J$5,0)),0)</f>
        <v>0</v>
      </c>
      <c r="X241" s="2">
        <f>IF($H241&gt;J241,MIN($H241-J241,K241-J241)*INDEX('2018_commission_structure'!$A$5:$J$8,MATCH(Calculations!$E241,'2018_commission_structure'!$A$5:$A$8,0),MATCH(Calculations!X$1,'2018_commission_structure'!$A$5:$J$5,0)),0)</f>
        <v>0</v>
      </c>
      <c r="Y241" s="2">
        <f>IF($H241&gt;K241,MIN($H241-K241,L241-K241)*INDEX('2018_commission_structure'!$A$5:$J$8,MATCH(Calculations!$E241,'2018_commission_structure'!$A$5:$A$8,0),MATCH(Calculations!Y$1,'2018_commission_structure'!$A$5:$J$5,0)),0)</f>
        <v>0</v>
      </c>
      <c r="Z241" s="2">
        <f xml:space="preserve"> IF(H241&gt;L241,(H241-L241)*INDEX('2018_commission_structure'!$A$11:$I$14,MATCH(Calculations!$E241,'2018_commission_structure'!$A$11:$A$14,0),MATCH(Calculations!Z$1,'2018_commission_structure'!$A$11:$I$11,0)),0)</f>
        <v>0</v>
      </c>
      <c r="AA241" s="7">
        <f t="shared" si="34"/>
        <v>73234.2</v>
      </c>
      <c r="AB241" s="7">
        <f t="shared" si="35"/>
        <v>126588.2</v>
      </c>
    </row>
    <row r="242" spans="1:28" x14ac:dyDescent="0.25">
      <c r="A242">
        <v>6776868107</v>
      </c>
      <c r="B242" t="s">
        <v>993</v>
      </c>
      <c r="C242" t="s">
        <v>994</v>
      </c>
      <c r="D242" t="str">
        <f>B242&amp;" "&amp;C242</f>
        <v>Margit Dransfield</v>
      </c>
      <c r="E242" t="s">
        <v>10</v>
      </c>
      <c r="F242">
        <v>86367</v>
      </c>
      <c r="G242">
        <f>COUNTIF(deals_closed!D:D,Calculations!A242)</f>
        <v>19</v>
      </c>
      <c r="H242" s="2">
        <f>SUMIF(deals_closed!D:D,Calculations!A242,deals_closed!C:C)</f>
        <v>620798</v>
      </c>
      <c r="I242" s="2">
        <f>VLOOKUP(E242,'2018_commission_structure'!$A$11:$I$14,9,FALSE)</f>
        <v>750000</v>
      </c>
      <c r="J242" s="2">
        <f t="shared" si="27"/>
        <v>937500</v>
      </c>
      <c r="K242" s="2">
        <f t="shared" si="28"/>
        <v>1125000</v>
      </c>
      <c r="L242" s="2">
        <f t="shared" si="29"/>
        <v>1500000</v>
      </c>
      <c r="M242" s="6">
        <f t="shared" si="30"/>
        <v>0.82773066666666661</v>
      </c>
      <c r="N242" t="str">
        <f t="shared" si="31"/>
        <v>0-100%</v>
      </c>
      <c r="O242" s="7">
        <f>MIN(I242,H242)*INDEX('2018_commission_structure'!$A$11:$I$14,MATCH(Calculations!$E242,'2018_commission_structure'!$A$11:$A$14,0),MATCH(Calculations!O$1,'2018_commission_structure'!$A$11:$I$11,0))</f>
        <v>93119.7</v>
      </c>
      <c r="P242" s="7">
        <f>IF($H242&gt;I242,MIN($H242-I242,J242-I242)*INDEX('2018_commission_structure'!$A$11:$I$14,MATCH(Calculations!$E242,'2018_commission_structure'!$A$11:$A$14,0), MATCH(Calculations!P$1,'2018_commission_structure'!$A$11:$I$11,0)),0)</f>
        <v>0</v>
      </c>
      <c r="Q242" s="7">
        <f>IF($H242&gt;J242,MIN($H242-J242,K242-J242)*INDEX('2018_commission_structure'!$A$11:$I$14,MATCH(Calculations!$E242,'2018_commission_structure'!$A$11:$A$14,0), MATCH(Calculations!Q$1,'2018_commission_structure'!$A$11:$I$11,0)),0)</f>
        <v>0</v>
      </c>
      <c r="R242" s="7">
        <f>IF($H242&gt;K242,MIN($H242-K242,L242-K242)*INDEX('2018_commission_structure'!$A$11:$I$14,MATCH(Calculations!$E242,'2018_commission_structure'!$A$11:$A$14,0), MATCH(Calculations!R$1,'2018_commission_structure'!$A$11:$I$11,0)),0)</f>
        <v>0</v>
      </c>
      <c r="S242" s="7">
        <f>IF(H242&gt;L242,(H242-L242)*INDEX('2018_commission_structure'!$A$11:$I$14,MATCH(Calculations!$E242,'2018_commission_structure'!$A$11:$A$14,0),MATCH(Calculations!S$1,'2018_commission_structure'!$A$11:$I$11,0)),0)</f>
        <v>0</v>
      </c>
      <c r="T242" s="7">
        <f t="shared" si="32"/>
        <v>93119.7</v>
      </c>
      <c r="U242" s="7">
        <f t="shared" si="33"/>
        <v>179486.7</v>
      </c>
      <c r="V242" s="7">
        <f>MIN(H242,I242)*INDEX('2018_commission_structure'!$A$5:$J$8,MATCH(Calculations!$E242,'2018_commission_structure'!$A$5:$A$8,0),MATCH(Calculations!V$1,'2018_commission_structure'!$A$5:$J$5,0))</f>
        <v>93119.7</v>
      </c>
      <c r="W242" s="2">
        <f>IF($H242&gt;I242,MIN($H242-I242,J242-I242)*INDEX('2018_commission_structure'!$A$5:$J$8,MATCH(Calculations!$E242,'2018_commission_structure'!$A$5:$A$8,0),MATCH(Calculations!W$1,'2018_commission_structure'!$A$5:$J$5,0)),0)</f>
        <v>0</v>
      </c>
      <c r="X242" s="2">
        <f>IF($H242&gt;J242,MIN($H242-J242,K242-J242)*INDEX('2018_commission_structure'!$A$5:$J$8,MATCH(Calculations!$E242,'2018_commission_structure'!$A$5:$A$8,0),MATCH(Calculations!X$1,'2018_commission_structure'!$A$5:$J$5,0)),0)</f>
        <v>0</v>
      </c>
      <c r="Y242" s="2">
        <f>IF($H242&gt;K242,MIN($H242-K242,L242-K242)*INDEX('2018_commission_structure'!$A$5:$J$8,MATCH(Calculations!$E242,'2018_commission_structure'!$A$5:$A$8,0),MATCH(Calculations!Y$1,'2018_commission_structure'!$A$5:$J$5,0)),0)</f>
        <v>0</v>
      </c>
      <c r="Z242" s="2">
        <f xml:space="preserve"> IF(H242&gt;L242,(H242-L242)*INDEX('2018_commission_structure'!$A$11:$I$14,MATCH(Calculations!$E242,'2018_commission_structure'!$A$11:$A$14,0),MATCH(Calculations!Z$1,'2018_commission_structure'!$A$11:$I$11,0)),0)</f>
        <v>0</v>
      </c>
      <c r="AA242" s="7">
        <f t="shared" si="34"/>
        <v>93119.7</v>
      </c>
      <c r="AB242" s="7">
        <f t="shared" si="35"/>
        <v>179486.7</v>
      </c>
    </row>
    <row r="243" spans="1:28" x14ac:dyDescent="0.25">
      <c r="A243">
        <v>8238030943</v>
      </c>
      <c r="B243" t="s">
        <v>1007</v>
      </c>
      <c r="C243" t="s">
        <v>1008</v>
      </c>
      <c r="D243" t="str">
        <f>B243&amp;" "&amp;C243</f>
        <v>Bennie Drayton</v>
      </c>
      <c r="E243" t="s">
        <v>10</v>
      </c>
      <c r="F243">
        <v>118977</v>
      </c>
      <c r="G243">
        <f>COUNTIF(deals_closed!D:D,Calculations!A243)</f>
        <v>23</v>
      </c>
      <c r="H243" s="2">
        <f>SUMIF(deals_closed!D:D,Calculations!A243,deals_closed!C:C)</f>
        <v>842895</v>
      </c>
      <c r="I243" s="2">
        <f>VLOOKUP(E243,'2018_commission_structure'!$A$11:$I$14,9,FALSE)</f>
        <v>750000</v>
      </c>
      <c r="J243" s="2">
        <f t="shared" si="27"/>
        <v>937500</v>
      </c>
      <c r="K243" s="2">
        <f t="shared" si="28"/>
        <v>1125000</v>
      </c>
      <c r="L243" s="2">
        <f t="shared" si="29"/>
        <v>1500000</v>
      </c>
      <c r="M243" s="6">
        <f t="shared" si="30"/>
        <v>1.1238600000000001</v>
      </c>
      <c r="N243" t="str">
        <f t="shared" si="31"/>
        <v>100-125%</v>
      </c>
      <c r="O243" s="7">
        <f>MIN(I243,H243)*INDEX('2018_commission_structure'!$A$11:$I$14,MATCH(Calculations!$E243,'2018_commission_structure'!$A$11:$A$14,0),MATCH(Calculations!O$1,'2018_commission_structure'!$A$11:$I$11,0))</f>
        <v>112500</v>
      </c>
      <c r="P243" s="7">
        <f>IF($H243&gt;I243,MIN($H243-I243,J243-I243)*INDEX('2018_commission_structure'!$A$11:$I$14,MATCH(Calculations!$E243,'2018_commission_structure'!$A$11:$A$14,0), MATCH(Calculations!P$1,'2018_commission_structure'!$A$11:$I$11,0)),0)</f>
        <v>17650.05</v>
      </c>
      <c r="Q243" s="7">
        <f>IF($H243&gt;J243,MIN($H243-J243,K243-J243)*INDEX('2018_commission_structure'!$A$11:$I$14,MATCH(Calculations!$E243,'2018_commission_structure'!$A$11:$A$14,0), MATCH(Calculations!Q$1,'2018_commission_structure'!$A$11:$I$11,0)),0)</f>
        <v>0</v>
      </c>
      <c r="R243" s="7">
        <f>IF($H243&gt;K243,MIN($H243-K243,L243-K243)*INDEX('2018_commission_structure'!$A$11:$I$14,MATCH(Calculations!$E243,'2018_commission_structure'!$A$11:$A$14,0), MATCH(Calculations!R$1,'2018_commission_structure'!$A$11:$I$11,0)),0)</f>
        <v>0</v>
      </c>
      <c r="S243" s="7">
        <f>IF(H243&gt;L243,(H243-L243)*INDEX('2018_commission_structure'!$A$11:$I$14,MATCH(Calculations!$E243,'2018_commission_structure'!$A$11:$A$14,0),MATCH(Calculations!S$1,'2018_commission_structure'!$A$11:$I$11,0)),0)</f>
        <v>0</v>
      </c>
      <c r="T243" s="7">
        <f t="shared" si="32"/>
        <v>130150.05</v>
      </c>
      <c r="U243" s="7">
        <f t="shared" si="33"/>
        <v>249127.05</v>
      </c>
      <c r="V243" s="7">
        <f>MIN(H243,I243)*INDEX('2018_commission_structure'!$A$5:$J$8,MATCH(Calculations!$E243,'2018_commission_structure'!$A$5:$A$8,0),MATCH(Calculations!V$1,'2018_commission_structure'!$A$5:$J$5,0))</f>
        <v>112500</v>
      </c>
      <c r="W243" s="2">
        <f>IF($H243&gt;I243,MIN($H243-I243,J243-I243)*INDEX('2018_commission_structure'!$A$5:$J$8,MATCH(Calculations!$E243,'2018_commission_structure'!$A$5:$A$8,0),MATCH(Calculations!W$1,'2018_commission_structure'!$A$5:$J$5,0)),0)</f>
        <v>20436.900000000001</v>
      </c>
      <c r="X243" s="2">
        <f>IF($H243&gt;J243,MIN($H243-J243,K243-J243)*INDEX('2018_commission_structure'!$A$5:$J$8,MATCH(Calculations!$E243,'2018_commission_structure'!$A$5:$A$8,0),MATCH(Calculations!X$1,'2018_commission_structure'!$A$5:$J$5,0)),0)</f>
        <v>0</v>
      </c>
      <c r="Y243" s="2">
        <f>IF($H243&gt;K243,MIN($H243-K243,L243-K243)*INDEX('2018_commission_structure'!$A$5:$J$8,MATCH(Calculations!$E243,'2018_commission_structure'!$A$5:$A$8,0),MATCH(Calculations!Y$1,'2018_commission_structure'!$A$5:$J$5,0)),0)</f>
        <v>0</v>
      </c>
      <c r="Z243" s="2">
        <f xml:space="preserve"> IF(H243&gt;L243,(H243-L243)*INDEX('2018_commission_structure'!$A$11:$I$14,MATCH(Calculations!$E243,'2018_commission_structure'!$A$11:$A$14,0),MATCH(Calculations!Z$1,'2018_commission_structure'!$A$11:$I$11,0)),0)</f>
        <v>0</v>
      </c>
      <c r="AA243" s="7">
        <f t="shared" si="34"/>
        <v>132936.9</v>
      </c>
      <c r="AB243" s="7">
        <f t="shared" si="35"/>
        <v>251913.9</v>
      </c>
    </row>
    <row r="244" spans="1:28" x14ac:dyDescent="0.25">
      <c r="A244">
        <v>594961432</v>
      </c>
      <c r="B244" t="s">
        <v>1720</v>
      </c>
      <c r="C244" t="s">
        <v>1008</v>
      </c>
      <c r="D244" t="str">
        <f>B244&amp;" "&amp;C244</f>
        <v>Sheffield Drayton</v>
      </c>
      <c r="E244" t="s">
        <v>10</v>
      </c>
      <c r="F244">
        <v>90375</v>
      </c>
      <c r="G244">
        <f>COUNTIF(deals_closed!D:D,Calculations!A244)</f>
        <v>21</v>
      </c>
      <c r="H244" s="2">
        <f>SUMIF(deals_closed!D:D,Calculations!A244,deals_closed!C:C)</f>
        <v>698575</v>
      </c>
      <c r="I244" s="2">
        <f>VLOOKUP(E244,'2018_commission_structure'!$A$11:$I$14,9,FALSE)</f>
        <v>750000</v>
      </c>
      <c r="J244" s="2">
        <f t="shared" si="27"/>
        <v>937500</v>
      </c>
      <c r="K244" s="2">
        <f t="shared" si="28"/>
        <v>1125000</v>
      </c>
      <c r="L244" s="2">
        <f t="shared" si="29"/>
        <v>1500000</v>
      </c>
      <c r="M244" s="6">
        <f t="shared" si="30"/>
        <v>0.93143333333333334</v>
      </c>
      <c r="N244" t="str">
        <f t="shared" si="31"/>
        <v>0-100%</v>
      </c>
      <c r="O244" s="7">
        <f>MIN(I244,H244)*INDEX('2018_commission_structure'!$A$11:$I$14,MATCH(Calculations!$E244,'2018_commission_structure'!$A$11:$A$14,0),MATCH(Calculations!O$1,'2018_commission_structure'!$A$11:$I$11,0))</f>
        <v>104786.25</v>
      </c>
      <c r="P244" s="7">
        <f>IF($H244&gt;I244,MIN($H244-I244,J244-I244)*INDEX('2018_commission_structure'!$A$11:$I$14,MATCH(Calculations!$E244,'2018_commission_structure'!$A$11:$A$14,0), MATCH(Calculations!P$1,'2018_commission_structure'!$A$11:$I$11,0)),0)</f>
        <v>0</v>
      </c>
      <c r="Q244" s="7">
        <f>IF($H244&gt;J244,MIN($H244-J244,K244-J244)*INDEX('2018_commission_structure'!$A$11:$I$14,MATCH(Calculations!$E244,'2018_commission_structure'!$A$11:$A$14,0), MATCH(Calculations!Q$1,'2018_commission_structure'!$A$11:$I$11,0)),0)</f>
        <v>0</v>
      </c>
      <c r="R244" s="7">
        <f>IF($H244&gt;K244,MIN($H244-K244,L244-K244)*INDEX('2018_commission_structure'!$A$11:$I$14,MATCH(Calculations!$E244,'2018_commission_structure'!$A$11:$A$14,0), MATCH(Calculations!R$1,'2018_commission_structure'!$A$11:$I$11,0)),0)</f>
        <v>0</v>
      </c>
      <c r="S244" s="7">
        <f>IF(H244&gt;L244,(H244-L244)*INDEX('2018_commission_structure'!$A$11:$I$14,MATCH(Calculations!$E244,'2018_commission_structure'!$A$11:$A$14,0),MATCH(Calculations!S$1,'2018_commission_structure'!$A$11:$I$11,0)),0)</f>
        <v>0</v>
      </c>
      <c r="T244" s="7">
        <f t="shared" si="32"/>
        <v>104786.25</v>
      </c>
      <c r="U244" s="7">
        <f t="shared" si="33"/>
        <v>195161.25</v>
      </c>
      <c r="V244" s="7">
        <f>MIN(H244,I244)*INDEX('2018_commission_structure'!$A$5:$J$8,MATCH(Calculations!$E244,'2018_commission_structure'!$A$5:$A$8,0),MATCH(Calculations!V$1,'2018_commission_structure'!$A$5:$J$5,0))</f>
        <v>104786.25</v>
      </c>
      <c r="W244" s="2">
        <f>IF($H244&gt;I244,MIN($H244-I244,J244-I244)*INDEX('2018_commission_structure'!$A$5:$J$8,MATCH(Calculations!$E244,'2018_commission_structure'!$A$5:$A$8,0),MATCH(Calculations!W$1,'2018_commission_structure'!$A$5:$J$5,0)),0)</f>
        <v>0</v>
      </c>
      <c r="X244" s="2">
        <f>IF($H244&gt;J244,MIN($H244-J244,K244-J244)*INDEX('2018_commission_structure'!$A$5:$J$8,MATCH(Calculations!$E244,'2018_commission_structure'!$A$5:$A$8,0),MATCH(Calculations!X$1,'2018_commission_structure'!$A$5:$J$5,0)),0)</f>
        <v>0</v>
      </c>
      <c r="Y244" s="2">
        <f>IF($H244&gt;K244,MIN($H244-K244,L244-K244)*INDEX('2018_commission_structure'!$A$5:$J$8,MATCH(Calculations!$E244,'2018_commission_structure'!$A$5:$A$8,0),MATCH(Calculations!Y$1,'2018_commission_structure'!$A$5:$J$5,0)),0)</f>
        <v>0</v>
      </c>
      <c r="Z244" s="2">
        <f xml:space="preserve"> IF(H244&gt;L244,(H244-L244)*INDEX('2018_commission_structure'!$A$11:$I$14,MATCH(Calculations!$E244,'2018_commission_structure'!$A$11:$A$14,0),MATCH(Calculations!Z$1,'2018_commission_structure'!$A$11:$I$11,0)),0)</f>
        <v>0</v>
      </c>
      <c r="AA244" s="7">
        <f t="shared" si="34"/>
        <v>104786.25</v>
      </c>
      <c r="AB244" s="7">
        <f t="shared" si="35"/>
        <v>195161.25</v>
      </c>
    </row>
    <row r="245" spans="1:28" x14ac:dyDescent="0.25">
      <c r="A245">
        <v>6259267215</v>
      </c>
      <c r="B245" t="s">
        <v>1367</v>
      </c>
      <c r="C245" t="s">
        <v>1368</v>
      </c>
      <c r="D245" t="str">
        <f>B245&amp;" "&amp;C245</f>
        <v>Had Drew</v>
      </c>
      <c r="E245" t="s">
        <v>7</v>
      </c>
      <c r="F245">
        <v>46915</v>
      </c>
      <c r="G245">
        <f>COUNTIF(deals_closed!D:D,Calculations!A245)</f>
        <v>15</v>
      </c>
      <c r="H245" s="2">
        <f>SUMIF(deals_closed!D:D,Calculations!A245,deals_closed!C:C)</f>
        <v>482137</v>
      </c>
      <c r="I245" s="2">
        <f>VLOOKUP(E245,'2018_commission_structure'!$A$11:$I$14,9,FALSE)</f>
        <v>500000</v>
      </c>
      <c r="J245" s="2">
        <f t="shared" si="27"/>
        <v>625000</v>
      </c>
      <c r="K245" s="2">
        <f t="shared" si="28"/>
        <v>750000</v>
      </c>
      <c r="L245" s="2">
        <f t="shared" si="29"/>
        <v>1000000</v>
      </c>
      <c r="M245" s="6">
        <f t="shared" si="30"/>
        <v>0.96427399999999996</v>
      </c>
      <c r="N245" t="str">
        <f t="shared" si="31"/>
        <v>0-100%</v>
      </c>
      <c r="O245" s="7">
        <f>MIN(I245,H245)*INDEX('2018_commission_structure'!$A$11:$I$14,MATCH(Calculations!$E245,'2018_commission_structure'!$A$11:$A$14,0),MATCH(Calculations!O$1,'2018_commission_structure'!$A$11:$I$11,0))</f>
        <v>48213.700000000004</v>
      </c>
      <c r="P245" s="7">
        <f>IF($H245&gt;I245,MIN($H245-I245,J245-I245)*INDEX('2018_commission_structure'!$A$11:$I$14,MATCH(Calculations!$E245,'2018_commission_structure'!$A$11:$A$14,0), MATCH(Calculations!P$1,'2018_commission_structure'!$A$11:$I$11,0)),0)</f>
        <v>0</v>
      </c>
      <c r="Q245" s="7">
        <f>IF($H245&gt;J245,MIN($H245-J245,K245-J245)*INDEX('2018_commission_structure'!$A$11:$I$14,MATCH(Calculations!$E245,'2018_commission_structure'!$A$11:$A$14,0), MATCH(Calculations!Q$1,'2018_commission_structure'!$A$11:$I$11,0)),0)</f>
        <v>0</v>
      </c>
      <c r="R245" s="7">
        <f>IF($H245&gt;K245,MIN($H245-K245,L245-K245)*INDEX('2018_commission_structure'!$A$11:$I$14,MATCH(Calculations!$E245,'2018_commission_structure'!$A$11:$A$14,0), MATCH(Calculations!R$1,'2018_commission_structure'!$A$11:$I$11,0)),0)</f>
        <v>0</v>
      </c>
      <c r="S245" s="7">
        <f>IF(H245&gt;L245,(H245-L245)*INDEX('2018_commission_structure'!$A$11:$I$14,MATCH(Calculations!$E245,'2018_commission_structure'!$A$11:$A$14,0),MATCH(Calculations!S$1,'2018_commission_structure'!$A$11:$I$11,0)),0)</f>
        <v>0</v>
      </c>
      <c r="T245" s="7">
        <f t="shared" si="32"/>
        <v>48213.700000000004</v>
      </c>
      <c r="U245" s="7">
        <f t="shared" si="33"/>
        <v>95128.700000000012</v>
      </c>
      <c r="V245" s="7">
        <f>MIN(H245,I245)*INDEX('2018_commission_structure'!$A$5:$J$8,MATCH(Calculations!$E245,'2018_commission_structure'!$A$5:$A$8,0),MATCH(Calculations!V$1,'2018_commission_structure'!$A$5:$J$5,0))</f>
        <v>57856.439999999995</v>
      </c>
      <c r="W245" s="2">
        <f>IF($H245&gt;I245,MIN($H245-I245,J245-I245)*INDEX('2018_commission_structure'!$A$5:$J$8,MATCH(Calculations!$E245,'2018_commission_structure'!$A$5:$A$8,0),MATCH(Calculations!W$1,'2018_commission_structure'!$A$5:$J$5,0)),0)</f>
        <v>0</v>
      </c>
      <c r="X245" s="2">
        <f>IF($H245&gt;J245,MIN($H245-J245,K245-J245)*INDEX('2018_commission_structure'!$A$5:$J$8,MATCH(Calculations!$E245,'2018_commission_structure'!$A$5:$A$8,0),MATCH(Calculations!X$1,'2018_commission_structure'!$A$5:$J$5,0)),0)</f>
        <v>0</v>
      </c>
      <c r="Y245" s="2">
        <f>IF($H245&gt;K245,MIN($H245-K245,L245-K245)*INDEX('2018_commission_structure'!$A$5:$J$8,MATCH(Calculations!$E245,'2018_commission_structure'!$A$5:$A$8,0),MATCH(Calculations!Y$1,'2018_commission_structure'!$A$5:$J$5,0)),0)</f>
        <v>0</v>
      </c>
      <c r="Z245" s="2">
        <f xml:space="preserve"> IF(H245&gt;L245,(H245-L245)*INDEX('2018_commission_structure'!$A$11:$I$14,MATCH(Calculations!$E245,'2018_commission_structure'!$A$11:$A$14,0),MATCH(Calculations!Z$1,'2018_commission_structure'!$A$11:$I$11,0)),0)</f>
        <v>0</v>
      </c>
      <c r="AA245" s="7">
        <f t="shared" si="34"/>
        <v>57856.439999999995</v>
      </c>
      <c r="AB245" s="7">
        <f t="shared" si="35"/>
        <v>104771.44</v>
      </c>
    </row>
    <row r="246" spans="1:28" x14ac:dyDescent="0.25">
      <c r="A246">
        <v>4649590612</v>
      </c>
      <c r="B246" t="s">
        <v>1593</v>
      </c>
      <c r="C246" t="s">
        <v>1594</v>
      </c>
      <c r="D246" t="str">
        <f>B246&amp;" "&amp;C246</f>
        <v>Wilmette Dronsfield</v>
      </c>
      <c r="E246" t="s">
        <v>29</v>
      </c>
      <c r="F246">
        <v>73006</v>
      </c>
      <c r="G246">
        <f>COUNTIF(deals_closed!D:D,Calculations!A246)</f>
        <v>17</v>
      </c>
      <c r="H246" s="2">
        <f>SUMIF(deals_closed!D:D,Calculations!A246,deals_closed!C:C)</f>
        <v>528881</v>
      </c>
      <c r="I246" s="2">
        <f>VLOOKUP(E246,'2018_commission_structure'!$A$11:$I$14,9,FALSE)</f>
        <v>600000</v>
      </c>
      <c r="J246" s="2">
        <f t="shared" si="27"/>
        <v>750000</v>
      </c>
      <c r="K246" s="2">
        <f t="shared" si="28"/>
        <v>900000</v>
      </c>
      <c r="L246" s="2">
        <f t="shared" si="29"/>
        <v>1200000</v>
      </c>
      <c r="M246" s="6">
        <f t="shared" si="30"/>
        <v>0.8814683333333333</v>
      </c>
      <c r="N246" t="str">
        <f t="shared" si="31"/>
        <v>0-100%</v>
      </c>
      <c r="O246" s="7">
        <f>MIN(I246,H246)*INDEX('2018_commission_structure'!$A$11:$I$14,MATCH(Calculations!$E246,'2018_commission_structure'!$A$11:$A$14,0),MATCH(Calculations!O$1,'2018_commission_structure'!$A$11:$I$11,0))</f>
        <v>68754.53</v>
      </c>
      <c r="P246" s="7">
        <f>IF($H246&gt;I246,MIN($H246-I246,J246-I246)*INDEX('2018_commission_structure'!$A$11:$I$14,MATCH(Calculations!$E246,'2018_commission_structure'!$A$11:$A$14,0), MATCH(Calculations!P$1,'2018_commission_structure'!$A$11:$I$11,0)),0)</f>
        <v>0</v>
      </c>
      <c r="Q246" s="7">
        <f>IF($H246&gt;J246,MIN($H246-J246,K246-J246)*INDEX('2018_commission_structure'!$A$11:$I$14,MATCH(Calculations!$E246,'2018_commission_structure'!$A$11:$A$14,0), MATCH(Calculations!Q$1,'2018_commission_structure'!$A$11:$I$11,0)),0)</f>
        <v>0</v>
      </c>
      <c r="R246" s="7">
        <f>IF($H246&gt;K246,MIN($H246-K246,L246-K246)*INDEX('2018_commission_structure'!$A$11:$I$14,MATCH(Calculations!$E246,'2018_commission_structure'!$A$11:$A$14,0), MATCH(Calculations!R$1,'2018_commission_structure'!$A$11:$I$11,0)),0)</f>
        <v>0</v>
      </c>
      <c r="S246" s="7">
        <f>IF(H246&gt;L246,(H246-L246)*INDEX('2018_commission_structure'!$A$11:$I$14,MATCH(Calculations!$E246,'2018_commission_structure'!$A$11:$A$14,0),MATCH(Calculations!S$1,'2018_commission_structure'!$A$11:$I$11,0)),0)</f>
        <v>0</v>
      </c>
      <c r="T246" s="7">
        <f t="shared" si="32"/>
        <v>68754.53</v>
      </c>
      <c r="U246" s="7">
        <f t="shared" si="33"/>
        <v>141760.53</v>
      </c>
      <c r="V246" s="7">
        <f>MIN(H246,I246)*INDEX('2018_commission_structure'!$A$5:$J$8,MATCH(Calculations!$E246,'2018_commission_structure'!$A$5:$A$8,0),MATCH(Calculations!V$1,'2018_commission_structure'!$A$5:$J$5,0))</f>
        <v>79332.149999999994</v>
      </c>
      <c r="W246" s="2">
        <f>IF($H246&gt;I246,MIN($H246-I246,J246-I246)*INDEX('2018_commission_structure'!$A$5:$J$8,MATCH(Calculations!$E246,'2018_commission_structure'!$A$5:$A$8,0),MATCH(Calculations!W$1,'2018_commission_structure'!$A$5:$J$5,0)),0)</f>
        <v>0</v>
      </c>
      <c r="X246" s="2">
        <f>IF($H246&gt;J246,MIN($H246-J246,K246-J246)*INDEX('2018_commission_structure'!$A$5:$J$8,MATCH(Calculations!$E246,'2018_commission_structure'!$A$5:$A$8,0),MATCH(Calculations!X$1,'2018_commission_structure'!$A$5:$J$5,0)),0)</f>
        <v>0</v>
      </c>
      <c r="Y246" s="2">
        <f>IF($H246&gt;K246,MIN($H246-K246,L246-K246)*INDEX('2018_commission_structure'!$A$5:$J$8,MATCH(Calculations!$E246,'2018_commission_structure'!$A$5:$A$8,0),MATCH(Calculations!Y$1,'2018_commission_structure'!$A$5:$J$5,0)),0)</f>
        <v>0</v>
      </c>
      <c r="Z246" s="2">
        <f xml:space="preserve"> IF(H246&gt;L246,(H246-L246)*INDEX('2018_commission_structure'!$A$11:$I$14,MATCH(Calculations!$E246,'2018_commission_structure'!$A$11:$A$14,0),MATCH(Calculations!Z$1,'2018_commission_structure'!$A$11:$I$11,0)),0)</f>
        <v>0</v>
      </c>
      <c r="AA246" s="7">
        <f t="shared" si="34"/>
        <v>79332.149999999994</v>
      </c>
      <c r="AB246" s="7">
        <f t="shared" si="35"/>
        <v>152338.15</v>
      </c>
    </row>
    <row r="247" spans="1:28" x14ac:dyDescent="0.25">
      <c r="A247">
        <v>2893065872</v>
      </c>
      <c r="B247" t="s">
        <v>783</v>
      </c>
      <c r="C247" t="s">
        <v>1846</v>
      </c>
      <c r="D247" t="str">
        <f>B247&amp;" "&amp;C247</f>
        <v>Wallas Druitt</v>
      </c>
      <c r="E247" t="s">
        <v>7</v>
      </c>
      <c r="F247">
        <v>34863</v>
      </c>
      <c r="G247">
        <f>COUNTIF(deals_closed!D:D,Calculations!A247)</f>
        <v>14</v>
      </c>
      <c r="H247" s="2">
        <f>SUMIF(deals_closed!D:D,Calculations!A247,deals_closed!C:C)</f>
        <v>483097</v>
      </c>
      <c r="I247" s="2">
        <f>VLOOKUP(E247,'2018_commission_structure'!$A$11:$I$14,9,FALSE)</f>
        <v>500000</v>
      </c>
      <c r="J247" s="2">
        <f t="shared" si="27"/>
        <v>625000</v>
      </c>
      <c r="K247" s="2">
        <f t="shared" si="28"/>
        <v>750000</v>
      </c>
      <c r="L247" s="2">
        <f t="shared" si="29"/>
        <v>1000000</v>
      </c>
      <c r="M247" s="6">
        <f t="shared" si="30"/>
        <v>0.966194</v>
      </c>
      <c r="N247" t="str">
        <f t="shared" si="31"/>
        <v>0-100%</v>
      </c>
      <c r="O247" s="7">
        <f>MIN(I247,H247)*INDEX('2018_commission_structure'!$A$11:$I$14,MATCH(Calculations!$E247,'2018_commission_structure'!$A$11:$A$14,0),MATCH(Calculations!O$1,'2018_commission_structure'!$A$11:$I$11,0))</f>
        <v>48309.700000000004</v>
      </c>
      <c r="P247" s="7">
        <f>IF($H247&gt;I247,MIN($H247-I247,J247-I247)*INDEX('2018_commission_structure'!$A$11:$I$14,MATCH(Calculations!$E247,'2018_commission_structure'!$A$11:$A$14,0), MATCH(Calculations!P$1,'2018_commission_structure'!$A$11:$I$11,0)),0)</f>
        <v>0</v>
      </c>
      <c r="Q247" s="7">
        <f>IF($H247&gt;J247,MIN($H247-J247,K247-J247)*INDEX('2018_commission_structure'!$A$11:$I$14,MATCH(Calculations!$E247,'2018_commission_structure'!$A$11:$A$14,0), MATCH(Calculations!Q$1,'2018_commission_structure'!$A$11:$I$11,0)),0)</f>
        <v>0</v>
      </c>
      <c r="R247" s="7">
        <f>IF($H247&gt;K247,MIN($H247-K247,L247-K247)*INDEX('2018_commission_structure'!$A$11:$I$14,MATCH(Calculations!$E247,'2018_commission_structure'!$A$11:$A$14,0), MATCH(Calculations!R$1,'2018_commission_structure'!$A$11:$I$11,0)),0)</f>
        <v>0</v>
      </c>
      <c r="S247" s="7">
        <f>IF(H247&gt;L247,(H247-L247)*INDEX('2018_commission_structure'!$A$11:$I$14,MATCH(Calculations!$E247,'2018_commission_structure'!$A$11:$A$14,0),MATCH(Calculations!S$1,'2018_commission_structure'!$A$11:$I$11,0)),0)</f>
        <v>0</v>
      </c>
      <c r="T247" s="7">
        <f t="shared" si="32"/>
        <v>48309.700000000004</v>
      </c>
      <c r="U247" s="7">
        <f t="shared" si="33"/>
        <v>83172.700000000012</v>
      </c>
      <c r="V247" s="7">
        <f>MIN(H247,I247)*INDEX('2018_commission_structure'!$A$5:$J$8,MATCH(Calculations!$E247,'2018_commission_structure'!$A$5:$A$8,0),MATCH(Calculations!V$1,'2018_commission_structure'!$A$5:$J$5,0))</f>
        <v>57971.64</v>
      </c>
      <c r="W247" s="2">
        <f>IF($H247&gt;I247,MIN($H247-I247,J247-I247)*INDEX('2018_commission_structure'!$A$5:$J$8,MATCH(Calculations!$E247,'2018_commission_structure'!$A$5:$A$8,0),MATCH(Calculations!W$1,'2018_commission_structure'!$A$5:$J$5,0)),0)</f>
        <v>0</v>
      </c>
      <c r="X247" s="2">
        <f>IF($H247&gt;J247,MIN($H247-J247,K247-J247)*INDEX('2018_commission_structure'!$A$5:$J$8,MATCH(Calculations!$E247,'2018_commission_structure'!$A$5:$A$8,0),MATCH(Calculations!X$1,'2018_commission_structure'!$A$5:$J$5,0)),0)</f>
        <v>0</v>
      </c>
      <c r="Y247" s="2">
        <f>IF($H247&gt;K247,MIN($H247-K247,L247-K247)*INDEX('2018_commission_structure'!$A$5:$J$8,MATCH(Calculations!$E247,'2018_commission_structure'!$A$5:$A$8,0),MATCH(Calculations!Y$1,'2018_commission_structure'!$A$5:$J$5,0)),0)</f>
        <v>0</v>
      </c>
      <c r="Z247" s="2">
        <f xml:space="preserve"> IF(H247&gt;L247,(H247-L247)*INDEX('2018_commission_structure'!$A$11:$I$14,MATCH(Calculations!$E247,'2018_commission_structure'!$A$11:$A$14,0),MATCH(Calculations!Z$1,'2018_commission_structure'!$A$11:$I$11,0)),0)</f>
        <v>0</v>
      </c>
      <c r="AA247" s="7">
        <f t="shared" si="34"/>
        <v>57971.64</v>
      </c>
      <c r="AB247" s="7">
        <f t="shared" si="35"/>
        <v>92834.64</v>
      </c>
    </row>
    <row r="248" spans="1:28" x14ac:dyDescent="0.25">
      <c r="A248">
        <v>6938295417</v>
      </c>
      <c r="B248" t="s">
        <v>954</v>
      </c>
      <c r="C248" t="s">
        <v>955</v>
      </c>
      <c r="D248" t="str">
        <f>B248&amp;" "&amp;C248</f>
        <v>Aldin Dryburgh</v>
      </c>
      <c r="E248" t="s">
        <v>7</v>
      </c>
      <c r="F248">
        <v>40716</v>
      </c>
      <c r="G248">
        <f>COUNTIF(deals_closed!D:D,Calculations!A248)</f>
        <v>24</v>
      </c>
      <c r="H248" s="2">
        <f>SUMIF(deals_closed!D:D,Calculations!A248,deals_closed!C:C)</f>
        <v>769447</v>
      </c>
      <c r="I248" s="2">
        <f>VLOOKUP(E248,'2018_commission_structure'!$A$11:$I$14,9,FALSE)</f>
        <v>500000</v>
      </c>
      <c r="J248" s="2">
        <f t="shared" si="27"/>
        <v>625000</v>
      </c>
      <c r="K248" s="2">
        <f t="shared" si="28"/>
        <v>750000</v>
      </c>
      <c r="L248" s="2">
        <f t="shared" si="29"/>
        <v>1000000</v>
      </c>
      <c r="M248" s="6">
        <f t="shared" si="30"/>
        <v>1.538894</v>
      </c>
      <c r="N248" t="str">
        <f t="shared" si="31"/>
        <v>150-200%</v>
      </c>
      <c r="O248" s="7">
        <f>MIN(I248,H248)*INDEX('2018_commission_structure'!$A$11:$I$14,MATCH(Calculations!$E248,'2018_commission_structure'!$A$11:$A$14,0),MATCH(Calculations!O$1,'2018_commission_structure'!$A$11:$I$11,0))</f>
        <v>50000</v>
      </c>
      <c r="P248" s="7">
        <f>IF($H248&gt;I248,MIN($H248-I248,J248-I248)*INDEX('2018_commission_structure'!$A$11:$I$14,MATCH(Calculations!$E248,'2018_commission_structure'!$A$11:$A$14,0), MATCH(Calculations!P$1,'2018_commission_structure'!$A$11:$I$11,0)),0)</f>
        <v>18750</v>
      </c>
      <c r="Q248" s="7">
        <f>IF($H248&gt;J248,MIN($H248-J248,K248-J248)*INDEX('2018_commission_structure'!$A$11:$I$14,MATCH(Calculations!$E248,'2018_commission_structure'!$A$11:$A$14,0), MATCH(Calculations!Q$1,'2018_commission_structure'!$A$11:$I$11,0)),0)</f>
        <v>22500</v>
      </c>
      <c r="R248" s="7">
        <f>IF($H248&gt;K248,MIN($H248-K248,L248-K248)*INDEX('2018_commission_structure'!$A$11:$I$14,MATCH(Calculations!$E248,'2018_commission_structure'!$A$11:$A$14,0), MATCH(Calculations!R$1,'2018_commission_structure'!$A$11:$I$11,0)),0)</f>
        <v>4278.34</v>
      </c>
      <c r="S248" s="7">
        <f>IF(H248&gt;L248,(H248-L248)*INDEX('2018_commission_structure'!$A$11:$I$14,MATCH(Calculations!$E248,'2018_commission_structure'!$A$11:$A$14,0),MATCH(Calculations!S$1,'2018_commission_structure'!$A$11:$I$11,0)),0)</f>
        <v>0</v>
      </c>
      <c r="T248" s="7">
        <f t="shared" si="32"/>
        <v>95528.34</v>
      </c>
      <c r="U248" s="7">
        <f t="shared" si="33"/>
        <v>136244.34</v>
      </c>
      <c r="V248" s="7">
        <f>MIN(H248,I248)*INDEX('2018_commission_structure'!$A$5:$J$8,MATCH(Calculations!$E248,'2018_commission_structure'!$A$5:$A$8,0),MATCH(Calculations!V$1,'2018_commission_structure'!$A$5:$J$5,0))</f>
        <v>60000</v>
      </c>
      <c r="W248" s="2">
        <f>IF($H248&gt;I248,MIN($H248-I248,J248-I248)*INDEX('2018_commission_structure'!$A$5:$J$8,MATCH(Calculations!$E248,'2018_commission_structure'!$A$5:$A$8,0),MATCH(Calculations!W$1,'2018_commission_structure'!$A$5:$J$5,0)),0)</f>
        <v>21250</v>
      </c>
      <c r="X248" s="2">
        <f>IF($H248&gt;J248,MIN($H248-J248,K248-J248)*INDEX('2018_commission_structure'!$A$5:$J$8,MATCH(Calculations!$E248,'2018_commission_structure'!$A$5:$A$8,0),MATCH(Calculations!X$1,'2018_commission_structure'!$A$5:$J$5,0)),0)</f>
        <v>25000</v>
      </c>
      <c r="Y248" s="2">
        <f>IF($H248&gt;K248,MIN($H248-K248,L248-K248)*INDEX('2018_commission_structure'!$A$5:$J$8,MATCH(Calculations!$E248,'2018_commission_structure'!$A$5:$A$8,0),MATCH(Calculations!Y$1,'2018_commission_structure'!$A$5:$J$5,0)),0)</f>
        <v>4278.34</v>
      </c>
      <c r="Z248" s="2">
        <f xml:space="preserve"> IF(H248&gt;L248,(H248-L248)*INDEX('2018_commission_structure'!$A$11:$I$14,MATCH(Calculations!$E248,'2018_commission_structure'!$A$11:$A$14,0),MATCH(Calculations!Z$1,'2018_commission_structure'!$A$11:$I$11,0)),0)</f>
        <v>0</v>
      </c>
      <c r="AA248" s="7">
        <f t="shared" si="34"/>
        <v>110528.34</v>
      </c>
      <c r="AB248" s="7">
        <f t="shared" si="35"/>
        <v>151244.34</v>
      </c>
    </row>
    <row r="249" spans="1:28" x14ac:dyDescent="0.25">
      <c r="A249">
        <v>247438790</v>
      </c>
      <c r="B249" t="s">
        <v>1144</v>
      </c>
      <c r="C249" t="s">
        <v>1145</v>
      </c>
      <c r="D249" t="str">
        <f>B249&amp;" "&amp;C249</f>
        <v>Erin Ducker</v>
      </c>
      <c r="E249" t="s">
        <v>7</v>
      </c>
      <c r="F249">
        <v>57958</v>
      </c>
      <c r="G249">
        <f>COUNTIF(deals_closed!D:D,Calculations!A249)</f>
        <v>12</v>
      </c>
      <c r="H249" s="2">
        <f>SUMIF(deals_closed!D:D,Calculations!A249,deals_closed!C:C)</f>
        <v>328657</v>
      </c>
      <c r="I249" s="2">
        <f>VLOOKUP(E249,'2018_commission_structure'!$A$11:$I$14,9,FALSE)</f>
        <v>500000</v>
      </c>
      <c r="J249" s="2">
        <f t="shared" si="27"/>
        <v>625000</v>
      </c>
      <c r="K249" s="2">
        <f t="shared" si="28"/>
        <v>750000</v>
      </c>
      <c r="L249" s="2">
        <f t="shared" si="29"/>
        <v>1000000</v>
      </c>
      <c r="M249" s="6">
        <f t="shared" si="30"/>
        <v>0.65731399999999995</v>
      </c>
      <c r="N249" t="str">
        <f t="shared" si="31"/>
        <v>0-100%</v>
      </c>
      <c r="O249" s="7">
        <f>MIN(I249,H249)*INDEX('2018_commission_structure'!$A$11:$I$14,MATCH(Calculations!$E249,'2018_commission_structure'!$A$11:$A$14,0),MATCH(Calculations!O$1,'2018_commission_structure'!$A$11:$I$11,0))</f>
        <v>32865.700000000004</v>
      </c>
      <c r="P249" s="7">
        <f>IF($H249&gt;I249,MIN($H249-I249,J249-I249)*INDEX('2018_commission_structure'!$A$11:$I$14,MATCH(Calculations!$E249,'2018_commission_structure'!$A$11:$A$14,0), MATCH(Calculations!P$1,'2018_commission_structure'!$A$11:$I$11,0)),0)</f>
        <v>0</v>
      </c>
      <c r="Q249" s="7">
        <f>IF($H249&gt;J249,MIN($H249-J249,K249-J249)*INDEX('2018_commission_structure'!$A$11:$I$14,MATCH(Calculations!$E249,'2018_commission_structure'!$A$11:$A$14,0), MATCH(Calculations!Q$1,'2018_commission_structure'!$A$11:$I$11,0)),0)</f>
        <v>0</v>
      </c>
      <c r="R249" s="7">
        <f>IF($H249&gt;K249,MIN($H249-K249,L249-K249)*INDEX('2018_commission_structure'!$A$11:$I$14,MATCH(Calculations!$E249,'2018_commission_structure'!$A$11:$A$14,0), MATCH(Calculations!R$1,'2018_commission_structure'!$A$11:$I$11,0)),0)</f>
        <v>0</v>
      </c>
      <c r="S249" s="7">
        <f>IF(H249&gt;L249,(H249-L249)*INDEX('2018_commission_structure'!$A$11:$I$14,MATCH(Calculations!$E249,'2018_commission_structure'!$A$11:$A$14,0),MATCH(Calculations!S$1,'2018_commission_structure'!$A$11:$I$11,0)),0)</f>
        <v>0</v>
      </c>
      <c r="T249" s="7">
        <f t="shared" si="32"/>
        <v>32865.700000000004</v>
      </c>
      <c r="U249" s="7">
        <f t="shared" si="33"/>
        <v>90823.700000000012</v>
      </c>
      <c r="V249" s="7">
        <f>MIN(H249,I249)*INDEX('2018_commission_structure'!$A$5:$J$8,MATCH(Calculations!$E249,'2018_commission_structure'!$A$5:$A$8,0),MATCH(Calculations!V$1,'2018_commission_structure'!$A$5:$J$5,0))</f>
        <v>39438.839999999997</v>
      </c>
      <c r="W249" s="2">
        <f>IF($H249&gt;I249,MIN($H249-I249,J249-I249)*INDEX('2018_commission_structure'!$A$5:$J$8,MATCH(Calculations!$E249,'2018_commission_structure'!$A$5:$A$8,0),MATCH(Calculations!W$1,'2018_commission_structure'!$A$5:$J$5,0)),0)</f>
        <v>0</v>
      </c>
      <c r="X249" s="2">
        <f>IF($H249&gt;J249,MIN($H249-J249,K249-J249)*INDEX('2018_commission_structure'!$A$5:$J$8,MATCH(Calculations!$E249,'2018_commission_structure'!$A$5:$A$8,0),MATCH(Calculations!X$1,'2018_commission_structure'!$A$5:$J$5,0)),0)</f>
        <v>0</v>
      </c>
      <c r="Y249" s="2">
        <f>IF($H249&gt;K249,MIN($H249-K249,L249-K249)*INDEX('2018_commission_structure'!$A$5:$J$8,MATCH(Calculations!$E249,'2018_commission_structure'!$A$5:$A$8,0),MATCH(Calculations!Y$1,'2018_commission_structure'!$A$5:$J$5,0)),0)</f>
        <v>0</v>
      </c>
      <c r="Z249" s="2">
        <f xml:space="preserve"> IF(H249&gt;L249,(H249-L249)*INDEX('2018_commission_structure'!$A$11:$I$14,MATCH(Calculations!$E249,'2018_commission_structure'!$A$11:$A$14,0),MATCH(Calculations!Z$1,'2018_commission_structure'!$A$11:$I$11,0)),0)</f>
        <v>0</v>
      </c>
      <c r="AA249" s="7">
        <f t="shared" si="34"/>
        <v>39438.839999999997</v>
      </c>
      <c r="AB249" s="7">
        <f t="shared" si="35"/>
        <v>97396.84</v>
      </c>
    </row>
    <row r="250" spans="1:28" x14ac:dyDescent="0.25">
      <c r="A250">
        <v>7912639675</v>
      </c>
      <c r="B250" t="s">
        <v>1404</v>
      </c>
      <c r="C250" t="s">
        <v>1405</v>
      </c>
      <c r="D250" t="str">
        <f>B250&amp;" "&amp;C250</f>
        <v>Beverie Ducket</v>
      </c>
      <c r="E250" t="s">
        <v>7</v>
      </c>
      <c r="F250">
        <v>35505</v>
      </c>
      <c r="G250">
        <f>COUNTIF(deals_closed!D:D,Calculations!A250)</f>
        <v>21</v>
      </c>
      <c r="H250" s="2">
        <f>SUMIF(deals_closed!D:D,Calculations!A250,deals_closed!C:C)</f>
        <v>792341</v>
      </c>
      <c r="I250" s="2">
        <f>VLOOKUP(E250,'2018_commission_structure'!$A$11:$I$14,9,FALSE)</f>
        <v>500000</v>
      </c>
      <c r="J250" s="2">
        <f t="shared" si="27"/>
        <v>625000</v>
      </c>
      <c r="K250" s="2">
        <f t="shared" si="28"/>
        <v>750000</v>
      </c>
      <c r="L250" s="2">
        <f t="shared" si="29"/>
        <v>1000000</v>
      </c>
      <c r="M250" s="6">
        <f t="shared" si="30"/>
        <v>1.5846819999999999</v>
      </c>
      <c r="N250" t="str">
        <f t="shared" si="31"/>
        <v>150-200%</v>
      </c>
      <c r="O250" s="7">
        <f>MIN(I250,H250)*INDEX('2018_commission_structure'!$A$11:$I$14,MATCH(Calculations!$E250,'2018_commission_structure'!$A$11:$A$14,0),MATCH(Calculations!O$1,'2018_commission_structure'!$A$11:$I$11,0))</f>
        <v>50000</v>
      </c>
      <c r="P250" s="7">
        <f>IF($H250&gt;I250,MIN($H250-I250,J250-I250)*INDEX('2018_commission_structure'!$A$11:$I$14,MATCH(Calculations!$E250,'2018_commission_structure'!$A$11:$A$14,0), MATCH(Calculations!P$1,'2018_commission_structure'!$A$11:$I$11,0)),0)</f>
        <v>18750</v>
      </c>
      <c r="Q250" s="7">
        <f>IF($H250&gt;J250,MIN($H250-J250,K250-J250)*INDEX('2018_commission_structure'!$A$11:$I$14,MATCH(Calculations!$E250,'2018_commission_structure'!$A$11:$A$14,0), MATCH(Calculations!Q$1,'2018_commission_structure'!$A$11:$I$11,0)),0)</f>
        <v>22500</v>
      </c>
      <c r="R250" s="7">
        <f>IF($H250&gt;K250,MIN($H250-K250,L250-K250)*INDEX('2018_commission_structure'!$A$11:$I$14,MATCH(Calculations!$E250,'2018_commission_structure'!$A$11:$A$14,0), MATCH(Calculations!R$1,'2018_commission_structure'!$A$11:$I$11,0)),0)</f>
        <v>9315.02</v>
      </c>
      <c r="S250" s="7">
        <f>IF(H250&gt;L250,(H250-L250)*INDEX('2018_commission_structure'!$A$11:$I$14,MATCH(Calculations!$E250,'2018_commission_structure'!$A$11:$A$14,0),MATCH(Calculations!S$1,'2018_commission_structure'!$A$11:$I$11,0)),0)</f>
        <v>0</v>
      </c>
      <c r="T250" s="7">
        <f t="shared" si="32"/>
        <v>100565.02</v>
      </c>
      <c r="U250" s="7">
        <f t="shared" si="33"/>
        <v>136070.02000000002</v>
      </c>
      <c r="V250" s="7">
        <f>MIN(H250,I250)*INDEX('2018_commission_structure'!$A$5:$J$8,MATCH(Calculations!$E250,'2018_commission_structure'!$A$5:$A$8,0),MATCH(Calculations!V$1,'2018_commission_structure'!$A$5:$J$5,0))</f>
        <v>60000</v>
      </c>
      <c r="W250" s="2">
        <f>IF($H250&gt;I250,MIN($H250-I250,J250-I250)*INDEX('2018_commission_structure'!$A$5:$J$8,MATCH(Calculations!$E250,'2018_commission_structure'!$A$5:$A$8,0),MATCH(Calculations!W$1,'2018_commission_structure'!$A$5:$J$5,0)),0)</f>
        <v>21250</v>
      </c>
      <c r="X250" s="2">
        <f>IF($H250&gt;J250,MIN($H250-J250,K250-J250)*INDEX('2018_commission_structure'!$A$5:$J$8,MATCH(Calculations!$E250,'2018_commission_structure'!$A$5:$A$8,0),MATCH(Calculations!X$1,'2018_commission_structure'!$A$5:$J$5,0)),0)</f>
        <v>25000</v>
      </c>
      <c r="Y250" s="2">
        <f>IF($H250&gt;K250,MIN($H250-K250,L250-K250)*INDEX('2018_commission_structure'!$A$5:$J$8,MATCH(Calculations!$E250,'2018_commission_structure'!$A$5:$A$8,0),MATCH(Calculations!Y$1,'2018_commission_structure'!$A$5:$J$5,0)),0)</f>
        <v>9315.02</v>
      </c>
      <c r="Z250" s="2">
        <f xml:space="preserve"> IF(H250&gt;L250,(H250-L250)*INDEX('2018_commission_structure'!$A$11:$I$14,MATCH(Calculations!$E250,'2018_commission_structure'!$A$11:$A$14,0),MATCH(Calculations!Z$1,'2018_commission_structure'!$A$11:$I$11,0)),0)</f>
        <v>0</v>
      </c>
      <c r="AA250" s="7">
        <f t="shared" si="34"/>
        <v>115565.02</v>
      </c>
      <c r="AB250" s="7">
        <f t="shared" si="35"/>
        <v>151070.02000000002</v>
      </c>
    </row>
    <row r="251" spans="1:28" x14ac:dyDescent="0.25">
      <c r="A251">
        <v>9434604370</v>
      </c>
      <c r="B251" t="s">
        <v>1876</v>
      </c>
      <c r="C251" t="s">
        <v>1877</v>
      </c>
      <c r="D251" t="str">
        <f>B251&amp;" "&amp;C251</f>
        <v>Guilbert Duckett</v>
      </c>
      <c r="E251" t="s">
        <v>29</v>
      </c>
      <c r="F251">
        <v>69644</v>
      </c>
      <c r="G251">
        <f>COUNTIF(deals_closed!D:D,Calculations!A251)</f>
        <v>14</v>
      </c>
      <c r="H251" s="2">
        <f>SUMIF(deals_closed!D:D,Calculations!A251,deals_closed!C:C)</f>
        <v>360151</v>
      </c>
      <c r="I251" s="2">
        <f>VLOOKUP(E251,'2018_commission_structure'!$A$11:$I$14,9,FALSE)</f>
        <v>600000</v>
      </c>
      <c r="J251" s="2">
        <f t="shared" si="27"/>
        <v>750000</v>
      </c>
      <c r="K251" s="2">
        <f t="shared" si="28"/>
        <v>900000</v>
      </c>
      <c r="L251" s="2">
        <f t="shared" si="29"/>
        <v>1200000</v>
      </c>
      <c r="M251" s="6">
        <f t="shared" si="30"/>
        <v>0.60025166666666663</v>
      </c>
      <c r="N251" t="str">
        <f t="shared" si="31"/>
        <v>0-100%</v>
      </c>
      <c r="O251" s="7">
        <f>MIN(I251,H251)*INDEX('2018_commission_structure'!$A$11:$I$14,MATCH(Calculations!$E251,'2018_commission_structure'!$A$11:$A$14,0),MATCH(Calculations!O$1,'2018_commission_structure'!$A$11:$I$11,0))</f>
        <v>46819.630000000005</v>
      </c>
      <c r="P251" s="7">
        <f>IF($H251&gt;I251,MIN($H251-I251,J251-I251)*INDEX('2018_commission_structure'!$A$11:$I$14,MATCH(Calculations!$E251,'2018_commission_structure'!$A$11:$A$14,0), MATCH(Calculations!P$1,'2018_commission_structure'!$A$11:$I$11,0)),0)</f>
        <v>0</v>
      </c>
      <c r="Q251" s="7">
        <f>IF($H251&gt;J251,MIN($H251-J251,K251-J251)*INDEX('2018_commission_structure'!$A$11:$I$14,MATCH(Calculations!$E251,'2018_commission_structure'!$A$11:$A$14,0), MATCH(Calculations!Q$1,'2018_commission_structure'!$A$11:$I$11,0)),0)</f>
        <v>0</v>
      </c>
      <c r="R251" s="7">
        <f>IF($H251&gt;K251,MIN($H251-K251,L251-K251)*INDEX('2018_commission_structure'!$A$11:$I$14,MATCH(Calculations!$E251,'2018_commission_structure'!$A$11:$A$14,0), MATCH(Calculations!R$1,'2018_commission_structure'!$A$11:$I$11,0)),0)</f>
        <v>0</v>
      </c>
      <c r="S251" s="7">
        <f>IF(H251&gt;L251,(H251-L251)*INDEX('2018_commission_structure'!$A$11:$I$14,MATCH(Calculations!$E251,'2018_commission_structure'!$A$11:$A$14,0),MATCH(Calculations!S$1,'2018_commission_structure'!$A$11:$I$11,0)),0)</f>
        <v>0</v>
      </c>
      <c r="T251" s="7">
        <f t="shared" si="32"/>
        <v>46819.630000000005</v>
      </c>
      <c r="U251" s="7">
        <f t="shared" si="33"/>
        <v>116463.63</v>
      </c>
      <c r="V251" s="7">
        <f>MIN(H251,I251)*INDEX('2018_commission_structure'!$A$5:$J$8,MATCH(Calculations!$E251,'2018_commission_structure'!$A$5:$A$8,0),MATCH(Calculations!V$1,'2018_commission_structure'!$A$5:$J$5,0))</f>
        <v>54022.65</v>
      </c>
      <c r="W251" s="2">
        <f>IF($H251&gt;I251,MIN($H251-I251,J251-I251)*INDEX('2018_commission_structure'!$A$5:$J$8,MATCH(Calculations!$E251,'2018_commission_structure'!$A$5:$A$8,0),MATCH(Calculations!W$1,'2018_commission_structure'!$A$5:$J$5,0)),0)</f>
        <v>0</v>
      </c>
      <c r="X251" s="2">
        <f>IF($H251&gt;J251,MIN($H251-J251,K251-J251)*INDEX('2018_commission_structure'!$A$5:$J$8,MATCH(Calculations!$E251,'2018_commission_structure'!$A$5:$A$8,0),MATCH(Calculations!X$1,'2018_commission_structure'!$A$5:$J$5,0)),0)</f>
        <v>0</v>
      </c>
      <c r="Y251" s="2">
        <f>IF($H251&gt;K251,MIN($H251-K251,L251-K251)*INDEX('2018_commission_structure'!$A$5:$J$8,MATCH(Calculations!$E251,'2018_commission_structure'!$A$5:$A$8,0),MATCH(Calculations!Y$1,'2018_commission_structure'!$A$5:$J$5,0)),0)</f>
        <v>0</v>
      </c>
      <c r="Z251" s="2">
        <f xml:space="preserve"> IF(H251&gt;L251,(H251-L251)*INDEX('2018_commission_structure'!$A$11:$I$14,MATCH(Calculations!$E251,'2018_commission_structure'!$A$11:$A$14,0),MATCH(Calculations!Z$1,'2018_commission_structure'!$A$11:$I$11,0)),0)</f>
        <v>0</v>
      </c>
      <c r="AA251" s="7">
        <f t="shared" si="34"/>
        <v>54022.65</v>
      </c>
      <c r="AB251" s="7">
        <f t="shared" si="35"/>
        <v>123666.65</v>
      </c>
    </row>
    <row r="252" spans="1:28" x14ac:dyDescent="0.25">
      <c r="A252">
        <v>9403474378</v>
      </c>
      <c r="B252" t="s">
        <v>1678</v>
      </c>
      <c r="C252" t="s">
        <v>1679</v>
      </c>
      <c r="D252" t="str">
        <f>B252&amp;" "&amp;C252</f>
        <v>Merissa Duckitt</v>
      </c>
      <c r="E252" t="s">
        <v>10</v>
      </c>
      <c r="F252">
        <v>75057</v>
      </c>
      <c r="G252">
        <f>COUNTIF(deals_closed!D:D,Calculations!A252)</f>
        <v>19</v>
      </c>
      <c r="H252" s="2">
        <f>SUMIF(deals_closed!D:D,Calculations!A252,deals_closed!C:C)</f>
        <v>691420</v>
      </c>
      <c r="I252" s="2">
        <f>VLOOKUP(E252,'2018_commission_structure'!$A$11:$I$14,9,FALSE)</f>
        <v>750000</v>
      </c>
      <c r="J252" s="2">
        <f t="shared" si="27"/>
        <v>937500</v>
      </c>
      <c r="K252" s="2">
        <f t="shared" si="28"/>
        <v>1125000</v>
      </c>
      <c r="L252" s="2">
        <f t="shared" si="29"/>
        <v>1500000</v>
      </c>
      <c r="M252" s="6">
        <f t="shared" si="30"/>
        <v>0.92189333333333334</v>
      </c>
      <c r="N252" t="str">
        <f t="shared" si="31"/>
        <v>0-100%</v>
      </c>
      <c r="O252" s="7">
        <f>MIN(I252,H252)*INDEX('2018_commission_structure'!$A$11:$I$14,MATCH(Calculations!$E252,'2018_commission_structure'!$A$11:$A$14,0),MATCH(Calculations!O$1,'2018_commission_structure'!$A$11:$I$11,0))</f>
        <v>103713</v>
      </c>
      <c r="P252" s="7">
        <f>IF($H252&gt;I252,MIN($H252-I252,J252-I252)*INDEX('2018_commission_structure'!$A$11:$I$14,MATCH(Calculations!$E252,'2018_commission_structure'!$A$11:$A$14,0), MATCH(Calculations!P$1,'2018_commission_structure'!$A$11:$I$11,0)),0)</f>
        <v>0</v>
      </c>
      <c r="Q252" s="7">
        <f>IF($H252&gt;J252,MIN($H252-J252,K252-J252)*INDEX('2018_commission_structure'!$A$11:$I$14,MATCH(Calculations!$E252,'2018_commission_structure'!$A$11:$A$14,0), MATCH(Calculations!Q$1,'2018_commission_structure'!$A$11:$I$11,0)),0)</f>
        <v>0</v>
      </c>
      <c r="R252" s="7">
        <f>IF($H252&gt;K252,MIN($H252-K252,L252-K252)*INDEX('2018_commission_structure'!$A$11:$I$14,MATCH(Calculations!$E252,'2018_commission_structure'!$A$11:$A$14,0), MATCH(Calculations!R$1,'2018_commission_structure'!$A$11:$I$11,0)),0)</f>
        <v>0</v>
      </c>
      <c r="S252" s="7">
        <f>IF(H252&gt;L252,(H252-L252)*INDEX('2018_commission_structure'!$A$11:$I$14,MATCH(Calculations!$E252,'2018_commission_structure'!$A$11:$A$14,0),MATCH(Calculations!S$1,'2018_commission_structure'!$A$11:$I$11,0)),0)</f>
        <v>0</v>
      </c>
      <c r="T252" s="7">
        <f t="shared" si="32"/>
        <v>103713</v>
      </c>
      <c r="U252" s="7">
        <f t="shared" si="33"/>
        <v>178770</v>
      </c>
      <c r="V252" s="7">
        <f>MIN(H252,I252)*INDEX('2018_commission_structure'!$A$5:$J$8,MATCH(Calculations!$E252,'2018_commission_structure'!$A$5:$A$8,0),MATCH(Calculations!V$1,'2018_commission_structure'!$A$5:$J$5,0))</f>
        <v>103713</v>
      </c>
      <c r="W252" s="2">
        <f>IF($H252&gt;I252,MIN($H252-I252,J252-I252)*INDEX('2018_commission_structure'!$A$5:$J$8,MATCH(Calculations!$E252,'2018_commission_structure'!$A$5:$A$8,0),MATCH(Calculations!W$1,'2018_commission_structure'!$A$5:$J$5,0)),0)</f>
        <v>0</v>
      </c>
      <c r="X252" s="2">
        <f>IF($H252&gt;J252,MIN($H252-J252,K252-J252)*INDEX('2018_commission_structure'!$A$5:$J$8,MATCH(Calculations!$E252,'2018_commission_structure'!$A$5:$A$8,0),MATCH(Calculations!X$1,'2018_commission_structure'!$A$5:$J$5,0)),0)</f>
        <v>0</v>
      </c>
      <c r="Y252" s="2">
        <f>IF($H252&gt;K252,MIN($H252-K252,L252-K252)*INDEX('2018_commission_structure'!$A$5:$J$8,MATCH(Calculations!$E252,'2018_commission_structure'!$A$5:$A$8,0),MATCH(Calculations!Y$1,'2018_commission_structure'!$A$5:$J$5,0)),0)</f>
        <v>0</v>
      </c>
      <c r="Z252" s="2">
        <f xml:space="preserve"> IF(H252&gt;L252,(H252-L252)*INDEX('2018_commission_structure'!$A$11:$I$14,MATCH(Calculations!$E252,'2018_commission_structure'!$A$11:$A$14,0),MATCH(Calculations!Z$1,'2018_commission_structure'!$A$11:$I$11,0)),0)</f>
        <v>0</v>
      </c>
      <c r="AA252" s="7">
        <f t="shared" si="34"/>
        <v>103713</v>
      </c>
      <c r="AB252" s="7">
        <f t="shared" si="35"/>
        <v>178770</v>
      </c>
    </row>
    <row r="253" spans="1:28" x14ac:dyDescent="0.25">
      <c r="A253">
        <v>2066028762</v>
      </c>
      <c r="B253" t="s">
        <v>1544</v>
      </c>
      <c r="C253" t="s">
        <v>1545</v>
      </c>
      <c r="D253" t="str">
        <f>B253&amp;" "&amp;C253</f>
        <v>Coralyn Dudney</v>
      </c>
      <c r="E253" t="s">
        <v>10</v>
      </c>
      <c r="F253">
        <v>99848</v>
      </c>
      <c r="G253">
        <f>COUNTIF(deals_closed!D:D,Calculations!A253)</f>
        <v>20</v>
      </c>
      <c r="H253" s="2">
        <f>SUMIF(deals_closed!D:D,Calculations!A253,deals_closed!C:C)</f>
        <v>722703</v>
      </c>
      <c r="I253" s="2">
        <f>VLOOKUP(E253,'2018_commission_structure'!$A$11:$I$14,9,FALSE)</f>
        <v>750000</v>
      </c>
      <c r="J253" s="2">
        <f t="shared" si="27"/>
        <v>937500</v>
      </c>
      <c r="K253" s="2">
        <f t="shared" si="28"/>
        <v>1125000</v>
      </c>
      <c r="L253" s="2">
        <f t="shared" si="29"/>
        <v>1500000</v>
      </c>
      <c r="M253" s="6">
        <f t="shared" si="30"/>
        <v>0.96360400000000002</v>
      </c>
      <c r="N253" t="str">
        <f t="shared" si="31"/>
        <v>0-100%</v>
      </c>
      <c r="O253" s="7">
        <f>MIN(I253,H253)*INDEX('2018_commission_structure'!$A$11:$I$14,MATCH(Calculations!$E253,'2018_commission_structure'!$A$11:$A$14,0),MATCH(Calculations!O$1,'2018_commission_structure'!$A$11:$I$11,0))</f>
        <v>108405.45</v>
      </c>
      <c r="P253" s="7">
        <f>IF($H253&gt;I253,MIN($H253-I253,J253-I253)*INDEX('2018_commission_structure'!$A$11:$I$14,MATCH(Calculations!$E253,'2018_commission_structure'!$A$11:$A$14,0), MATCH(Calculations!P$1,'2018_commission_structure'!$A$11:$I$11,0)),0)</f>
        <v>0</v>
      </c>
      <c r="Q253" s="7">
        <f>IF($H253&gt;J253,MIN($H253-J253,K253-J253)*INDEX('2018_commission_structure'!$A$11:$I$14,MATCH(Calculations!$E253,'2018_commission_structure'!$A$11:$A$14,0), MATCH(Calculations!Q$1,'2018_commission_structure'!$A$11:$I$11,0)),0)</f>
        <v>0</v>
      </c>
      <c r="R253" s="7">
        <f>IF($H253&gt;K253,MIN($H253-K253,L253-K253)*INDEX('2018_commission_structure'!$A$11:$I$14,MATCH(Calculations!$E253,'2018_commission_structure'!$A$11:$A$14,0), MATCH(Calculations!R$1,'2018_commission_structure'!$A$11:$I$11,0)),0)</f>
        <v>0</v>
      </c>
      <c r="S253" s="7">
        <f>IF(H253&gt;L253,(H253-L253)*INDEX('2018_commission_structure'!$A$11:$I$14,MATCH(Calculations!$E253,'2018_commission_structure'!$A$11:$A$14,0),MATCH(Calculations!S$1,'2018_commission_structure'!$A$11:$I$11,0)),0)</f>
        <v>0</v>
      </c>
      <c r="T253" s="7">
        <f t="shared" si="32"/>
        <v>108405.45</v>
      </c>
      <c r="U253" s="7">
        <f t="shared" si="33"/>
        <v>208253.45</v>
      </c>
      <c r="V253" s="7">
        <f>MIN(H253,I253)*INDEX('2018_commission_structure'!$A$5:$J$8,MATCH(Calculations!$E253,'2018_commission_structure'!$A$5:$A$8,0),MATCH(Calculations!V$1,'2018_commission_structure'!$A$5:$J$5,0))</f>
        <v>108405.45</v>
      </c>
      <c r="W253" s="2">
        <f>IF($H253&gt;I253,MIN($H253-I253,J253-I253)*INDEX('2018_commission_structure'!$A$5:$J$8,MATCH(Calculations!$E253,'2018_commission_structure'!$A$5:$A$8,0),MATCH(Calculations!W$1,'2018_commission_structure'!$A$5:$J$5,0)),0)</f>
        <v>0</v>
      </c>
      <c r="X253" s="2">
        <f>IF($H253&gt;J253,MIN($H253-J253,K253-J253)*INDEX('2018_commission_structure'!$A$5:$J$8,MATCH(Calculations!$E253,'2018_commission_structure'!$A$5:$A$8,0),MATCH(Calculations!X$1,'2018_commission_structure'!$A$5:$J$5,0)),0)</f>
        <v>0</v>
      </c>
      <c r="Y253" s="2">
        <f>IF($H253&gt;K253,MIN($H253-K253,L253-K253)*INDEX('2018_commission_structure'!$A$5:$J$8,MATCH(Calculations!$E253,'2018_commission_structure'!$A$5:$A$8,0),MATCH(Calculations!Y$1,'2018_commission_structure'!$A$5:$J$5,0)),0)</f>
        <v>0</v>
      </c>
      <c r="Z253" s="2">
        <f xml:space="preserve"> IF(H253&gt;L253,(H253-L253)*INDEX('2018_commission_structure'!$A$11:$I$14,MATCH(Calculations!$E253,'2018_commission_structure'!$A$11:$A$14,0),MATCH(Calculations!Z$1,'2018_commission_structure'!$A$11:$I$11,0)),0)</f>
        <v>0</v>
      </c>
      <c r="AA253" s="7">
        <f t="shared" si="34"/>
        <v>108405.45</v>
      </c>
      <c r="AB253" s="7">
        <f t="shared" si="35"/>
        <v>208253.45</v>
      </c>
    </row>
    <row r="254" spans="1:28" x14ac:dyDescent="0.25">
      <c r="A254">
        <v>4029727026</v>
      </c>
      <c r="B254" t="s">
        <v>395</v>
      </c>
      <c r="C254" t="s">
        <v>396</v>
      </c>
      <c r="D254" t="str">
        <f>B254&amp;" "&amp;C254</f>
        <v>Gonzalo Dudson</v>
      </c>
      <c r="E254" t="s">
        <v>29</v>
      </c>
      <c r="F254">
        <v>77473</v>
      </c>
      <c r="G254">
        <f>COUNTIF(deals_closed!D:D,Calculations!A254)</f>
        <v>21</v>
      </c>
      <c r="H254" s="2">
        <f>SUMIF(deals_closed!D:D,Calculations!A254,deals_closed!C:C)</f>
        <v>704311</v>
      </c>
      <c r="I254" s="2">
        <f>VLOOKUP(E254,'2018_commission_structure'!$A$11:$I$14,9,FALSE)</f>
        <v>600000</v>
      </c>
      <c r="J254" s="2">
        <f t="shared" si="27"/>
        <v>750000</v>
      </c>
      <c r="K254" s="2">
        <f t="shared" si="28"/>
        <v>900000</v>
      </c>
      <c r="L254" s="2">
        <f t="shared" si="29"/>
        <v>1200000</v>
      </c>
      <c r="M254" s="6">
        <f t="shared" si="30"/>
        <v>1.1738516666666667</v>
      </c>
      <c r="N254" t="str">
        <f t="shared" si="31"/>
        <v>100-125%</v>
      </c>
      <c r="O254" s="7">
        <f>MIN(I254,H254)*INDEX('2018_commission_structure'!$A$11:$I$14,MATCH(Calculations!$E254,'2018_commission_structure'!$A$11:$A$14,0),MATCH(Calculations!O$1,'2018_commission_structure'!$A$11:$I$11,0))</f>
        <v>78000</v>
      </c>
      <c r="P254" s="7">
        <f>IF($H254&gt;I254,MIN($H254-I254,J254-I254)*INDEX('2018_commission_structure'!$A$11:$I$14,MATCH(Calculations!$E254,'2018_commission_structure'!$A$11:$A$14,0), MATCH(Calculations!P$1,'2018_commission_structure'!$A$11:$I$11,0)),0)</f>
        <v>17732.870000000003</v>
      </c>
      <c r="Q254" s="7">
        <f>IF($H254&gt;J254,MIN($H254-J254,K254-J254)*INDEX('2018_commission_structure'!$A$11:$I$14,MATCH(Calculations!$E254,'2018_commission_structure'!$A$11:$A$14,0), MATCH(Calculations!Q$1,'2018_commission_structure'!$A$11:$I$11,0)),0)</f>
        <v>0</v>
      </c>
      <c r="R254" s="7">
        <f>IF($H254&gt;K254,MIN($H254-K254,L254-K254)*INDEX('2018_commission_structure'!$A$11:$I$14,MATCH(Calculations!$E254,'2018_commission_structure'!$A$11:$A$14,0), MATCH(Calculations!R$1,'2018_commission_structure'!$A$11:$I$11,0)),0)</f>
        <v>0</v>
      </c>
      <c r="S254" s="7">
        <f>IF(H254&gt;L254,(H254-L254)*INDEX('2018_commission_structure'!$A$11:$I$14,MATCH(Calculations!$E254,'2018_commission_structure'!$A$11:$A$14,0),MATCH(Calculations!S$1,'2018_commission_structure'!$A$11:$I$11,0)),0)</f>
        <v>0</v>
      </c>
      <c r="T254" s="7">
        <f t="shared" si="32"/>
        <v>95732.87</v>
      </c>
      <c r="U254" s="7">
        <f t="shared" si="33"/>
        <v>173205.87</v>
      </c>
      <c r="V254" s="7">
        <f>MIN(H254,I254)*INDEX('2018_commission_structure'!$A$5:$J$8,MATCH(Calculations!$E254,'2018_commission_structure'!$A$5:$A$8,0),MATCH(Calculations!V$1,'2018_commission_structure'!$A$5:$J$5,0))</f>
        <v>90000</v>
      </c>
      <c r="W254" s="2">
        <f>IF($H254&gt;I254,MIN($H254-I254,J254-I254)*INDEX('2018_commission_structure'!$A$5:$J$8,MATCH(Calculations!$E254,'2018_commission_structure'!$A$5:$A$8,0),MATCH(Calculations!W$1,'2018_commission_structure'!$A$5:$J$5,0)),0)</f>
        <v>18775.98</v>
      </c>
      <c r="X254" s="2">
        <f>IF($H254&gt;J254,MIN($H254-J254,K254-J254)*INDEX('2018_commission_structure'!$A$5:$J$8,MATCH(Calculations!$E254,'2018_commission_structure'!$A$5:$A$8,0),MATCH(Calculations!X$1,'2018_commission_structure'!$A$5:$J$5,0)),0)</f>
        <v>0</v>
      </c>
      <c r="Y254" s="2">
        <f>IF($H254&gt;K254,MIN($H254-K254,L254-K254)*INDEX('2018_commission_structure'!$A$5:$J$8,MATCH(Calculations!$E254,'2018_commission_structure'!$A$5:$A$8,0),MATCH(Calculations!Y$1,'2018_commission_structure'!$A$5:$J$5,0)),0)</f>
        <v>0</v>
      </c>
      <c r="Z254" s="2">
        <f xml:space="preserve"> IF(H254&gt;L254,(H254-L254)*INDEX('2018_commission_structure'!$A$11:$I$14,MATCH(Calculations!$E254,'2018_commission_structure'!$A$11:$A$14,0),MATCH(Calculations!Z$1,'2018_commission_structure'!$A$11:$I$11,0)),0)</f>
        <v>0</v>
      </c>
      <c r="AA254" s="7">
        <f t="shared" si="34"/>
        <v>108775.98</v>
      </c>
      <c r="AB254" s="7">
        <f t="shared" si="35"/>
        <v>186248.97999999998</v>
      </c>
    </row>
    <row r="255" spans="1:28" x14ac:dyDescent="0.25">
      <c r="A255">
        <v>9340388305</v>
      </c>
      <c r="B255" t="s">
        <v>1041</v>
      </c>
      <c r="C255" t="s">
        <v>1042</v>
      </c>
      <c r="D255" t="str">
        <f>B255&amp;" "&amp;C255</f>
        <v>Alfi Duesberry</v>
      </c>
      <c r="E255" t="s">
        <v>29</v>
      </c>
      <c r="F255">
        <v>59920</v>
      </c>
      <c r="G255">
        <f>COUNTIF(deals_closed!D:D,Calculations!A255)</f>
        <v>18</v>
      </c>
      <c r="H255" s="2">
        <f>SUMIF(deals_closed!D:D,Calculations!A255,deals_closed!C:C)</f>
        <v>607215</v>
      </c>
      <c r="I255" s="2">
        <f>VLOOKUP(E255,'2018_commission_structure'!$A$11:$I$14,9,FALSE)</f>
        <v>600000</v>
      </c>
      <c r="J255" s="2">
        <f t="shared" si="27"/>
        <v>750000</v>
      </c>
      <c r="K255" s="2">
        <f t="shared" si="28"/>
        <v>900000</v>
      </c>
      <c r="L255" s="2">
        <f t="shared" si="29"/>
        <v>1200000</v>
      </c>
      <c r="M255" s="6">
        <f t="shared" si="30"/>
        <v>1.012025</v>
      </c>
      <c r="N255" t="str">
        <f t="shared" si="31"/>
        <v>100-125%</v>
      </c>
      <c r="O255" s="7">
        <f>MIN(I255,H255)*INDEX('2018_commission_structure'!$A$11:$I$14,MATCH(Calculations!$E255,'2018_commission_structure'!$A$11:$A$14,0),MATCH(Calculations!O$1,'2018_commission_structure'!$A$11:$I$11,0))</f>
        <v>78000</v>
      </c>
      <c r="P255" s="7">
        <f>IF($H255&gt;I255,MIN($H255-I255,J255-I255)*INDEX('2018_commission_structure'!$A$11:$I$14,MATCH(Calculations!$E255,'2018_commission_structure'!$A$11:$A$14,0), MATCH(Calculations!P$1,'2018_commission_structure'!$A$11:$I$11,0)),0)</f>
        <v>1226.5500000000002</v>
      </c>
      <c r="Q255" s="7">
        <f>IF($H255&gt;J255,MIN($H255-J255,K255-J255)*INDEX('2018_commission_structure'!$A$11:$I$14,MATCH(Calculations!$E255,'2018_commission_structure'!$A$11:$A$14,0), MATCH(Calculations!Q$1,'2018_commission_structure'!$A$11:$I$11,0)),0)</f>
        <v>0</v>
      </c>
      <c r="R255" s="7">
        <f>IF($H255&gt;K255,MIN($H255-K255,L255-K255)*INDEX('2018_commission_structure'!$A$11:$I$14,MATCH(Calculations!$E255,'2018_commission_structure'!$A$11:$A$14,0), MATCH(Calculations!R$1,'2018_commission_structure'!$A$11:$I$11,0)),0)</f>
        <v>0</v>
      </c>
      <c r="S255" s="7">
        <f>IF(H255&gt;L255,(H255-L255)*INDEX('2018_commission_structure'!$A$11:$I$14,MATCH(Calculations!$E255,'2018_commission_structure'!$A$11:$A$14,0),MATCH(Calculations!S$1,'2018_commission_structure'!$A$11:$I$11,0)),0)</f>
        <v>0</v>
      </c>
      <c r="T255" s="7">
        <f t="shared" si="32"/>
        <v>79226.55</v>
      </c>
      <c r="U255" s="7">
        <f t="shared" si="33"/>
        <v>139146.54999999999</v>
      </c>
      <c r="V255" s="7">
        <f>MIN(H255,I255)*INDEX('2018_commission_structure'!$A$5:$J$8,MATCH(Calculations!$E255,'2018_commission_structure'!$A$5:$A$8,0),MATCH(Calculations!V$1,'2018_commission_structure'!$A$5:$J$5,0))</f>
        <v>90000</v>
      </c>
      <c r="W255" s="2">
        <f>IF($H255&gt;I255,MIN($H255-I255,J255-I255)*INDEX('2018_commission_structure'!$A$5:$J$8,MATCH(Calculations!$E255,'2018_commission_structure'!$A$5:$A$8,0),MATCH(Calculations!W$1,'2018_commission_structure'!$A$5:$J$5,0)),0)</f>
        <v>1298.7</v>
      </c>
      <c r="X255" s="2">
        <f>IF($H255&gt;J255,MIN($H255-J255,K255-J255)*INDEX('2018_commission_structure'!$A$5:$J$8,MATCH(Calculations!$E255,'2018_commission_structure'!$A$5:$A$8,0),MATCH(Calculations!X$1,'2018_commission_structure'!$A$5:$J$5,0)),0)</f>
        <v>0</v>
      </c>
      <c r="Y255" s="2">
        <f>IF($H255&gt;K255,MIN($H255-K255,L255-K255)*INDEX('2018_commission_structure'!$A$5:$J$8,MATCH(Calculations!$E255,'2018_commission_structure'!$A$5:$A$8,0),MATCH(Calculations!Y$1,'2018_commission_structure'!$A$5:$J$5,0)),0)</f>
        <v>0</v>
      </c>
      <c r="Z255" s="2">
        <f xml:space="preserve"> IF(H255&gt;L255,(H255-L255)*INDEX('2018_commission_structure'!$A$11:$I$14,MATCH(Calculations!$E255,'2018_commission_structure'!$A$11:$A$14,0),MATCH(Calculations!Z$1,'2018_commission_structure'!$A$11:$I$11,0)),0)</f>
        <v>0</v>
      </c>
      <c r="AA255" s="7">
        <f t="shared" si="34"/>
        <v>91298.7</v>
      </c>
      <c r="AB255" s="7">
        <f t="shared" si="35"/>
        <v>151218.70000000001</v>
      </c>
    </row>
    <row r="256" spans="1:28" x14ac:dyDescent="0.25">
      <c r="A256">
        <v>1787288307</v>
      </c>
      <c r="B256" t="s">
        <v>763</v>
      </c>
      <c r="C256" t="s">
        <v>764</v>
      </c>
      <c r="D256" t="str">
        <f>B256&amp;" "&amp;C256</f>
        <v>Sherlock Duffell</v>
      </c>
      <c r="E256" t="s">
        <v>29</v>
      </c>
      <c r="F256">
        <v>79023</v>
      </c>
      <c r="G256">
        <f>COUNTIF(deals_closed!D:D,Calculations!A256)</f>
        <v>23</v>
      </c>
      <c r="H256" s="2">
        <f>SUMIF(deals_closed!D:D,Calculations!A256,deals_closed!C:C)</f>
        <v>906215</v>
      </c>
      <c r="I256" s="2">
        <f>VLOOKUP(E256,'2018_commission_structure'!$A$11:$I$14,9,FALSE)</f>
        <v>600000</v>
      </c>
      <c r="J256" s="2">
        <f t="shared" si="27"/>
        <v>750000</v>
      </c>
      <c r="K256" s="2">
        <f t="shared" si="28"/>
        <v>900000</v>
      </c>
      <c r="L256" s="2">
        <f t="shared" si="29"/>
        <v>1200000</v>
      </c>
      <c r="M256" s="6">
        <f t="shared" si="30"/>
        <v>1.5103583333333332</v>
      </c>
      <c r="N256" t="str">
        <f t="shared" si="31"/>
        <v>150-200%</v>
      </c>
      <c r="O256" s="7">
        <f>MIN(I256,H256)*INDEX('2018_commission_structure'!$A$11:$I$14,MATCH(Calculations!$E256,'2018_commission_structure'!$A$11:$A$14,0),MATCH(Calculations!O$1,'2018_commission_structure'!$A$11:$I$11,0))</f>
        <v>78000</v>
      </c>
      <c r="P256" s="7">
        <f>IF($H256&gt;I256,MIN($H256-I256,J256-I256)*INDEX('2018_commission_structure'!$A$11:$I$14,MATCH(Calculations!$E256,'2018_commission_structure'!$A$11:$A$14,0), MATCH(Calculations!P$1,'2018_commission_structure'!$A$11:$I$11,0)),0)</f>
        <v>25500.000000000004</v>
      </c>
      <c r="Q256" s="7">
        <f>IF($H256&gt;J256,MIN($H256-J256,K256-J256)*INDEX('2018_commission_structure'!$A$11:$I$14,MATCH(Calculations!$E256,'2018_commission_structure'!$A$11:$A$14,0), MATCH(Calculations!Q$1,'2018_commission_structure'!$A$11:$I$11,0)),0)</f>
        <v>31500</v>
      </c>
      <c r="R256" s="7">
        <f>IF($H256&gt;K256,MIN($H256-K256,L256-K256)*INDEX('2018_commission_structure'!$A$11:$I$14,MATCH(Calculations!$E256,'2018_commission_structure'!$A$11:$A$14,0), MATCH(Calculations!R$1,'2018_commission_structure'!$A$11:$I$11,0)),0)</f>
        <v>1615.9</v>
      </c>
      <c r="S256" s="7">
        <f>IF(H256&gt;L256,(H256-L256)*INDEX('2018_commission_structure'!$A$11:$I$14,MATCH(Calculations!$E256,'2018_commission_structure'!$A$11:$A$14,0),MATCH(Calculations!S$1,'2018_commission_structure'!$A$11:$I$11,0)),0)</f>
        <v>0</v>
      </c>
      <c r="T256" s="7">
        <f t="shared" si="32"/>
        <v>136615.9</v>
      </c>
      <c r="U256" s="7">
        <f t="shared" si="33"/>
        <v>215638.9</v>
      </c>
      <c r="V256" s="7">
        <f>MIN(H256,I256)*INDEX('2018_commission_structure'!$A$5:$J$8,MATCH(Calculations!$E256,'2018_commission_structure'!$A$5:$A$8,0),MATCH(Calculations!V$1,'2018_commission_structure'!$A$5:$J$5,0))</f>
        <v>90000</v>
      </c>
      <c r="W256" s="2">
        <f>IF($H256&gt;I256,MIN($H256-I256,J256-I256)*INDEX('2018_commission_structure'!$A$5:$J$8,MATCH(Calculations!$E256,'2018_commission_structure'!$A$5:$A$8,0),MATCH(Calculations!W$1,'2018_commission_structure'!$A$5:$J$5,0)),0)</f>
        <v>27000</v>
      </c>
      <c r="X256" s="2">
        <f>IF($H256&gt;J256,MIN($H256-J256,K256-J256)*INDEX('2018_commission_structure'!$A$5:$J$8,MATCH(Calculations!$E256,'2018_commission_structure'!$A$5:$A$8,0),MATCH(Calculations!X$1,'2018_commission_structure'!$A$5:$J$5,0)),0)</f>
        <v>37500</v>
      </c>
      <c r="Y256" s="2">
        <f>IF($H256&gt;K256,MIN($H256-K256,L256-K256)*INDEX('2018_commission_structure'!$A$5:$J$8,MATCH(Calculations!$E256,'2018_commission_structure'!$A$5:$A$8,0),MATCH(Calculations!Y$1,'2018_commission_structure'!$A$5:$J$5,0)),0)</f>
        <v>1864.5</v>
      </c>
      <c r="Z256" s="2">
        <f xml:space="preserve"> IF(H256&gt;L256,(H256-L256)*INDEX('2018_commission_structure'!$A$11:$I$14,MATCH(Calculations!$E256,'2018_commission_structure'!$A$11:$A$14,0),MATCH(Calculations!Z$1,'2018_commission_structure'!$A$11:$I$11,0)),0)</f>
        <v>0</v>
      </c>
      <c r="AA256" s="7">
        <f t="shared" si="34"/>
        <v>156364.5</v>
      </c>
      <c r="AB256" s="7">
        <f t="shared" si="35"/>
        <v>235387.5</v>
      </c>
    </row>
    <row r="257" spans="1:28" x14ac:dyDescent="0.25">
      <c r="A257">
        <v>9052475601</v>
      </c>
      <c r="B257" t="s">
        <v>670</v>
      </c>
      <c r="C257" t="s">
        <v>671</v>
      </c>
      <c r="D257" t="str">
        <f>B257&amp;" "&amp;C257</f>
        <v>Jermayne Duffie</v>
      </c>
      <c r="E257" t="s">
        <v>10</v>
      </c>
      <c r="F257">
        <v>77596</v>
      </c>
      <c r="G257">
        <f>COUNTIF(deals_closed!D:D,Calculations!A257)</f>
        <v>15</v>
      </c>
      <c r="H257" s="2">
        <f>SUMIF(deals_closed!D:D,Calculations!A257,deals_closed!C:C)</f>
        <v>463959</v>
      </c>
      <c r="I257" s="2">
        <f>VLOOKUP(E257,'2018_commission_structure'!$A$11:$I$14,9,FALSE)</f>
        <v>750000</v>
      </c>
      <c r="J257" s="2">
        <f t="shared" si="27"/>
        <v>937500</v>
      </c>
      <c r="K257" s="2">
        <f t="shared" si="28"/>
        <v>1125000</v>
      </c>
      <c r="L257" s="2">
        <f t="shared" si="29"/>
        <v>1500000</v>
      </c>
      <c r="M257" s="6">
        <f t="shared" si="30"/>
        <v>0.61861200000000005</v>
      </c>
      <c r="N257" t="str">
        <f t="shared" si="31"/>
        <v>0-100%</v>
      </c>
      <c r="O257" s="7">
        <f>MIN(I257,H257)*INDEX('2018_commission_structure'!$A$11:$I$14,MATCH(Calculations!$E257,'2018_commission_structure'!$A$11:$A$14,0),MATCH(Calculations!O$1,'2018_commission_structure'!$A$11:$I$11,0))</f>
        <v>69593.849999999991</v>
      </c>
      <c r="P257" s="7">
        <f>IF($H257&gt;I257,MIN($H257-I257,J257-I257)*INDEX('2018_commission_structure'!$A$11:$I$14,MATCH(Calculations!$E257,'2018_commission_structure'!$A$11:$A$14,0), MATCH(Calculations!P$1,'2018_commission_structure'!$A$11:$I$11,0)),0)</f>
        <v>0</v>
      </c>
      <c r="Q257" s="7">
        <f>IF($H257&gt;J257,MIN($H257-J257,K257-J257)*INDEX('2018_commission_structure'!$A$11:$I$14,MATCH(Calculations!$E257,'2018_commission_structure'!$A$11:$A$14,0), MATCH(Calculations!Q$1,'2018_commission_structure'!$A$11:$I$11,0)),0)</f>
        <v>0</v>
      </c>
      <c r="R257" s="7">
        <f>IF($H257&gt;K257,MIN($H257-K257,L257-K257)*INDEX('2018_commission_structure'!$A$11:$I$14,MATCH(Calculations!$E257,'2018_commission_structure'!$A$11:$A$14,0), MATCH(Calculations!R$1,'2018_commission_structure'!$A$11:$I$11,0)),0)</f>
        <v>0</v>
      </c>
      <c r="S257" s="7">
        <f>IF(H257&gt;L257,(H257-L257)*INDEX('2018_commission_structure'!$A$11:$I$14,MATCH(Calculations!$E257,'2018_commission_structure'!$A$11:$A$14,0),MATCH(Calculations!S$1,'2018_commission_structure'!$A$11:$I$11,0)),0)</f>
        <v>0</v>
      </c>
      <c r="T257" s="7">
        <f t="shared" si="32"/>
        <v>69593.849999999991</v>
      </c>
      <c r="U257" s="7">
        <f t="shared" si="33"/>
        <v>147189.84999999998</v>
      </c>
      <c r="V257" s="7">
        <f>MIN(H257,I257)*INDEX('2018_commission_structure'!$A$5:$J$8,MATCH(Calculations!$E257,'2018_commission_structure'!$A$5:$A$8,0),MATCH(Calculations!V$1,'2018_commission_structure'!$A$5:$J$5,0))</f>
        <v>69593.849999999991</v>
      </c>
      <c r="W257" s="2">
        <f>IF($H257&gt;I257,MIN($H257-I257,J257-I257)*INDEX('2018_commission_structure'!$A$5:$J$8,MATCH(Calculations!$E257,'2018_commission_structure'!$A$5:$A$8,0),MATCH(Calculations!W$1,'2018_commission_structure'!$A$5:$J$5,0)),0)</f>
        <v>0</v>
      </c>
      <c r="X257" s="2">
        <f>IF($H257&gt;J257,MIN($H257-J257,K257-J257)*INDEX('2018_commission_structure'!$A$5:$J$8,MATCH(Calculations!$E257,'2018_commission_structure'!$A$5:$A$8,0),MATCH(Calculations!X$1,'2018_commission_structure'!$A$5:$J$5,0)),0)</f>
        <v>0</v>
      </c>
      <c r="Y257" s="2">
        <f>IF($H257&gt;K257,MIN($H257-K257,L257-K257)*INDEX('2018_commission_structure'!$A$5:$J$8,MATCH(Calculations!$E257,'2018_commission_structure'!$A$5:$A$8,0),MATCH(Calculations!Y$1,'2018_commission_structure'!$A$5:$J$5,0)),0)</f>
        <v>0</v>
      </c>
      <c r="Z257" s="2">
        <f xml:space="preserve"> IF(H257&gt;L257,(H257-L257)*INDEX('2018_commission_structure'!$A$11:$I$14,MATCH(Calculations!$E257,'2018_commission_structure'!$A$11:$A$14,0),MATCH(Calculations!Z$1,'2018_commission_structure'!$A$11:$I$11,0)),0)</f>
        <v>0</v>
      </c>
      <c r="AA257" s="7">
        <f t="shared" si="34"/>
        <v>69593.849999999991</v>
      </c>
      <c r="AB257" s="7">
        <f t="shared" si="35"/>
        <v>147189.84999999998</v>
      </c>
    </row>
    <row r="258" spans="1:28" x14ac:dyDescent="0.25">
      <c r="A258">
        <v>2307209530</v>
      </c>
      <c r="B258" t="s">
        <v>1166</v>
      </c>
      <c r="C258" t="s">
        <v>1167</v>
      </c>
      <c r="D258" t="str">
        <f>B258&amp;" "&amp;C258</f>
        <v>Christan Dukesbury</v>
      </c>
      <c r="E258" t="s">
        <v>10</v>
      </c>
      <c r="F258">
        <v>115318</v>
      </c>
      <c r="G258">
        <f>COUNTIF(deals_closed!D:D,Calculations!A258)</f>
        <v>26</v>
      </c>
      <c r="H258" s="2">
        <f>SUMIF(deals_closed!D:D,Calculations!A258,deals_closed!C:C)</f>
        <v>961682</v>
      </c>
      <c r="I258" s="2">
        <f>VLOOKUP(E258,'2018_commission_structure'!$A$11:$I$14,9,FALSE)</f>
        <v>750000</v>
      </c>
      <c r="J258" s="2">
        <f t="shared" ref="J258:J321" si="36">I258*1.25</f>
        <v>937500</v>
      </c>
      <c r="K258" s="2">
        <f t="shared" ref="K258:K321" si="37">I258*1.5</f>
        <v>1125000</v>
      </c>
      <c r="L258" s="2">
        <f t="shared" ref="L258:L321" si="38">I258*2</f>
        <v>1500000</v>
      </c>
      <c r="M258" s="6">
        <f t="shared" ref="M258:M321" si="39">H258/I258</f>
        <v>1.2822426666666666</v>
      </c>
      <c r="N258" t="str">
        <f t="shared" ref="N258:N321" si="40">IF(M258&lt;=1, "0-100%", IF(M258&lt;=1.25, "100-125%", IF(M258&lt;=1.5, "125-150%", IF(M258&lt;=2, "150-200%", "&gt;200%"))))</f>
        <v>125-150%</v>
      </c>
      <c r="O258" s="7">
        <f>MIN(I258,H258)*INDEX('2018_commission_structure'!$A$11:$I$14,MATCH(Calculations!$E258,'2018_commission_structure'!$A$11:$A$14,0),MATCH(Calculations!O$1,'2018_commission_structure'!$A$11:$I$11,0))</f>
        <v>112500</v>
      </c>
      <c r="P258" s="7">
        <f>IF($H258&gt;I258,MIN($H258-I258,J258-I258)*INDEX('2018_commission_structure'!$A$11:$I$14,MATCH(Calculations!$E258,'2018_commission_structure'!$A$11:$A$14,0), MATCH(Calculations!P$1,'2018_commission_structure'!$A$11:$I$11,0)),0)</f>
        <v>35625</v>
      </c>
      <c r="Q258" s="7">
        <f>IF($H258&gt;J258,MIN($H258-J258,K258-J258)*INDEX('2018_commission_structure'!$A$11:$I$14,MATCH(Calculations!$E258,'2018_commission_structure'!$A$11:$A$14,0), MATCH(Calculations!Q$1,'2018_commission_structure'!$A$11:$I$11,0)),0)</f>
        <v>5561.8600000000006</v>
      </c>
      <c r="R258" s="7">
        <f>IF($H258&gt;K258,MIN($H258-K258,L258-K258)*INDEX('2018_commission_structure'!$A$11:$I$14,MATCH(Calculations!$E258,'2018_commission_structure'!$A$11:$A$14,0), MATCH(Calculations!R$1,'2018_commission_structure'!$A$11:$I$11,0)),0)</f>
        <v>0</v>
      </c>
      <c r="S258" s="7">
        <f>IF(H258&gt;L258,(H258-L258)*INDEX('2018_commission_structure'!$A$11:$I$14,MATCH(Calculations!$E258,'2018_commission_structure'!$A$11:$A$14,0),MATCH(Calculations!S$1,'2018_commission_structure'!$A$11:$I$11,0)),0)</f>
        <v>0</v>
      </c>
      <c r="T258" s="7">
        <f t="shared" ref="T258:T321" si="41">SUM(O258:S258)</f>
        <v>153686.85999999999</v>
      </c>
      <c r="U258" s="7">
        <f t="shared" ref="U258:U321" si="42">T258+F258</f>
        <v>269004.86</v>
      </c>
      <c r="V258" s="7">
        <f>MIN(H258,I258)*INDEX('2018_commission_structure'!$A$5:$J$8,MATCH(Calculations!$E258,'2018_commission_structure'!$A$5:$A$8,0),MATCH(Calculations!V$1,'2018_commission_structure'!$A$5:$J$5,0))</f>
        <v>112500</v>
      </c>
      <c r="W258" s="2">
        <f>IF($H258&gt;I258,MIN($H258-I258,J258-I258)*INDEX('2018_commission_structure'!$A$5:$J$8,MATCH(Calculations!$E258,'2018_commission_structure'!$A$5:$A$8,0),MATCH(Calculations!W$1,'2018_commission_structure'!$A$5:$J$5,0)),0)</f>
        <v>41250</v>
      </c>
      <c r="X258" s="2">
        <f>IF($H258&gt;J258,MIN($H258-J258,K258-J258)*INDEX('2018_commission_structure'!$A$5:$J$8,MATCH(Calculations!$E258,'2018_commission_structure'!$A$5:$A$8,0),MATCH(Calculations!X$1,'2018_commission_structure'!$A$5:$J$5,0)),0)</f>
        <v>6045.5</v>
      </c>
      <c r="Y258" s="2">
        <f>IF($H258&gt;K258,MIN($H258-K258,L258-K258)*INDEX('2018_commission_structure'!$A$5:$J$8,MATCH(Calculations!$E258,'2018_commission_structure'!$A$5:$A$8,0),MATCH(Calculations!Y$1,'2018_commission_structure'!$A$5:$J$5,0)),0)</f>
        <v>0</v>
      </c>
      <c r="Z258" s="2">
        <f xml:space="preserve"> IF(H258&gt;L258,(H258-L258)*INDEX('2018_commission_structure'!$A$11:$I$14,MATCH(Calculations!$E258,'2018_commission_structure'!$A$11:$A$14,0),MATCH(Calculations!Z$1,'2018_commission_structure'!$A$11:$I$11,0)),0)</f>
        <v>0</v>
      </c>
      <c r="AA258" s="7">
        <f t="shared" si="34"/>
        <v>159795.5</v>
      </c>
      <c r="AB258" s="7">
        <f t="shared" si="35"/>
        <v>275113.5</v>
      </c>
    </row>
    <row r="259" spans="1:28" x14ac:dyDescent="0.25">
      <c r="A259">
        <v>1992195951</v>
      </c>
      <c r="B259" t="s">
        <v>687</v>
      </c>
      <c r="C259" t="s">
        <v>688</v>
      </c>
      <c r="D259" t="str">
        <f>B259&amp;" "&amp;C259</f>
        <v>Matthus Dumphrey</v>
      </c>
      <c r="E259" t="s">
        <v>7</v>
      </c>
      <c r="F259">
        <v>49870</v>
      </c>
      <c r="G259">
        <f>COUNTIF(deals_closed!D:D,Calculations!A259)</f>
        <v>21</v>
      </c>
      <c r="H259" s="2">
        <f>SUMIF(deals_closed!D:D,Calculations!A259,deals_closed!C:C)</f>
        <v>664445</v>
      </c>
      <c r="I259" s="2">
        <f>VLOOKUP(E259,'2018_commission_structure'!$A$11:$I$14,9,FALSE)</f>
        <v>500000</v>
      </c>
      <c r="J259" s="2">
        <f t="shared" si="36"/>
        <v>625000</v>
      </c>
      <c r="K259" s="2">
        <f t="shared" si="37"/>
        <v>750000</v>
      </c>
      <c r="L259" s="2">
        <f t="shared" si="38"/>
        <v>1000000</v>
      </c>
      <c r="M259" s="6">
        <f t="shared" si="39"/>
        <v>1.3288899999999999</v>
      </c>
      <c r="N259" t="str">
        <f t="shared" si="40"/>
        <v>125-150%</v>
      </c>
      <c r="O259" s="7">
        <f>MIN(I259,H259)*INDEX('2018_commission_structure'!$A$11:$I$14,MATCH(Calculations!$E259,'2018_commission_structure'!$A$11:$A$14,0),MATCH(Calculations!O$1,'2018_commission_structure'!$A$11:$I$11,0))</f>
        <v>50000</v>
      </c>
      <c r="P259" s="7">
        <f>IF($H259&gt;I259,MIN($H259-I259,J259-I259)*INDEX('2018_commission_structure'!$A$11:$I$14,MATCH(Calculations!$E259,'2018_commission_structure'!$A$11:$A$14,0), MATCH(Calculations!P$1,'2018_commission_structure'!$A$11:$I$11,0)),0)</f>
        <v>18750</v>
      </c>
      <c r="Q259" s="7">
        <f>IF($H259&gt;J259,MIN($H259-J259,K259-J259)*INDEX('2018_commission_structure'!$A$11:$I$14,MATCH(Calculations!$E259,'2018_commission_structure'!$A$11:$A$14,0), MATCH(Calculations!Q$1,'2018_commission_structure'!$A$11:$I$11,0)),0)</f>
        <v>7100.0999999999995</v>
      </c>
      <c r="R259" s="7">
        <f>IF($H259&gt;K259,MIN($H259-K259,L259-K259)*INDEX('2018_commission_structure'!$A$11:$I$14,MATCH(Calculations!$E259,'2018_commission_structure'!$A$11:$A$14,0), MATCH(Calculations!R$1,'2018_commission_structure'!$A$11:$I$11,0)),0)</f>
        <v>0</v>
      </c>
      <c r="S259" s="7">
        <f>IF(H259&gt;L259,(H259-L259)*INDEX('2018_commission_structure'!$A$11:$I$14,MATCH(Calculations!$E259,'2018_commission_structure'!$A$11:$A$14,0),MATCH(Calculations!S$1,'2018_commission_structure'!$A$11:$I$11,0)),0)</f>
        <v>0</v>
      </c>
      <c r="T259" s="7">
        <f t="shared" si="41"/>
        <v>75850.100000000006</v>
      </c>
      <c r="U259" s="7">
        <f t="shared" si="42"/>
        <v>125720.1</v>
      </c>
      <c r="V259" s="7">
        <f>MIN(H259,I259)*INDEX('2018_commission_structure'!$A$5:$J$8,MATCH(Calculations!$E259,'2018_commission_structure'!$A$5:$A$8,0),MATCH(Calculations!V$1,'2018_commission_structure'!$A$5:$J$5,0))</f>
        <v>60000</v>
      </c>
      <c r="W259" s="2">
        <f>IF($H259&gt;I259,MIN($H259-I259,J259-I259)*INDEX('2018_commission_structure'!$A$5:$J$8,MATCH(Calculations!$E259,'2018_commission_structure'!$A$5:$A$8,0),MATCH(Calculations!W$1,'2018_commission_structure'!$A$5:$J$5,0)),0)</f>
        <v>21250</v>
      </c>
      <c r="X259" s="2">
        <f>IF($H259&gt;J259,MIN($H259-J259,K259-J259)*INDEX('2018_commission_structure'!$A$5:$J$8,MATCH(Calculations!$E259,'2018_commission_structure'!$A$5:$A$8,0),MATCH(Calculations!X$1,'2018_commission_structure'!$A$5:$J$5,0)),0)</f>
        <v>7889</v>
      </c>
      <c r="Y259" s="2">
        <f>IF($H259&gt;K259,MIN($H259-K259,L259-K259)*INDEX('2018_commission_structure'!$A$5:$J$8,MATCH(Calculations!$E259,'2018_commission_structure'!$A$5:$A$8,0),MATCH(Calculations!Y$1,'2018_commission_structure'!$A$5:$J$5,0)),0)</f>
        <v>0</v>
      </c>
      <c r="Z259" s="2">
        <f xml:space="preserve"> IF(H259&gt;L259,(H259-L259)*INDEX('2018_commission_structure'!$A$11:$I$14,MATCH(Calculations!$E259,'2018_commission_structure'!$A$11:$A$14,0),MATCH(Calculations!Z$1,'2018_commission_structure'!$A$11:$I$11,0)),0)</f>
        <v>0</v>
      </c>
      <c r="AA259" s="7">
        <f t="shared" ref="AA259:AA322" si="43">SUM(V259:Z259)</f>
        <v>89139</v>
      </c>
      <c r="AB259" s="7">
        <f t="shared" ref="AB259:AB322" si="44">AA259+F259</f>
        <v>139009</v>
      </c>
    </row>
    <row r="260" spans="1:28" x14ac:dyDescent="0.25">
      <c r="A260">
        <v>3303111790</v>
      </c>
      <c r="B260" t="s">
        <v>1203</v>
      </c>
      <c r="C260" t="s">
        <v>1358</v>
      </c>
      <c r="D260" t="str">
        <f>B260&amp;" "&amp;C260</f>
        <v>Andris Dunbleton</v>
      </c>
      <c r="E260" t="s">
        <v>7</v>
      </c>
      <c r="F260">
        <v>63069</v>
      </c>
      <c r="G260">
        <f>COUNTIF(deals_closed!D:D,Calculations!A260)</f>
        <v>20</v>
      </c>
      <c r="H260" s="2">
        <f>SUMIF(deals_closed!D:D,Calculations!A260,deals_closed!C:C)</f>
        <v>742207</v>
      </c>
      <c r="I260" s="2">
        <f>VLOOKUP(E260,'2018_commission_structure'!$A$11:$I$14,9,FALSE)</f>
        <v>500000</v>
      </c>
      <c r="J260" s="2">
        <f t="shared" si="36"/>
        <v>625000</v>
      </c>
      <c r="K260" s="2">
        <f t="shared" si="37"/>
        <v>750000</v>
      </c>
      <c r="L260" s="2">
        <f t="shared" si="38"/>
        <v>1000000</v>
      </c>
      <c r="M260" s="6">
        <f t="shared" si="39"/>
        <v>1.4844139999999999</v>
      </c>
      <c r="N260" t="str">
        <f t="shared" si="40"/>
        <v>125-150%</v>
      </c>
      <c r="O260" s="7">
        <f>MIN(I260,H260)*INDEX('2018_commission_structure'!$A$11:$I$14,MATCH(Calculations!$E260,'2018_commission_structure'!$A$11:$A$14,0),MATCH(Calculations!O$1,'2018_commission_structure'!$A$11:$I$11,0))</f>
        <v>50000</v>
      </c>
      <c r="P260" s="7">
        <f>IF($H260&gt;I260,MIN($H260-I260,J260-I260)*INDEX('2018_commission_structure'!$A$11:$I$14,MATCH(Calculations!$E260,'2018_commission_structure'!$A$11:$A$14,0), MATCH(Calculations!P$1,'2018_commission_structure'!$A$11:$I$11,0)),0)</f>
        <v>18750</v>
      </c>
      <c r="Q260" s="7">
        <f>IF($H260&gt;J260,MIN($H260-J260,K260-J260)*INDEX('2018_commission_structure'!$A$11:$I$14,MATCH(Calculations!$E260,'2018_commission_structure'!$A$11:$A$14,0), MATCH(Calculations!Q$1,'2018_commission_structure'!$A$11:$I$11,0)),0)</f>
        <v>21097.26</v>
      </c>
      <c r="R260" s="7">
        <f>IF($H260&gt;K260,MIN($H260-K260,L260-K260)*INDEX('2018_commission_structure'!$A$11:$I$14,MATCH(Calculations!$E260,'2018_commission_structure'!$A$11:$A$14,0), MATCH(Calculations!R$1,'2018_commission_structure'!$A$11:$I$11,0)),0)</f>
        <v>0</v>
      </c>
      <c r="S260" s="7">
        <f>IF(H260&gt;L260,(H260-L260)*INDEX('2018_commission_structure'!$A$11:$I$14,MATCH(Calculations!$E260,'2018_commission_structure'!$A$11:$A$14,0),MATCH(Calculations!S$1,'2018_commission_structure'!$A$11:$I$11,0)),0)</f>
        <v>0</v>
      </c>
      <c r="T260" s="7">
        <f t="shared" si="41"/>
        <v>89847.26</v>
      </c>
      <c r="U260" s="7">
        <f t="shared" si="42"/>
        <v>152916.26</v>
      </c>
      <c r="V260" s="7">
        <f>MIN(H260,I260)*INDEX('2018_commission_structure'!$A$5:$J$8,MATCH(Calculations!$E260,'2018_commission_structure'!$A$5:$A$8,0),MATCH(Calculations!V$1,'2018_commission_structure'!$A$5:$J$5,0))</f>
        <v>60000</v>
      </c>
      <c r="W260" s="2">
        <f>IF($H260&gt;I260,MIN($H260-I260,J260-I260)*INDEX('2018_commission_structure'!$A$5:$J$8,MATCH(Calculations!$E260,'2018_commission_structure'!$A$5:$A$8,0),MATCH(Calculations!W$1,'2018_commission_structure'!$A$5:$J$5,0)),0)</f>
        <v>21250</v>
      </c>
      <c r="X260" s="2">
        <f>IF($H260&gt;J260,MIN($H260-J260,K260-J260)*INDEX('2018_commission_structure'!$A$5:$J$8,MATCH(Calculations!$E260,'2018_commission_structure'!$A$5:$A$8,0),MATCH(Calculations!X$1,'2018_commission_structure'!$A$5:$J$5,0)),0)</f>
        <v>23441.4</v>
      </c>
      <c r="Y260" s="2">
        <f>IF($H260&gt;K260,MIN($H260-K260,L260-K260)*INDEX('2018_commission_structure'!$A$5:$J$8,MATCH(Calculations!$E260,'2018_commission_structure'!$A$5:$A$8,0),MATCH(Calculations!Y$1,'2018_commission_structure'!$A$5:$J$5,0)),0)</f>
        <v>0</v>
      </c>
      <c r="Z260" s="2">
        <f xml:space="preserve"> IF(H260&gt;L260,(H260-L260)*INDEX('2018_commission_structure'!$A$11:$I$14,MATCH(Calculations!$E260,'2018_commission_structure'!$A$11:$A$14,0),MATCH(Calculations!Z$1,'2018_commission_structure'!$A$11:$I$11,0)),0)</f>
        <v>0</v>
      </c>
      <c r="AA260" s="7">
        <f t="shared" si="43"/>
        <v>104691.4</v>
      </c>
      <c r="AB260" s="7">
        <f t="shared" si="44"/>
        <v>167760.4</v>
      </c>
    </row>
    <row r="261" spans="1:28" x14ac:dyDescent="0.25">
      <c r="A261">
        <v>4031884281</v>
      </c>
      <c r="B261" t="s">
        <v>1559</v>
      </c>
      <c r="C261" t="s">
        <v>1560</v>
      </c>
      <c r="D261" t="str">
        <f>B261&amp;" "&amp;C261</f>
        <v>Fredi Dunkerly</v>
      </c>
      <c r="E261" t="s">
        <v>10</v>
      </c>
      <c r="F261">
        <v>89664</v>
      </c>
      <c r="G261">
        <f>COUNTIF(deals_closed!D:D,Calculations!A261)</f>
        <v>14</v>
      </c>
      <c r="H261" s="2">
        <f>SUMIF(deals_closed!D:D,Calculations!A261,deals_closed!C:C)</f>
        <v>421213</v>
      </c>
      <c r="I261" s="2">
        <f>VLOOKUP(E261,'2018_commission_structure'!$A$11:$I$14,9,FALSE)</f>
        <v>750000</v>
      </c>
      <c r="J261" s="2">
        <f t="shared" si="36"/>
        <v>937500</v>
      </c>
      <c r="K261" s="2">
        <f t="shared" si="37"/>
        <v>1125000</v>
      </c>
      <c r="L261" s="2">
        <f t="shared" si="38"/>
        <v>1500000</v>
      </c>
      <c r="M261" s="6">
        <f t="shared" si="39"/>
        <v>0.5616173333333333</v>
      </c>
      <c r="N261" t="str">
        <f t="shared" si="40"/>
        <v>0-100%</v>
      </c>
      <c r="O261" s="7">
        <f>MIN(I261,H261)*INDEX('2018_commission_structure'!$A$11:$I$14,MATCH(Calculations!$E261,'2018_commission_structure'!$A$11:$A$14,0),MATCH(Calculations!O$1,'2018_commission_structure'!$A$11:$I$11,0))</f>
        <v>63181.95</v>
      </c>
      <c r="P261" s="7">
        <f>IF($H261&gt;I261,MIN($H261-I261,J261-I261)*INDEX('2018_commission_structure'!$A$11:$I$14,MATCH(Calculations!$E261,'2018_commission_structure'!$A$11:$A$14,0), MATCH(Calculations!P$1,'2018_commission_structure'!$A$11:$I$11,0)),0)</f>
        <v>0</v>
      </c>
      <c r="Q261" s="7">
        <f>IF($H261&gt;J261,MIN($H261-J261,K261-J261)*INDEX('2018_commission_structure'!$A$11:$I$14,MATCH(Calculations!$E261,'2018_commission_structure'!$A$11:$A$14,0), MATCH(Calculations!Q$1,'2018_commission_structure'!$A$11:$I$11,0)),0)</f>
        <v>0</v>
      </c>
      <c r="R261" s="7">
        <f>IF($H261&gt;K261,MIN($H261-K261,L261-K261)*INDEX('2018_commission_structure'!$A$11:$I$14,MATCH(Calculations!$E261,'2018_commission_structure'!$A$11:$A$14,0), MATCH(Calculations!R$1,'2018_commission_structure'!$A$11:$I$11,0)),0)</f>
        <v>0</v>
      </c>
      <c r="S261" s="7">
        <f>IF(H261&gt;L261,(H261-L261)*INDEX('2018_commission_structure'!$A$11:$I$14,MATCH(Calculations!$E261,'2018_commission_structure'!$A$11:$A$14,0),MATCH(Calculations!S$1,'2018_commission_structure'!$A$11:$I$11,0)),0)</f>
        <v>0</v>
      </c>
      <c r="T261" s="7">
        <f t="shared" si="41"/>
        <v>63181.95</v>
      </c>
      <c r="U261" s="7">
        <f t="shared" si="42"/>
        <v>152845.95000000001</v>
      </c>
      <c r="V261" s="7">
        <f>MIN(H261,I261)*INDEX('2018_commission_structure'!$A$5:$J$8,MATCH(Calculations!$E261,'2018_commission_structure'!$A$5:$A$8,0),MATCH(Calculations!V$1,'2018_commission_structure'!$A$5:$J$5,0))</f>
        <v>63181.95</v>
      </c>
      <c r="W261" s="2">
        <f>IF($H261&gt;I261,MIN($H261-I261,J261-I261)*INDEX('2018_commission_structure'!$A$5:$J$8,MATCH(Calculations!$E261,'2018_commission_structure'!$A$5:$A$8,0),MATCH(Calculations!W$1,'2018_commission_structure'!$A$5:$J$5,0)),0)</f>
        <v>0</v>
      </c>
      <c r="X261" s="2">
        <f>IF($H261&gt;J261,MIN($H261-J261,K261-J261)*INDEX('2018_commission_structure'!$A$5:$J$8,MATCH(Calculations!$E261,'2018_commission_structure'!$A$5:$A$8,0),MATCH(Calculations!X$1,'2018_commission_structure'!$A$5:$J$5,0)),0)</f>
        <v>0</v>
      </c>
      <c r="Y261" s="2">
        <f>IF($H261&gt;K261,MIN($H261-K261,L261-K261)*INDEX('2018_commission_structure'!$A$5:$J$8,MATCH(Calculations!$E261,'2018_commission_structure'!$A$5:$A$8,0),MATCH(Calculations!Y$1,'2018_commission_structure'!$A$5:$J$5,0)),0)</f>
        <v>0</v>
      </c>
      <c r="Z261" s="2">
        <f xml:space="preserve"> IF(H261&gt;L261,(H261-L261)*INDEX('2018_commission_structure'!$A$11:$I$14,MATCH(Calculations!$E261,'2018_commission_structure'!$A$11:$A$14,0),MATCH(Calculations!Z$1,'2018_commission_structure'!$A$11:$I$11,0)),0)</f>
        <v>0</v>
      </c>
      <c r="AA261" s="7">
        <f t="shared" si="43"/>
        <v>63181.95</v>
      </c>
      <c r="AB261" s="7">
        <f t="shared" si="44"/>
        <v>152845.95000000001</v>
      </c>
    </row>
    <row r="262" spans="1:28" x14ac:dyDescent="0.25">
      <c r="A262">
        <v>1599457717</v>
      </c>
      <c r="B262" t="s">
        <v>1045</v>
      </c>
      <c r="C262" t="s">
        <v>1046</v>
      </c>
      <c r="D262" t="str">
        <f>B262&amp;" "&amp;C262</f>
        <v>Julianna Dunklee</v>
      </c>
      <c r="E262" t="s">
        <v>7</v>
      </c>
      <c r="F262">
        <v>33272</v>
      </c>
      <c r="G262">
        <f>COUNTIF(deals_closed!D:D,Calculations!A262)</f>
        <v>13</v>
      </c>
      <c r="H262" s="2">
        <f>SUMIF(deals_closed!D:D,Calculations!A262,deals_closed!C:C)</f>
        <v>417717</v>
      </c>
      <c r="I262" s="2">
        <f>VLOOKUP(E262,'2018_commission_structure'!$A$11:$I$14,9,FALSE)</f>
        <v>500000</v>
      </c>
      <c r="J262" s="2">
        <f t="shared" si="36"/>
        <v>625000</v>
      </c>
      <c r="K262" s="2">
        <f t="shared" si="37"/>
        <v>750000</v>
      </c>
      <c r="L262" s="2">
        <f t="shared" si="38"/>
        <v>1000000</v>
      </c>
      <c r="M262" s="6">
        <f t="shared" si="39"/>
        <v>0.83543400000000001</v>
      </c>
      <c r="N262" t="str">
        <f t="shared" si="40"/>
        <v>0-100%</v>
      </c>
      <c r="O262" s="7">
        <f>MIN(I262,H262)*INDEX('2018_commission_structure'!$A$11:$I$14,MATCH(Calculations!$E262,'2018_commission_structure'!$A$11:$A$14,0),MATCH(Calculations!O$1,'2018_commission_structure'!$A$11:$I$11,0))</f>
        <v>41771.700000000004</v>
      </c>
      <c r="P262" s="7">
        <f>IF($H262&gt;I262,MIN($H262-I262,J262-I262)*INDEX('2018_commission_structure'!$A$11:$I$14,MATCH(Calculations!$E262,'2018_commission_structure'!$A$11:$A$14,0), MATCH(Calculations!P$1,'2018_commission_structure'!$A$11:$I$11,0)),0)</f>
        <v>0</v>
      </c>
      <c r="Q262" s="7">
        <f>IF($H262&gt;J262,MIN($H262-J262,K262-J262)*INDEX('2018_commission_structure'!$A$11:$I$14,MATCH(Calculations!$E262,'2018_commission_structure'!$A$11:$A$14,0), MATCH(Calculations!Q$1,'2018_commission_structure'!$A$11:$I$11,0)),0)</f>
        <v>0</v>
      </c>
      <c r="R262" s="7">
        <f>IF($H262&gt;K262,MIN($H262-K262,L262-K262)*INDEX('2018_commission_structure'!$A$11:$I$14,MATCH(Calculations!$E262,'2018_commission_structure'!$A$11:$A$14,0), MATCH(Calculations!R$1,'2018_commission_structure'!$A$11:$I$11,0)),0)</f>
        <v>0</v>
      </c>
      <c r="S262" s="7">
        <f>IF(H262&gt;L262,(H262-L262)*INDEX('2018_commission_structure'!$A$11:$I$14,MATCH(Calculations!$E262,'2018_commission_structure'!$A$11:$A$14,0),MATCH(Calculations!S$1,'2018_commission_structure'!$A$11:$I$11,0)),0)</f>
        <v>0</v>
      </c>
      <c r="T262" s="7">
        <f t="shared" si="41"/>
        <v>41771.700000000004</v>
      </c>
      <c r="U262" s="7">
        <f t="shared" si="42"/>
        <v>75043.700000000012</v>
      </c>
      <c r="V262" s="7">
        <f>MIN(H262,I262)*INDEX('2018_commission_structure'!$A$5:$J$8,MATCH(Calculations!$E262,'2018_commission_structure'!$A$5:$A$8,0),MATCH(Calculations!V$1,'2018_commission_structure'!$A$5:$J$5,0))</f>
        <v>50126.04</v>
      </c>
      <c r="W262" s="2">
        <f>IF($H262&gt;I262,MIN($H262-I262,J262-I262)*INDEX('2018_commission_structure'!$A$5:$J$8,MATCH(Calculations!$E262,'2018_commission_structure'!$A$5:$A$8,0),MATCH(Calculations!W$1,'2018_commission_structure'!$A$5:$J$5,0)),0)</f>
        <v>0</v>
      </c>
      <c r="X262" s="2">
        <f>IF($H262&gt;J262,MIN($H262-J262,K262-J262)*INDEX('2018_commission_structure'!$A$5:$J$8,MATCH(Calculations!$E262,'2018_commission_structure'!$A$5:$A$8,0),MATCH(Calculations!X$1,'2018_commission_structure'!$A$5:$J$5,0)),0)</f>
        <v>0</v>
      </c>
      <c r="Y262" s="2">
        <f>IF($H262&gt;K262,MIN($H262-K262,L262-K262)*INDEX('2018_commission_structure'!$A$5:$J$8,MATCH(Calculations!$E262,'2018_commission_structure'!$A$5:$A$8,0),MATCH(Calculations!Y$1,'2018_commission_structure'!$A$5:$J$5,0)),0)</f>
        <v>0</v>
      </c>
      <c r="Z262" s="2">
        <f xml:space="preserve"> IF(H262&gt;L262,(H262-L262)*INDEX('2018_commission_structure'!$A$11:$I$14,MATCH(Calculations!$E262,'2018_commission_structure'!$A$11:$A$14,0),MATCH(Calculations!Z$1,'2018_commission_structure'!$A$11:$I$11,0)),0)</f>
        <v>0</v>
      </c>
      <c r="AA262" s="7">
        <f t="shared" si="43"/>
        <v>50126.04</v>
      </c>
      <c r="AB262" s="7">
        <f t="shared" si="44"/>
        <v>83398.040000000008</v>
      </c>
    </row>
    <row r="263" spans="1:28" x14ac:dyDescent="0.25">
      <c r="A263">
        <v>9013891098</v>
      </c>
      <c r="B263" t="s">
        <v>1031</v>
      </c>
      <c r="C263" t="s">
        <v>1032</v>
      </c>
      <c r="D263" t="str">
        <f>B263&amp;" "&amp;C263</f>
        <v>Cory Duplan</v>
      </c>
      <c r="E263" t="s">
        <v>10</v>
      </c>
      <c r="F263">
        <v>102308</v>
      </c>
      <c r="G263">
        <f>COUNTIF(deals_closed!D:D,Calculations!A263)</f>
        <v>21</v>
      </c>
      <c r="H263" s="2">
        <f>SUMIF(deals_closed!D:D,Calculations!A263,deals_closed!C:C)</f>
        <v>681893</v>
      </c>
      <c r="I263" s="2">
        <f>VLOOKUP(E263,'2018_commission_structure'!$A$11:$I$14,9,FALSE)</f>
        <v>750000</v>
      </c>
      <c r="J263" s="2">
        <f t="shared" si="36"/>
        <v>937500</v>
      </c>
      <c r="K263" s="2">
        <f t="shared" si="37"/>
        <v>1125000</v>
      </c>
      <c r="L263" s="2">
        <f t="shared" si="38"/>
        <v>1500000</v>
      </c>
      <c r="M263" s="6">
        <f t="shared" si="39"/>
        <v>0.9091906666666667</v>
      </c>
      <c r="N263" t="str">
        <f t="shared" si="40"/>
        <v>0-100%</v>
      </c>
      <c r="O263" s="7">
        <f>MIN(I263,H263)*INDEX('2018_commission_structure'!$A$11:$I$14,MATCH(Calculations!$E263,'2018_commission_structure'!$A$11:$A$14,0),MATCH(Calculations!O$1,'2018_commission_structure'!$A$11:$I$11,0))</f>
        <v>102283.95</v>
      </c>
      <c r="P263" s="7">
        <f>IF($H263&gt;I263,MIN($H263-I263,J263-I263)*INDEX('2018_commission_structure'!$A$11:$I$14,MATCH(Calculations!$E263,'2018_commission_structure'!$A$11:$A$14,0), MATCH(Calculations!P$1,'2018_commission_structure'!$A$11:$I$11,0)),0)</f>
        <v>0</v>
      </c>
      <c r="Q263" s="7">
        <f>IF($H263&gt;J263,MIN($H263-J263,K263-J263)*INDEX('2018_commission_structure'!$A$11:$I$14,MATCH(Calculations!$E263,'2018_commission_structure'!$A$11:$A$14,0), MATCH(Calculations!Q$1,'2018_commission_structure'!$A$11:$I$11,0)),0)</f>
        <v>0</v>
      </c>
      <c r="R263" s="7">
        <f>IF($H263&gt;K263,MIN($H263-K263,L263-K263)*INDEX('2018_commission_structure'!$A$11:$I$14,MATCH(Calculations!$E263,'2018_commission_structure'!$A$11:$A$14,0), MATCH(Calculations!R$1,'2018_commission_structure'!$A$11:$I$11,0)),0)</f>
        <v>0</v>
      </c>
      <c r="S263" s="7">
        <f>IF(H263&gt;L263,(H263-L263)*INDEX('2018_commission_structure'!$A$11:$I$14,MATCH(Calculations!$E263,'2018_commission_structure'!$A$11:$A$14,0),MATCH(Calculations!S$1,'2018_commission_structure'!$A$11:$I$11,0)),0)</f>
        <v>0</v>
      </c>
      <c r="T263" s="7">
        <f t="shared" si="41"/>
        <v>102283.95</v>
      </c>
      <c r="U263" s="7">
        <f t="shared" si="42"/>
        <v>204591.95</v>
      </c>
      <c r="V263" s="7">
        <f>MIN(H263,I263)*INDEX('2018_commission_structure'!$A$5:$J$8,MATCH(Calculations!$E263,'2018_commission_structure'!$A$5:$A$8,0),MATCH(Calculations!V$1,'2018_commission_structure'!$A$5:$J$5,0))</f>
        <v>102283.95</v>
      </c>
      <c r="W263" s="2">
        <f>IF($H263&gt;I263,MIN($H263-I263,J263-I263)*INDEX('2018_commission_structure'!$A$5:$J$8,MATCH(Calculations!$E263,'2018_commission_structure'!$A$5:$A$8,0),MATCH(Calculations!W$1,'2018_commission_structure'!$A$5:$J$5,0)),0)</f>
        <v>0</v>
      </c>
      <c r="X263" s="2">
        <f>IF($H263&gt;J263,MIN($H263-J263,K263-J263)*INDEX('2018_commission_structure'!$A$5:$J$8,MATCH(Calculations!$E263,'2018_commission_structure'!$A$5:$A$8,0),MATCH(Calculations!X$1,'2018_commission_structure'!$A$5:$J$5,0)),0)</f>
        <v>0</v>
      </c>
      <c r="Y263" s="2">
        <f>IF($H263&gt;K263,MIN($H263-K263,L263-K263)*INDEX('2018_commission_structure'!$A$5:$J$8,MATCH(Calculations!$E263,'2018_commission_structure'!$A$5:$A$8,0),MATCH(Calculations!Y$1,'2018_commission_structure'!$A$5:$J$5,0)),0)</f>
        <v>0</v>
      </c>
      <c r="Z263" s="2">
        <f xml:space="preserve"> IF(H263&gt;L263,(H263-L263)*INDEX('2018_commission_structure'!$A$11:$I$14,MATCH(Calculations!$E263,'2018_commission_structure'!$A$11:$A$14,0),MATCH(Calculations!Z$1,'2018_commission_structure'!$A$11:$I$11,0)),0)</f>
        <v>0</v>
      </c>
      <c r="AA263" s="7">
        <f t="shared" si="43"/>
        <v>102283.95</v>
      </c>
      <c r="AB263" s="7">
        <f t="shared" si="44"/>
        <v>204591.95</v>
      </c>
    </row>
    <row r="264" spans="1:28" x14ac:dyDescent="0.25">
      <c r="A264">
        <v>5479449389</v>
      </c>
      <c r="B264" t="s">
        <v>992</v>
      </c>
      <c r="C264" t="s">
        <v>377</v>
      </c>
      <c r="D264" t="str">
        <f>B264&amp;" "&amp;C264</f>
        <v>Lazar Durant</v>
      </c>
      <c r="E264" t="s">
        <v>29</v>
      </c>
      <c r="F264">
        <v>63693</v>
      </c>
      <c r="G264">
        <f>COUNTIF(deals_closed!D:D,Calculations!A264)</f>
        <v>15</v>
      </c>
      <c r="H264" s="2">
        <f>SUMIF(deals_closed!D:D,Calculations!A264,deals_closed!C:C)</f>
        <v>593430</v>
      </c>
      <c r="I264" s="2">
        <f>VLOOKUP(E264,'2018_commission_structure'!$A$11:$I$14,9,FALSE)</f>
        <v>600000</v>
      </c>
      <c r="J264" s="2">
        <f t="shared" si="36"/>
        <v>750000</v>
      </c>
      <c r="K264" s="2">
        <f t="shared" si="37"/>
        <v>900000</v>
      </c>
      <c r="L264" s="2">
        <f t="shared" si="38"/>
        <v>1200000</v>
      </c>
      <c r="M264" s="6">
        <f t="shared" si="39"/>
        <v>0.98904999999999998</v>
      </c>
      <c r="N264" t="str">
        <f t="shared" si="40"/>
        <v>0-100%</v>
      </c>
      <c r="O264" s="7">
        <f>MIN(I264,H264)*INDEX('2018_commission_structure'!$A$11:$I$14,MATCH(Calculations!$E264,'2018_commission_structure'!$A$11:$A$14,0),MATCH(Calculations!O$1,'2018_commission_structure'!$A$11:$I$11,0))</f>
        <v>77145.900000000009</v>
      </c>
      <c r="P264" s="7">
        <f>IF($H264&gt;I264,MIN($H264-I264,J264-I264)*INDEX('2018_commission_structure'!$A$11:$I$14,MATCH(Calculations!$E264,'2018_commission_structure'!$A$11:$A$14,0), MATCH(Calculations!P$1,'2018_commission_structure'!$A$11:$I$11,0)),0)</f>
        <v>0</v>
      </c>
      <c r="Q264" s="7">
        <f>IF($H264&gt;J264,MIN($H264-J264,K264-J264)*INDEX('2018_commission_structure'!$A$11:$I$14,MATCH(Calculations!$E264,'2018_commission_structure'!$A$11:$A$14,0), MATCH(Calculations!Q$1,'2018_commission_structure'!$A$11:$I$11,0)),0)</f>
        <v>0</v>
      </c>
      <c r="R264" s="7">
        <f>IF($H264&gt;K264,MIN($H264-K264,L264-K264)*INDEX('2018_commission_structure'!$A$11:$I$14,MATCH(Calculations!$E264,'2018_commission_structure'!$A$11:$A$14,0), MATCH(Calculations!R$1,'2018_commission_structure'!$A$11:$I$11,0)),0)</f>
        <v>0</v>
      </c>
      <c r="S264" s="7">
        <f>IF(H264&gt;L264,(H264-L264)*INDEX('2018_commission_structure'!$A$11:$I$14,MATCH(Calculations!$E264,'2018_commission_structure'!$A$11:$A$14,0),MATCH(Calculations!S$1,'2018_commission_structure'!$A$11:$I$11,0)),0)</f>
        <v>0</v>
      </c>
      <c r="T264" s="7">
        <f t="shared" si="41"/>
        <v>77145.900000000009</v>
      </c>
      <c r="U264" s="7">
        <f t="shared" si="42"/>
        <v>140838.90000000002</v>
      </c>
      <c r="V264" s="7">
        <f>MIN(H264,I264)*INDEX('2018_commission_structure'!$A$5:$J$8,MATCH(Calculations!$E264,'2018_commission_structure'!$A$5:$A$8,0),MATCH(Calculations!V$1,'2018_commission_structure'!$A$5:$J$5,0))</f>
        <v>89014.5</v>
      </c>
      <c r="W264" s="2">
        <f>IF($H264&gt;I264,MIN($H264-I264,J264-I264)*INDEX('2018_commission_structure'!$A$5:$J$8,MATCH(Calculations!$E264,'2018_commission_structure'!$A$5:$A$8,0),MATCH(Calculations!W$1,'2018_commission_structure'!$A$5:$J$5,0)),0)</f>
        <v>0</v>
      </c>
      <c r="X264" s="2">
        <f>IF($H264&gt;J264,MIN($H264-J264,K264-J264)*INDEX('2018_commission_structure'!$A$5:$J$8,MATCH(Calculations!$E264,'2018_commission_structure'!$A$5:$A$8,0),MATCH(Calculations!X$1,'2018_commission_structure'!$A$5:$J$5,0)),0)</f>
        <v>0</v>
      </c>
      <c r="Y264" s="2">
        <f>IF($H264&gt;K264,MIN($H264-K264,L264-K264)*INDEX('2018_commission_structure'!$A$5:$J$8,MATCH(Calculations!$E264,'2018_commission_structure'!$A$5:$A$8,0),MATCH(Calculations!Y$1,'2018_commission_structure'!$A$5:$J$5,0)),0)</f>
        <v>0</v>
      </c>
      <c r="Z264" s="2">
        <f xml:space="preserve"> IF(H264&gt;L264,(H264-L264)*INDEX('2018_commission_structure'!$A$11:$I$14,MATCH(Calculations!$E264,'2018_commission_structure'!$A$11:$A$14,0),MATCH(Calculations!Z$1,'2018_commission_structure'!$A$11:$I$11,0)),0)</f>
        <v>0</v>
      </c>
      <c r="AA264" s="7">
        <f t="shared" si="43"/>
        <v>89014.5</v>
      </c>
      <c r="AB264" s="7">
        <f t="shared" si="44"/>
        <v>152707.5</v>
      </c>
    </row>
    <row r="265" spans="1:28" x14ac:dyDescent="0.25">
      <c r="A265">
        <v>7700368295</v>
      </c>
      <c r="B265" t="s">
        <v>1837</v>
      </c>
      <c r="C265" t="s">
        <v>1838</v>
      </c>
      <c r="D265" t="str">
        <f>B265&amp;" "&amp;C265</f>
        <v>Tirrell Durdle</v>
      </c>
      <c r="E265" t="s">
        <v>7</v>
      </c>
      <c r="F265">
        <v>47191</v>
      </c>
      <c r="G265">
        <f>COUNTIF(deals_closed!D:D,Calculations!A265)</f>
        <v>14</v>
      </c>
      <c r="H265" s="2">
        <f>SUMIF(deals_closed!D:D,Calculations!A265,deals_closed!C:C)</f>
        <v>501339</v>
      </c>
      <c r="I265" s="2">
        <f>VLOOKUP(E265,'2018_commission_structure'!$A$11:$I$14,9,FALSE)</f>
        <v>500000</v>
      </c>
      <c r="J265" s="2">
        <f t="shared" si="36"/>
        <v>625000</v>
      </c>
      <c r="K265" s="2">
        <f t="shared" si="37"/>
        <v>750000</v>
      </c>
      <c r="L265" s="2">
        <f t="shared" si="38"/>
        <v>1000000</v>
      </c>
      <c r="M265" s="6">
        <f t="shared" si="39"/>
        <v>1.002678</v>
      </c>
      <c r="N265" t="str">
        <f t="shared" si="40"/>
        <v>100-125%</v>
      </c>
      <c r="O265" s="7">
        <f>MIN(I265,H265)*INDEX('2018_commission_structure'!$A$11:$I$14,MATCH(Calculations!$E265,'2018_commission_structure'!$A$11:$A$14,0),MATCH(Calculations!O$1,'2018_commission_structure'!$A$11:$I$11,0))</f>
        <v>50000</v>
      </c>
      <c r="P265" s="7">
        <f>IF($H265&gt;I265,MIN($H265-I265,J265-I265)*INDEX('2018_commission_structure'!$A$11:$I$14,MATCH(Calculations!$E265,'2018_commission_structure'!$A$11:$A$14,0), MATCH(Calculations!P$1,'2018_commission_structure'!$A$11:$I$11,0)),0)</f>
        <v>200.85</v>
      </c>
      <c r="Q265" s="7">
        <f>IF($H265&gt;J265,MIN($H265-J265,K265-J265)*INDEX('2018_commission_structure'!$A$11:$I$14,MATCH(Calculations!$E265,'2018_commission_structure'!$A$11:$A$14,0), MATCH(Calculations!Q$1,'2018_commission_structure'!$A$11:$I$11,0)),0)</f>
        <v>0</v>
      </c>
      <c r="R265" s="7">
        <f>IF($H265&gt;K265,MIN($H265-K265,L265-K265)*INDEX('2018_commission_structure'!$A$11:$I$14,MATCH(Calculations!$E265,'2018_commission_structure'!$A$11:$A$14,0), MATCH(Calculations!R$1,'2018_commission_structure'!$A$11:$I$11,0)),0)</f>
        <v>0</v>
      </c>
      <c r="S265" s="7">
        <f>IF(H265&gt;L265,(H265-L265)*INDEX('2018_commission_structure'!$A$11:$I$14,MATCH(Calculations!$E265,'2018_commission_structure'!$A$11:$A$14,0),MATCH(Calculations!S$1,'2018_commission_structure'!$A$11:$I$11,0)),0)</f>
        <v>0</v>
      </c>
      <c r="T265" s="7">
        <f t="shared" si="41"/>
        <v>50200.85</v>
      </c>
      <c r="U265" s="7">
        <f t="shared" si="42"/>
        <v>97391.85</v>
      </c>
      <c r="V265" s="7">
        <f>MIN(H265,I265)*INDEX('2018_commission_structure'!$A$5:$J$8,MATCH(Calculations!$E265,'2018_commission_structure'!$A$5:$A$8,0),MATCH(Calculations!V$1,'2018_commission_structure'!$A$5:$J$5,0))</f>
        <v>60000</v>
      </c>
      <c r="W265" s="2">
        <f>IF($H265&gt;I265,MIN($H265-I265,J265-I265)*INDEX('2018_commission_structure'!$A$5:$J$8,MATCH(Calculations!$E265,'2018_commission_structure'!$A$5:$A$8,0),MATCH(Calculations!W$1,'2018_commission_structure'!$A$5:$J$5,0)),0)</f>
        <v>227.63000000000002</v>
      </c>
      <c r="X265" s="2">
        <f>IF($H265&gt;J265,MIN($H265-J265,K265-J265)*INDEX('2018_commission_structure'!$A$5:$J$8,MATCH(Calculations!$E265,'2018_commission_structure'!$A$5:$A$8,0),MATCH(Calculations!X$1,'2018_commission_structure'!$A$5:$J$5,0)),0)</f>
        <v>0</v>
      </c>
      <c r="Y265" s="2">
        <f>IF($H265&gt;K265,MIN($H265-K265,L265-K265)*INDEX('2018_commission_structure'!$A$5:$J$8,MATCH(Calculations!$E265,'2018_commission_structure'!$A$5:$A$8,0),MATCH(Calculations!Y$1,'2018_commission_structure'!$A$5:$J$5,0)),0)</f>
        <v>0</v>
      </c>
      <c r="Z265" s="2">
        <f xml:space="preserve"> IF(H265&gt;L265,(H265-L265)*INDEX('2018_commission_structure'!$A$11:$I$14,MATCH(Calculations!$E265,'2018_commission_structure'!$A$11:$A$14,0),MATCH(Calculations!Z$1,'2018_commission_structure'!$A$11:$I$11,0)),0)</f>
        <v>0</v>
      </c>
      <c r="AA265" s="7">
        <f t="shared" si="43"/>
        <v>60227.63</v>
      </c>
      <c r="AB265" s="7">
        <f t="shared" si="44"/>
        <v>107418.63</v>
      </c>
    </row>
    <row r="266" spans="1:28" x14ac:dyDescent="0.25">
      <c r="A266">
        <v>9238967105</v>
      </c>
      <c r="B266" t="s">
        <v>329</v>
      </c>
      <c r="C266" t="s">
        <v>330</v>
      </c>
      <c r="D266" t="str">
        <f>B266&amp;" "&amp;C266</f>
        <v>Chalmers Durrad</v>
      </c>
      <c r="E266" t="s">
        <v>10</v>
      </c>
      <c r="F266">
        <v>106881</v>
      </c>
      <c r="G266">
        <f>COUNTIF(deals_closed!D:D,Calculations!A266)</f>
        <v>20</v>
      </c>
      <c r="H266" s="2">
        <f>SUMIF(deals_closed!D:D,Calculations!A266,deals_closed!C:C)</f>
        <v>692731</v>
      </c>
      <c r="I266" s="2">
        <f>VLOOKUP(E266,'2018_commission_structure'!$A$11:$I$14,9,FALSE)</f>
        <v>750000</v>
      </c>
      <c r="J266" s="2">
        <f t="shared" si="36"/>
        <v>937500</v>
      </c>
      <c r="K266" s="2">
        <f t="shared" si="37"/>
        <v>1125000</v>
      </c>
      <c r="L266" s="2">
        <f t="shared" si="38"/>
        <v>1500000</v>
      </c>
      <c r="M266" s="6">
        <f t="shared" si="39"/>
        <v>0.92364133333333331</v>
      </c>
      <c r="N266" t="str">
        <f t="shared" si="40"/>
        <v>0-100%</v>
      </c>
      <c r="O266" s="7">
        <f>MIN(I266,H266)*INDEX('2018_commission_structure'!$A$11:$I$14,MATCH(Calculations!$E266,'2018_commission_structure'!$A$11:$A$14,0),MATCH(Calculations!O$1,'2018_commission_structure'!$A$11:$I$11,0))</f>
        <v>103909.65</v>
      </c>
      <c r="P266" s="7">
        <f>IF($H266&gt;I266,MIN($H266-I266,J266-I266)*INDEX('2018_commission_structure'!$A$11:$I$14,MATCH(Calculations!$E266,'2018_commission_structure'!$A$11:$A$14,0), MATCH(Calculations!P$1,'2018_commission_structure'!$A$11:$I$11,0)),0)</f>
        <v>0</v>
      </c>
      <c r="Q266" s="7">
        <f>IF($H266&gt;J266,MIN($H266-J266,K266-J266)*INDEX('2018_commission_structure'!$A$11:$I$14,MATCH(Calculations!$E266,'2018_commission_structure'!$A$11:$A$14,0), MATCH(Calculations!Q$1,'2018_commission_structure'!$A$11:$I$11,0)),0)</f>
        <v>0</v>
      </c>
      <c r="R266" s="7">
        <f>IF($H266&gt;K266,MIN($H266-K266,L266-K266)*INDEX('2018_commission_structure'!$A$11:$I$14,MATCH(Calculations!$E266,'2018_commission_structure'!$A$11:$A$14,0), MATCH(Calculations!R$1,'2018_commission_structure'!$A$11:$I$11,0)),0)</f>
        <v>0</v>
      </c>
      <c r="S266" s="7">
        <f>IF(H266&gt;L266,(H266-L266)*INDEX('2018_commission_structure'!$A$11:$I$14,MATCH(Calculations!$E266,'2018_commission_structure'!$A$11:$A$14,0),MATCH(Calculations!S$1,'2018_commission_structure'!$A$11:$I$11,0)),0)</f>
        <v>0</v>
      </c>
      <c r="T266" s="7">
        <f t="shared" si="41"/>
        <v>103909.65</v>
      </c>
      <c r="U266" s="7">
        <f t="shared" si="42"/>
        <v>210790.65</v>
      </c>
      <c r="V266" s="7">
        <f>MIN(H266,I266)*INDEX('2018_commission_structure'!$A$5:$J$8,MATCH(Calculations!$E266,'2018_commission_structure'!$A$5:$A$8,0),MATCH(Calculations!V$1,'2018_commission_structure'!$A$5:$J$5,0))</f>
        <v>103909.65</v>
      </c>
      <c r="W266" s="2">
        <f>IF($H266&gt;I266,MIN($H266-I266,J266-I266)*INDEX('2018_commission_structure'!$A$5:$J$8,MATCH(Calculations!$E266,'2018_commission_structure'!$A$5:$A$8,0),MATCH(Calculations!W$1,'2018_commission_structure'!$A$5:$J$5,0)),0)</f>
        <v>0</v>
      </c>
      <c r="X266" s="2">
        <f>IF($H266&gt;J266,MIN($H266-J266,K266-J266)*INDEX('2018_commission_structure'!$A$5:$J$8,MATCH(Calculations!$E266,'2018_commission_structure'!$A$5:$A$8,0),MATCH(Calculations!X$1,'2018_commission_structure'!$A$5:$J$5,0)),0)</f>
        <v>0</v>
      </c>
      <c r="Y266" s="2">
        <f>IF($H266&gt;K266,MIN($H266-K266,L266-K266)*INDEX('2018_commission_structure'!$A$5:$J$8,MATCH(Calculations!$E266,'2018_commission_structure'!$A$5:$A$8,0),MATCH(Calculations!Y$1,'2018_commission_structure'!$A$5:$J$5,0)),0)</f>
        <v>0</v>
      </c>
      <c r="Z266" s="2">
        <f xml:space="preserve"> IF(H266&gt;L266,(H266-L266)*INDEX('2018_commission_structure'!$A$11:$I$14,MATCH(Calculations!$E266,'2018_commission_structure'!$A$11:$A$14,0),MATCH(Calculations!Z$1,'2018_commission_structure'!$A$11:$I$11,0)),0)</f>
        <v>0</v>
      </c>
      <c r="AA266" s="7">
        <f t="shared" si="43"/>
        <v>103909.65</v>
      </c>
      <c r="AB266" s="7">
        <f t="shared" si="44"/>
        <v>210790.65</v>
      </c>
    </row>
    <row r="267" spans="1:28" x14ac:dyDescent="0.25">
      <c r="A267">
        <v>3097425365</v>
      </c>
      <c r="B267" t="s">
        <v>1413</v>
      </c>
      <c r="C267" t="s">
        <v>1414</v>
      </c>
      <c r="D267" t="str">
        <f>B267&amp;" "&amp;C267</f>
        <v>Karalee Durrance</v>
      </c>
      <c r="E267" t="s">
        <v>7</v>
      </c>
      <c r="F267">
        <v>48216</v>
      </c>
      <c r="G267">
        <f>COUNTIF(deals_closed!D:D,Calculations!A267)</f>
        <v>22</v>
      </c>
      <c r="H267" s="2">
        <f>SUMIF(deals_closed!D:D,Calculations!A267,deals_closed!C:C)</f>
        <v>606785</v>
      </c>
      <c r="I267" s="2">
        <f>VLOOKUP(E267,'2018_commission_structure'!$A$11:$I$14,9,FALSE)</f>
        <v>500000</v>
      </c>
      <c r="J267" s="2">
        <f t="shared" si="36"/>
        <v>625000</v>
      </c>
      <c r="K267" s="2">
        <f t="shared" si="37"/>
        <v>750000</v>
      </c>
      <c r="L267" s="2">
        <f t="shared" si="38"/>
        <v>1000000</v>
      </c>
      <c r="M267" s="6">
        <f t="shared" si="39"/>
        <v>1.21357</v>
      </c>
      <c r="N267" t="str">
        <f t="shared" si="40"/>
        <v>100-125%</v>
      </c>
      <c r="O267" s="7">
        <f>MIN(I267,H267)*INDEX('2018_commission_structure'!$A$11:$I$14,MATCH(Calculations!$E267,'2018_commission_structure'!$A$11:$A$14,0),MATCH(Calculations!O$1,'2018_commission_structure'!$A$11:$I$11,0))</f>
        <v>50000</v>
      </c>
      <c r="P267" s="7">
        <f>IF($H267&gt;I267,MIN($H267-I267,J267-I267)*INDEX('2018_commission_structure'!$A$11:$I$14,MATCH(Calculations!$E267,'2018_commission_structure'!$A$11:$A$14,0), MATCH(Calculations!P$1,'2018_commission_structure'!$A$11:$I$11,0)),0)</f>
        <v>16017.75</v>
      </c>
      <c r="Q267" s="7">
        <f>IF($H267&gt;J267,MIN($H267-J267,K267-J267)*INDEX('2018_commission_structure'!$A$11:$I$14,MATCH(Calculations!$E267,'2018_commission_structure'!$A$11:$A$14,0), MATCH(Calculations!Q$1,'2018_commission_structure'!$A$11:$I$11,0)),0)</f>
        <v>0</v>
      </c>
      <c r="R267" s="7">
        <f>IF($H267&gt;K267,MIN($H267-K267,L267-K267)*INDEX('2018_commission_structure'!$A$11:$I$14,MATCH(Calculations!$E267,'2018_commission_structure'!$A$11:$A$14,0), MATCH(Calculations!R$1,'2018_commission_structure'!$A$11:$I$11,0)),0)</f>
        <v>0</v>
      </c>
      <c r="S267" s="7">
        <f>IF(H267&gt;L267,(H267-L267)*INDEX('2018_commission_structure'!$A$11:$I$14,MATCH(Calculations!$E267,'2018_commission_structure'!$A$11:$A$14,0),MATCH(Calculations!S$1,'2018_commission_structure'!$A$11:$I$11,0)),0)</f>
        <v>0</v>
      </c>
      <c r="T267" s="7">
        <f t="shared" si="41"/>
        <v>66017.75</v>
      </c>
      <c r="U267" s="7">
        <f t="shared" si="42"/>
        <v>114233.75</v>
      </c>
      <c r="V267" s="7">
        <f>MIN(H267,I267)*INDEX('2018_commission_structure'!$A$5:$J$8,MATCH(Calculations!$E267,'2018_commission_structure'!$A$5:$A$8,0),MATCH(Calculations!V$1,'2018_commission_structure'!$A$5:$J$5,0))</f>
        <v>60000</v>
      </c>
      <c r="W267" s="2">
        <f>IF($H267&gt;I267,MIN($H267-I267,J267-I267)*INDEX('2018_commission_structure'!$A$5:$J$8,MATCH(Calculations!$E267,'2018_commission_structure'!$A$5:$A$8,0),MATCH(Calculations!W$1,'2018_commission_structure'!$A$5:$J$5,0)),0)</f>
        <v>18153.45</v>
      </c>
      <c r="X267" s="2">
        <f>IF($H267&gt;J267,MIN($H267-J267,K267-J267)*INDEX('2018_commission_structure'!$A$5:$J$8,MATCH(Calculations!$E267,'2018_commission_structure'!$A$5:$A$8,0),MATCH(Calculations!X$1,'2018_commission_structure'!$A$5:$J$5,0)),0)</f>
        <v>0</v>
      </c>
      <c r="Y267" s="2">
        <f>IF($H267&gt;K267,MIN($H267-K267,L267-K267)*INDEX('2018_commission_structure'!$A$5:$J$8,MATCH(Calculations!$E267,'2018_commission_structure'!$A$5:$A$8,0),MATCH(Calculations!Y$1,'2018_commission_structure'!$A$5:$J$5,0)),0)</f>
        <v>0</v>
      </c>
      <c r="Z267" s="2">
        <f xml:space="preserve"> IF(H267&gt;L267,(H267-L267)*INDEX('2018_commission_structure'!$A$11:$I$14,MATCH(Calculations!$E267,'2018_commission_structure'!$A$11:$A$14,0),MATCH(Calculations!Z$1,'2018_commission_structure'!$A$11:$I$11,0)),0)</f>
        <v>0</v>
      </c>
      <c r="AA267" s="7">
        <f t="shared" si="43"/>
        <v>78153.45</v>
      </c>
      <c r="AB267" s="7">
        <f t="shared" si="44"/>
        <v>126369.45</v>
      </c>
    </row>
    <row r="268" spans="1:28" x14ac:dyDescent="0.25">
      <c r="A268">
        <v>6255831884</v>
      </c>
      <c r="B268" t="s">
        <v>596</v>
      </c>
      <c r="C268" t="s">
        <v>597</v>
      </c>
      <c r="D268" t="str">
        <f>B268&amp;" "&amp;C268</f>
        <v>Orville Dutt</v>
      </c>
      <c r="E268" t="s">
        <v>29</v>
      </c>
      <c r="F268">
        <v>53391</v>
      </c>
      <c r="G268">
        <f>COUNTIF(deals_closed!D:D,Calculations!A268)</f>
        <v>18</v>
      </c>
      <c r="H268" s="2">
        <f>SUMIF(deals_closed!D:D,Calculations!A268,deals_closed!C:C)</f>
        <v>717326</v>
      </c>
      <c r="I268" s="2">
        <f>VLOOKUP(E268,'2018_commission_structure'!$A$11:$I$14,9,FALSE)</f>
        <v>600000</v>
      </c>
      <c r="J268" s="2">
        <f t="shared" si="36"/>
        <v>750000</v>
      </c>
      <c r="K268" s="2">
        <f t="shared" si="37"/>
        <v>900000</v>
      </c>
      <c r="L268" s="2">
        <f t="shared" si="38"/>
        <v>1200000</v>
      </c>
      <c r="M268" s="6">
        <f t="shared" si="39"/>
        <v>1.1955433333333334</v>
      </c>
      <c r="N268" t="str">
        <f t="shared" si="40"/>
        <v>100-125%</v>
      </c>
      <c r="O268" s="7">
        <f>MIN(I268,H268)*INDEX('2018_commission_structure'!$A$11:$I$14,MATCH(Calculations!$E268,'2018_commission_structure'!$A$11:$A$14,0),MATCH(Calculations!O$1,'2018_commission_structure'!$A$11:$I$11,0))</f>
        <v>78000</v>
      </c>
      <c r="P268" s="7">
        <f>IF($H268&gt;I268,MIN($H268-I268,J268-I268)*INDEX('2018_commission_structure'!$A$11:$I$14,MATCH(Calculations!$E268,'2018_commission_structure'!$A$11:$A$14,0), MATCH(Calculations!P$1,'2018_commission_structure'!$A$11:$I$11,0)),0)</f>
        <v>19945.420000000002</v>
      </c>
      <c r="Q268" s="7">
        <f>IF($H268&gt;J268,MIN($H268-J268,K268-J268)*INDEX('2018_commission_structure'!$A$11:$I$14,MATCH(Calculations!$E268,'2018_commission_structure'!$A$11:$A$14,0), MATCH(Calculations!Q$1,'2018_commission_structure'!$A$11:$I$11,0)),0)</f>
        <v>0</v>
      </c>
      <c r="R268" s="7">
        <f>IF($H268&gt;K268,MIN($H268-K268,L268-K268)*INDEX('2018_commission_structure'!$A$11:$I$14,MATCH(Calculations!$E268,'2018_commission_structure'!$A$11:$A$14,0), MATCH(Calculations!R$1,'2018_commission_structure'!$A$11:$I$11,0)),0)</f>
        <v>0</v>
      </c>
      <c r="S268" s="7">
        <f>IF(H268&gt;L268,(H268-L268)*INDEX('2018_commission_structure'!$A$11:$I$14,MATCH(Calculations!$E268,'2018_commission_structure'!$A$11:$A$14,0),MATCH(Calculations!S$1,'2018_commission_structure'!$A$11:$I$11,0)),0)</f>
        <v>0</v>
      </c>
      <c r="T268" s="7">
        <f t="shared" si="41"/>
        <v>97945.42</v>
      </c>
      <c r="U268" s="7">
        <f t="shared" si="42"/>
        <v>151336.41999999998</v>
      </c>
      <c r="V268" s="7">
        <f>MIN(H268,I268)*INDEX('2018_commission_structure'!$A$5:$J$8,MATCH(Calculations!$E268,'2018_commission_structure'!$A$5:$A$8,0),MATCH(Calculations!V$1,'2018_commission_structure'!$A$5:$J$5,0))</f>
        <v>90000</v>
      </c>
      <c r="W268" s="2">
        <f>IF($H268&gt;I268,MIN($H268-I268,J268-I268)*INDEX('2018_commission_structure'!$A$5:$J$8,MATCH(Calculations!$E268,'2018_commission_structure'!$A$5:$A$8,0),MATCH(Calculations!W$1,'2018_commission_structure'!$A$5:$J$5,0)),0)</f>
        <v>21118.68</v>
      </c>
      <c r="X268" s="2">
        <f>IF($H268&gt;J268,MIN($H268-J268,K268-J268)*INDEX('2018_commission_structure'!$A$5:$J$8,MATCH(Calculations!$E268,'2018_commission_structure'!$A$5:$A$8,0),MATCH(Calculations!X$1,'2018_commission_structure'!$A$5:$J$5,0)),0)</f>
        <v>0</v>
      </c>
      <c r="Y268" s="2">
        <f>IF($H268&gt;K268,MIN($H268-K268,L268-K268)*INDEX('2018_commission_structure'!$A$5:$J$8,MATCH(Calculations!$E268,'2018_commission_structure'!$A$5:$A$8,0),MATCH(Calculations!Y$1,'2018_commission_structure'!$A$5:$J$5,0)),0)</f>
        <v>0</v>
      </c>
      <c r="Z268" s="2">
        <f xml:space="preserve"> IF(H268&gt;L268,(H268-L268)*INDEX('2018_commission_structure'!$A$11:$I$14,MATCH(Calculations!$E268,'2018_commission_structure'!$A$11:$A$14,0),MATCH(Calculations!Z$1,'2018_commission_structure'!$A$11:$I$11,0)),0)</f>
        <v>0</v>
      </c>
      <c r="AA268" s="7">
        <f t="shared" si="43"/>
        <v>111118.68</v>
      </c>
      <c r="AB268" s="7">
        <f t="shared" si="44"/>
        <v>164509.68</v>
      </c>
    </row>
    <row r="269" spans="1:28" x14ac:dyDescent="0.25">
      <c r="A269">
        <v>7645724897</v>
      </c>
      <c r="B269" t="s">
        <v>745</v>
      </c>
      <c r="C269" t="s">
        <v>746</v>
      </c>
      <c r="D269" t="str">
        <f>B269&amp;" "&amp;C269</f>
        <v>Daphna Dyson</v>
      </c>
      <c r="E269" t="s">
        <v>29</v>
      </c>
      <c r="F269">
        <v>75174</v>
      </c>
      <c r="G269">
        <f>COUNTIF(deals_closed!D:D,Calculations!A269)</f>
        <v>19</v>
      </c>
      <c r="H269" s="2">
        <f>SUMIF(deals_closed!D:D,Calculations!A269,deals_closed!C:C)</f>
        <v>640951</v>
      </c>
      <c r="I269" s="2">
        <f>VLOOKUP(E269,'2018_commission_structure'!$A$11:$I$14,9,FALSE)</f>
        <v>600000</v>
      </c>
      <c r="J269" s="2">
        <f t="shared" si="36"/>
        <v>750000</v>
      </c>
      <c r="K269" s="2">
        <f t="shared" si="37"/>
        <v>900000</v>
      </c>
      <c r="L269" s="2">
        <f t="shared" si="38"/>
        <v>1200000</v>
      </c>
      <c r="M269" s="6">
        <f t="shared" si="39"/>
        <v>1.0682516666666666</v>
      </c>
      <c r="N269" t="str">
        <f t="shared" si="40"/>
        <v>100-125%</v>
      </c>
      <c r="O269" s="7">
        <f>MIN(I269,H269)*INDEX('2018_commission_structure'!$A$11:$I$14,MATCH(Calculations!$E269,'2018_commission_structure'!$A$11:$A$14,0),MATCH(Calculations!O$1,'2018_commission_structure'!$A$11:$I$11,0))</f>
        <v>78000</v>
      </c>
      <c r="P269" s="7">
        <f>IF($H269&gt;I269,MIN($H269-I269,J269-I269)*INDEX('2018_commission_structure'!$A$11:$I$14,MATCH(Calculations!$E269,'2018_commission_structure'!$A$11:$A$14,0), MATCH(Calculations!P$1,'2018_commission_structure'!$A$11:$I$11,0)),0)</f>
        <v>6961.67</v>
      </c>
      <c r="Q269" s="7">
        <f>IF($H269&gt;J269,MIN($H269-J269,K269-J269)*INDEX('2018_commission_structure'!$A$11:$I$14,MATCH(Calculations!$E269,'2018_commission_structure'!$A$11:$A$14,0), MATCH(Calculations!Q$1,'2018_commission_structure'!$A$11:$I$11,0)),0)</f>
        <v>0</v>
      </c>
      <c r="R269" s="7">
        <f>IF($H269&gt;K269,MIN($H269-K269,L269-K269)*INDEX('2018_commission_structure'!$A$11:$I$14,MATCH(Calculations!$E269,'2018_commission_structure'!$A$11:$A$14,0), MATCH(Calculations!R$1,'2018_commission_structure'!$A$11:$I$11,0)),0)</f>
        <v>0</v>
      </c>
      <c r="S269" s="7">
        <f>IF(H269&gt;L269,(H269-L269)*INDEX('2018_commission_structure'!$A$11:$I$14,MATCH(Calculations!$E269,'2018_commission_structure'!$A$11:$A$14,0),MATCH(Calculations!S$1,'2018_commission_structure'!$A$11:$I$11,0)),0)</f>
        <v>0</v>
      </c>
      <c r="T269" s="7">
        <f t="shared" si="41"/>
        <v>84961.67</v>
      </c>
      <c r="U269" s="7">
        <f t="shared" si="42"/>
        <v>160135.66999999998</v>
      </c>
      <c r="V269" s="7">
        <f>MIN(H269,I269)*INDEX('2018_commission_structure'!$A$5:$J$8,MATCH(Calculations!$E269,'2018_commission_structure'!$A$5:$A$8,0),MATCH(Calculations!V$1,'2018_commission_structure'!$A$5:$J$5,0))</f>
        <v>90000</v>
      </c>
      <c r="W269" s="2">
        <f>IF($H269&gt;I269,MIN($H269-I269,J269-I269)*INDEX('2018_commission_structure'!$A$5:$J$8,MATCH(Calculations!$E269,'2018_commission_structure'!$A$5:$A$8,0),MATCH(Calculations!W$1,'2018_commission_structure'!$A$5:$J$5,0)),0)</f>
        <v>7371.1799999999994</v>
      </c>
      <c r="X269" s="2">
        <f>IF($H269&gt;J269,MIN($H269-J269,K269-J269)*INDEX('2018_commission_structure'!$A$5:$J$8,MATCH(Calculations!$E269,'2018_commission_structure'!$A$5:$A$8,0),MATCH(Calculations!X$1,'2018_commission_structure'!$A$5:$J$5,0)),0)</f>
        <v>0</v>
      </c>
      <c r="Y269" s="2">
        <f>IF($H269&gt;K269,MIN($H269-K269,L269-K269)*INDEX('2018_commission_structure'!$A$5:$J$8,MATCH(Calculations!$E269,'2018_commission_structure'!$A$5:$A$8,0),MATCH(Calculations!Y$1,'2018_commission_structure'!$A$5:$J$5,0)),0)</f>
        <v>0</v>
      </c>
      <c r="Z269" s="2">
        <f xml:space="preserve"> IF(H269&gt;L269,(H269-L269)*INDEX('2018_commission_structure'!$A$11:$I$14,MATCH(Calculations!$E269,'2018_commission_structure'!$A$11:$A$14,0),MATCH(Calculations!Z$1,'2018_commission_structure'!$A$11:$I$11,0)),0)</f>
        <v>0</v>
      </c>
      <c r="AA269" s="7">
        <f t="shared" si="43"/>
        <v>97371.18</v>
      </c>
      <c r="AB269" s="7">
        <f t="shared" si="44"/>
        <v>172545.18</v>
      </c>
    </row>
    <row r="270" spans="1:28" x14ac:dyDescent="0.25">
      <c r="A270">
        <v>7573774818</v>
      </c>
      <c r="B270" t="s">
        <v>1892</v>
      </c>
      <c r="C270" t="s">
        <v>1893</v>
      </c>
      <c r="D270" t="str">
        <f>B270&amp;" "&amp;C270</f>
        <v>Tremaine Dyzart</v>
      </c>
      <c r="E270" t="s">
        <v>29</v>
      </c>
      <c r="F270">
        <v>66953</v>
      </c>
      <c r="G270">
        <f>COUNTIF(deals_closed!D:D,Calculations!A270)</f>
        <v>25</v>
      </c>
      <c r="H270" s="2">
        <f>SUMIF(deals_closed!D:D,Calculations!A270,deals_closed!C:C)</f>
        <v>864106</v>
      </c>
      <c r="I270" s="2">
        <f>VLOOKUP(E270,'2018_commission_structure'!$A$11:$I$14,9,FALSE)</f>
        <v>600000</v>
      </c>
      <c r="J270" s="2">
        <f t="shared" si="36"/>
        <v>750000</v>
      </c>
      <c r="K270" s="2">
        <f t="shared" si="37"/>
        <v>900000</v>
      </c>
      <c r="L270" s="2">
        <f t="shared" si="38"/>
        <v>1200000</v>
      </c>
      <c r="M270" s="6">
        <f t="shared" si="39"/>
        <v>1.4401766666666667</v>
      </c>
      <c r="N270" t="str">
        <f t="shared" si="40"/>
        <v>125-150%</v>
      </c>
      <c r="O270" s="7">
        <f>MIN(I270,H270)*INDEX('2018_commission_structure'!$A$11:$I$14,MATCH(Calculations!$E270,'2018_commission_structure'!$A$11:$A$14,0),MATCH(Calculations!O$1,'2018_commission_structure'!$A$11:$I$11,0))</f>
        <v>78000</v>
      </c>
      <c r="P270" s="7">
        <f>IF($H270&gt;I270,MIN($H270-I270,J270-I270)*INDEX('2018_commission_structure'!$A$11:$I$14,MATCH(Calculations!$E270,'2018_commission_structure'!$A$11:$A$14,0), MATCH(Calculations!P$1,'2018_commission_structure'!$A$11:$I$11,0)),0)</f>
        <v>25500.000000000004</v>
      </c>
      <c r="Q270" s="7">
        <f>IF($H270&gt;J270,MIN($H270-J270,K270-J270)*INDEX('2018_commission_structure'!$A$11:$I$14,MATCH(Calculations!$E270,'2018_commission_structure'!$A$11:$A$14,0), MATCH(Calculations!Q$1,'2018_commission_structure'!$A$11:$I$11,0)),0)</f>
        <v>23962.26</v>
      </c>
      <c r="R270" s="7">
        <f>IF($H270&gt;K270,MIN($H270-K270,L270-K270)*INDEX('2018_commission_structure'!$A$11:$I$14,MATCH(Calculations!$E270,'2018_commission_structure'!$A$11:$A$14,0), MATCH(Calculations!R$1,'2018_commission_structure'!$A$11:$I$11,0)),0)</f>
        <v>0</v>
      </c>
      <c r="S270" s="7">
        <f>IF(H270&gt;L270,(H270-L270)*INDEX('2018_commission_structure'!$A$11:$I$14,MATCH(Calculations!$E270,'2018_commission_structure'!$A$11:$A$14,0),MATCH(Calculations!S$1,'2018_commission_structure'!$A$11:$I$11,0)),0)</f>
        <v>0</v>
      </c>
      <c r="T270" s="7">
        <f t="shared" si="41"/>
        <v>127462.26</v>
      </c>
      <c r="U270" s="7">
        <f t="shared" si="42"/>
        <v>194415.26</v>
      </c>
      <c r="V270" s="7">
        <f>MIN(H270,I270)*INDEX('2018_commission_structure'!$A$5:$J$8,MATCH(Calculations!$E270,'2018_commission_structure'!$A$5:$A$8,0),MATCH(Calculations!V$1,'2018_commission_structure'!$A$5:$J$5,0))</f>
        <v>90000</v>
      </c>
      <c r="W270" s="2">
        <f>IF($H270&gt;I270,MIN($H270-I270,J270-I270)*INDEX('2018_commission_structure'!$A$5:$J$8,MATCH(Calculations!$E270,'2018_commission_structure'!$A$5:$A$8,0),MATCH(Calculations!W$1,'2018_commission_structure'!$A$5:$J$5,0)),0)</f>
        <v>27000</v>
      </c>
      <c r="X270" s="2">
        <f>IF($H270&gt;J270,MIN($H270-J270,K270-J270)*INDEX('2018_commission_structure'!$A$5:$J$8,MATCH(Calculations!$E270,'2018_commission_structure'!$A$5:$A$8,0),MATCH(Calculations!X$1,'2018_commission_structure'!$A$5:$J$5,0)),0)</f>
        <v>28526.5</v>
      </c>
      <c r="Y270" s="2">
        <f>IF($H270&gt;K270,MIN($H270-K270,L270-K270)*INDEX('2018_commission_structure'!$A$5:$J$8,MATCH(Calculations!$E270,'2018_commission_structure'!$A$5:$A$8,0),MATCH(Calculations!Y$1,'2018_commission_structure'!$A$5:$J$5,0)),0)</f>
        <v>0</v>
      </c>
      <c r="Z270" s="2">
        <f xml:space="preserve"> IF(H270&gt;L270,(H270-L270)*INDEX('2018_commission_structure'!$A$11:$I$14,MATCH(Calculations!$E270,'2018_commission_structure'!$A$11:$A$14,0),MATCH(Calculations!Z$1,'2018_commission_structure'!$A$11:$I$11,0)),0)</f>
        <v>0</v>
      </c>
      <c r="AA270" s="7">
        <f t="shared" si="43"/>
        <v>145526.5</v>
      </c>
      <c r="AB270" s="7">
        <f t="shared" si="44"/>
        <v>212479.5</v>
      </c>
    </row>
    <row r="271" spans="1:28" x14ac:dyDescent="0.25">
      <c r="A271">
        <v>1371021422</v>
      </c>
      <c r="B271" t="s">
        <v>85</v>
      </c>
      <c r="C271" t="s">
        <v>452</v>
      </c>
      <c r="D271" t="str">
        <f>B271&amp;" "&amp;C271</f>
        <v>Aluino Eble</v>
      </c>
      <c r="E271" t="s">
        <v>29</v>
      </c>
      <c r="F271">
        <v>55264</v>
      </c>
      <c r="G271">
        <f>COUNTIF(deals_closed!D:D,Calculations!A271)</f>
        <v>21</v>
      </c>
      <c r="H271" s="2">
        <f>SUMIF(deals_closed!D:D,Calculations!A271,deals_closed!C:C)</f>
        <v>735042</v>
      </c>
      <c r="I271" s="2">
        <f>VLOOKUP(E271,'2018_commission_structure'!$A$11:$I$14,9,FALSE)</f>
        <v>600000</v>
      </c>
      <c r="J271" s="2">
        <f t="shared" si="36"/>
        <v>750000</v>
      </c>
      <c r="K271" s="2">
        <f t="shared" si="37"/>
        <v>900000</v>
      </c>
      <c r="L271" s="2">
        <f t="shared" si="38"/>
        <v>1200000</v>
      </c>
      <c r="M271" s="6">
        <f t="shared" si="39"/>
        <v>1.2250700000000001</v>
      </c>
      <c r="N271" t="str">
        <f t="shared" si="40"/>
        <v>100-125%</v>
      </c>
      <c r="O271" s="7">
        <f>MIN(I271,H271)*INDEX('2018_commission_structure'!$A$11:$I$14,MATCH(Calculations!$E271,'2018_commission_structure'!$A$11:$A$14,0),MATCH(Calculations!O$1,'2018_commission_structure'!$A$11:$I$11,0))</f>
        <v>78000</v>
      </c>
      <c r="P271" s="7">
        <f>IF($H271&gt;I271,MIN($H271-I271,J271-I271)*INDEX('2018_commission_structure'!$A$11:$I$14,MATCH(Calculations!$E271,'2018_commission_structure'!$A$11:$A$14,0), MATCH(Calculations!P$1,'2018_commission_structure'!$A$11:$I$11,0)),0)</f>
        <v>22957.140000000003</v>
      </c>
      <c r="Q271" s="7">
        <f>IF($H271&gt;J271,MIN($H271-J271,K271-J271)*INDEX('2018_commission_structure'!$A$11:$I$14,MATCH(Calculations!$E271,'2018_commission_structure'!$A$11:$A$14,0), MATCH(Calculations!Q$1,'2018_commission_structure'!$A$11:$I$11,0)),0)</f>
        <v>0</v>
      </c>
      <c r="R271" s="7">
        <f>IF($H271&gt;K271,MIN($H271-K271,L271-K271)*INDEX('2018_commission_structure'!$A$11:$I$14,MATCH(Calculations!$E271,'2018_commission_structure'!$A$11:$A$14,0), MATCH(Calculations!R$1,'2018_commission_structure'!$A$11:$I$11,0)),0)</f>
        <v>0</v>
      </c>
      <c r="S271" s="7">
        <f>IF(H271&gt;L271,(H271-L271)*INDEX('2018_commission_structure'!$A$11:$I$14,MATCH(Calculations!$E271,'2018_commission_structure'!$A$11:$A$14,0),MATCH(Calculations!S$1,'2018_commission_structure'!$A$11:$I$11,0)),0)</f>
        <v>0</v>
      </c>
      <c r="T271" s="7">
        <f t="shared" si="41"/>
        <v>100957.14</v>
      </c>
      <c r="U271" s="7">
        <f t="shared" si="42"/>
        <v>156221.14000000001</v>
      </c>
      <c r="V271" s="7">
        <f>MIN(H271,I271)*INDEX('2018_commission_structure'!$A$5:$J$8,MATCH(Calculations!$E271,'2018_commission_structure'!$A$5:$A$8,0),MATCH(Calculations!V$1,'2018_commission_structure'!$A$5:$J$5,0))</f>
        <v>90000</v>
      </c>
      <c r="W271" s="2">
        <f>IF($H271&gt;I271,MIN($H271-I271,J271-I271)*INDEX('2018_commission_structure'!$A$5:$J$8,MATCH(Calculations!$E271,'2018_commission_structure'!$A$5:$A$8,0),MATCH(Calculations!W$1,'2018_commission_structure'!$A$5:$J$5,0)),0)</f>
        <v>24307.559999999998</v>
      </c>
      <c r="X271" s="2">
        <f>IF($H271&gt;J271,MIN($H271-J271,K271-J271)*INDEX('2018_commission_structure'!$A$5:$J$8,MATCH(Calculations!$E271,'2018_commission_structure'!$A$5:$A$8,0),MATCH(Calculations!X$1,'2018_commission_structure'!$A$5:$J$5,0)),0)</f>
        <v>0</v>
      </c>
      <c r="Y271" s="2">
        <f>IF($H271&gt;K271,MIN($H271-K271,L271-K271)*INDEX('2018_commission_structure'!$A$5:$J$8,MATCH(Calculations!$E271,'2018_commission_structure'!$A$5:$A$8,0),MATCH(Calculations!Y$1,'2018_commission_structure'!$A$5:$J$5,0)),0)</f>
        <v>0</v>
      </c>
      <c r="Z271" s="2">
        <f xml:space="preserve"> IF(H271&gt;L271,(H271-L271)*INDEX('2018_commission_structure'!$A$11:$I$14,MATCH(Calculations!$E271,'2018_commission_structure'!$A$11:$A$14,0),MATCH(Calculations!Z$1,'2018_commission_structure'!$A$11:$I$11,0)),0)</f>
        <v>0</v>
      </c>
      <c r="AA271" s="7">
        <f t="shared" si="43"/>
        <v>114307.56</v>
      </c>
      <c r="AB271" s="7">
        <f t="shared" si="44"/>
        <v>169571.56</v>
      </c>
    </row>
    <row r="272" spans="1:28" x14ac:dyDescent="0.25">
      <c r="A272">
        <v>8750494546</v>
      </c>
      <c r="B272" t="s">
        <v>410</v>
      </c>
      <c r="C272" t="s">
        <v>411</v>
      </c>
      <c r="D272" t="str">
        <f>B272&amp;" "&amp;C272</f>
        <v>Pietrek Eborn</v>
      </c>
      <c r="E272" t="s">
        <v>29</v>
      </c>
      <c r="F272">
        <v>54058</v>
      </c>
      <c r="G272">
        <f>COUNTIF(deals_closed!D:D,Calculations!A272)</f>
        <v>32</v>
      </c>
      <c r="H272" s="2">
        <f>SUMIF(deals_closed!D:D,Calculations!A272,deals_closed!C:C)</f>
        <v>1012954</v>
      </c>
      <c r="I272" s="2">
        <f>VLOOKUP(E272,'2018_commission_structure'!$A$11:$I$14,9,FALSE)</f>
        <v>600000</v>
      </c>
      <c r="J272" s="2">
        <f t="shared" si="36"/>
        <v>750000</v>
      </c>
      <c r="K272" s="2">
        <f t="shared" si="37"/>
        <v>900000</v>
      </c>
      <c r="L272" s="2">
        <f t="shared" si="38"/>
        <v>1200000</v>
      </c>
      <c r="M272" s="6">
        <f t="shared" si="39"/>
        <v>1.6882566666666667</v>
      </c>
      <c r="N272" t="str">
        <f t="shared" si="40"/>
        <v>150-200%</v>
      </c>
      <c r="O272" s="7">
        <f>MIN(I272,H272)*INDEX('2018_commission_structure'!$A$11:$I$14,MATCH(Calculations!$E272,'2018_commission_structure'!$A$11:$A$14,0),MATCH(Calculations!O$1,'2018_commission_structure'!$A$11:$I$11,0))</f>
        <v>78000</v>
      </c>
      <c r="P272" s="7">
        <f>IF($H272&gt;I272,MIN($H272-I272,J272-I272)*INDEX('2018_commission_structure'!$A$11:$I$14,MATCH(Calculations!$E272,'2018_commission_structure'!$A$11:$A$14,0), MATCH(Calculations!P$1,'2018_commission_structure'!$A$11:$I$11,0)),0)</f>
        <v>25500.000000000004</v>
      </c>
      <c r="Q272" s="7">
        <f>IF($H272&gt;J272,MIN($H272-J272,K272-J272)*INDEX('2018_commission_structure'!$A$11:$I$14,MATCH(Calculations!$E272,'2018_commission_structure'!$A$11:$A$14,0), MATCH(Calculations!Q$1,'2018_commission_structure'!$A$11:$I$11,0)),0)</f>
        <v>31500</v>
      </c>
      <c r="R272" s="7">
        <f>IF($H272&gt;K272,MIN($H272-K272,L272-K272)*INDEX('2018_commission_structure'!$A$11:$I$14,MATCH(Calculations!$E272,'2018_commission_structure'!$A$11:$A$14,0), MATCH(Calculations!R$1,'2018_commission_structure'!$A$11:$I$11,0)),0)</f>
        <v>29368.04</v>
      </c>
      <c r="S272" s="7">
        <f>IF(H272&gt;L272,(H272-L272)*INDEX('2018_commission_structure'!$A$11:$I$14,MATCH(Calculations!$E272,'2018_commission_structure'!$A$11:$A$14,0),MATCH(Calculations!S$1,'2018_commission_structure'!$A$11:$I$11,0)),0)</f>
        <v>0</v>
      </c>
      <c r="T272" s="7">
        <f t="shared" si="41"/>
        <v>164368.04</v>
      </c>
      <c r="U272" s="7">
        <f t="shared" si="42"/>
        <v>218426.04</v>
      </c>
      <c r="V272" s="7">
        <f>MIN(H272,I272)*INDEX('2018_commission_structure'!$A$5:$J$8,MATCH(Calculations!$E272,'2018_commission_structure'!$A$5:$A$8,0),MATCH(Calculations!V$1,'2018_commission_structure'!$A$5:$J$5,0))</f>
        <v>90000</v>
      </c>
      <c r="W272" s="2">
        <f>IF($H272&gt;I272,MIN($H272-I272,J272-I272)*INDEX('2018_commission_structure'!$A$5:$J$8,MATCH(Calculations!$E272,'2018_commission_structure'!$A$5:$A$8,0),MATCH(Calculations!W$1,'2018_commission_structure'!$A$5:$J$5,0)),0)</f>
        <v>27000</v>
      </c>
      <c r="X272" s="2">
        <f>IF($H272&gt;J272,MIN($H272-J272,K272-J272)*INDEX('2018_commission_structure'!$A$5:$J$8,MATCH(Calculations!$E272,'2018_commission_structure'!$A$5:$A$8,0),MATCH(Calculations!X$1,'2018_commission_structure'!$A$5:$J$5,0)),0)</f>
        <v>37500</v>
      </c>
      <c r="Y272" s="2">
        <f>IF($H272&gt;K272,MIN($H272-K272,L272-K272)*INDEX('2018_commission_structure'!$A$5:$J$8,MATCH(Calculations!$E272,'2018_commission_structure'!$A$5:$A$8,0),MATCH(Calculations!Y$1,'2018_commission_structure'!$A$5:$J$5,0)),0)</f>
        <v>33886.199999999997</v>
      </c>
      <c r="Z272" s="2">
        <f xml:space="preserve"> IF(H272&gt;L272,(H272-L272)*INDEX('2018_commission_structure'!$A$11:$I$14,MATCH(Calculations!$E272,'2018_commission_structure'!$A$11:$A$14,0),MATCH(Calculations!Z$1,'2018_commission_structure'!$A$11:$I$11,0)),0)</f>
        <v>0</v>
      </c>
      <c r="AA272" s="7">
        <f t="shared" si="43"/>
        <v>188386.2</v>
      </c>
      <c r="AB272" s="7">
        <f t="shared" si="44"/>
        <v>242444.2</v>
      </c>
    </row>
    <row r="273" spans="1:28" x14ac:dyDescent="0.25">
      <c r="A273">
        <v>7467563949</v>
      </c>
      <c r="B273" t="s">
        <v>537</v>
      </c>
      <c r="C273" t="s">
        <v>538</v>
      </c>
      <c r="D273" t="str">
        <f>B273&amp;" "&amp;C273</f>
        <v>Stinky Eddoes</v>
      </c>
      <c r="E273" t="s">
        <v>7</v>
      </c>
      <c r="F273">
        <v>50682</v>
      </c>
      <c r="G273">
        <f>COUNTIF(deals_closed!D:D,Calculations!A273)</f>
        <v>19</v>
      </c>
      <c r="H273" s="2">
        <f>SUMIF(deals_closed!D:D,Calculations!A273,deals_closed!C:C)</f>
        <v>644436</v>
      </c>
      <c r="I273" s="2">
        <f>VLOOKUP(E273,'2018_commission_structure'!$A$11:$I$14,9,FALSE)</f>
        <v>500000</v>
      </c>
      <c r="J273" s="2">
        <f t="shared" si="36"/>
        <v>625000</v>
      </c>
      <c r="K273" s="2">
        <f t="shared" si="37"/>
        <v>750000</v>
      </c>
      <c r="L273" s="2">
        <f t="shared" si="38"/>
        <v>1000000</v>
      </c>
      <c r="M273" s="6">
        <f t="shared" si="39"/>
        <v>1.288872</v>
      </c>
      <c r="N273" t="str">
        <f t="shared" si="40"/>
        <v>125-150%</v>
      </c>
      <c r="O273" s="7">
        <f>MIN(I273,H273)*INDEX('2018_commission_structure'!$A$11:$I$14,MATCH(Calculations!$E273,'2018_commission_structure'!$A$11:$A$14,0),MATCH(Calculations!O$1,'2018_commission_structure'!$A$11:$I$11,0))</f>
        <v>50000</v>
      </c>
      <c r="P273" s="7">
        <f>IF($H273&gt;I273,MIN($H273-I273,J273-I273)*INDEX('2018_commission_structure'!$A$11:$I$14,MATCH(Calculations!$E273,'2018_commission_structure'!$A$11:$A$14,0), MATCH(Calculations!P$1,'2018_commission_structure'!$A$11:$I$11,0)),0)</f>
        <v>18750</v>
      </c>
      <c r="Q273" s="7">
        <f>IF($H273&gt;J273,MIN($H273-J273,K273-J273)*INDEX('2018_commission_structure'!$A$11:$I$14,MATCH(Calculations!$E273,'2018_commission_structure'!$A$11:$A$14,0), MATCH(Calculations!Q$1,'2018_commission_structure'!$A$11:$I$11,0)),0)</f>
        <v>3498.48</v>
      </c>
      <c r="R273" s="7">
        <f>IF($H273&gt;K273,MIN($H273-K273,L273-K273)*INDEX('2018_commission_structure'!$A$11:$I$14,MATCH(Calculations!$E273,'2018_commission_structure'!$A$11:$A$14,0), MATCH(Calculations!R$1,'2018_commission_structure'!$A$11:$I$11,0)),0)</f>
        <v>0</v>
      </c>
      <c r="S273" s="7">
        <f>IF(H273&gt;L273,(H273-L273)*INDEX('2018_commission_structure'!$A$11:$I$14,MATCH(Calculations!$E273,'2018_commission_structure'!$A$11:$A$14,0),MATCH(Calculations!S$1,'2018_commission_structure'!$A$11:$I$11,0)),0)</f>
        <v>0</v>
      </c>
      <c r="T273" s="7">
        <f t="shared" si="41"/>
        <v>72248.479999999996</v>
      </c>
      <c r="U273" s="7">
        <f t="shared" si="42"/>
        <v>122930.48</v>
      </c>
      <c r="V273" s="7">
        <f>MIN(H273,I273)*INDEX('2018_commission_structure'!$A$5:$J$8,MATCH(Calculations!$E273,'2018_commission_structure'!$A$5:$A$8,0),MATCH(Calculations!V$1,'2018_commission_structure'!$A$5:$J$5,0))</f>
        <v>60000</v>
      </c>
      <c r="W273" s="2">
        <f>IF($H273&gt;I273,MIN($H273-I273,J273-I273)*INDEX('2018_commission_structure'!$A$5:$J$8,MATCH(Calculations!$E273,'2018_commission_structure'!$A$5:$A$8,0),MATCH(Calculations!W$1,'2018_commission_structure'!$A$5:$J$5,0)),0)</f>
        <v>21250</v>
      </c>
      <c r="X273" s="2">
        <f>IF($H273&gt;J273,MIN($H273-J273,K273-J273)*INDEX('2018_commission_structure'!$A$5:$J$8,MATCH(Calculations!$E273,'2018_commission_structure'!$A$5:$A$8,0),MATCH(Calculations!X$1,'2018_commission_structure'!$A$5:$J$5,0)),0)</f>
        <v>3887.2000000000003</v>
      </c>
      <c r="Y273" s="2">
        <f>IF($H273&gt;K273,MIN($H273-K273,L273-K273)*INDEX('2018_commission_structure'!$A$5:$J$8,MATCH(Calculations!$E273,'2018_commission_structure'!$A$5:$A$8,0),MATCH(Calculations!Y$1,'2018_commission_structure'!$A$5:$J$5,0)),0)</f>
        <v>0</v>
      </c>
      <c r="Z273" s="2">
        <f xml:space="preserve"> IF(H273&gt;L273,(H273-L273)*INDEX('2018_commission_structure'!$A$11:$I$14,MATCH(Calculations!$E273,'2018_commission_structure'!$A$11:$A$14,0),MATCH(Calculations!Z$1,'2018_commission_structure'!$A$11:$I$11,0)),0)</f>
        <v>0</v>
      </c>
      <c r="AA273" s="7">
        <f t="shared" si="43"/>
        <v>85137.2</v>
      </c>
      <c r="AB273" s="7">
        <f t="shared" si="44"/>
        <v>135819.20000000001</v>
      </c>
    </row>
    <row r="274" spans="1:28" x14ac:dyDescent="0.25">
      <c r="A274">
        <v>1163292249</v>
      </c>
      <c r="B274" t="s">
        <v>1696</v>
      </c>
      <c r="C274" t="s">
        <v>1697</v>
      </c>
      <c r="D274" t="str">
        <f>B274&amp;" "&amp;C274</f>
        <v>Janeva Edelheid</v>
      </c>
      <c r="E274" t="s">
        <v>10</v>
      </c>
      <c r="F274">
        <v>90419</v>
      </c>
      <c r="G274">
        <f>COUNTIF(deals_closed!D:D,Calculations!A274)</f>
        <v>15</v>
      </c>
      <c r="H274" s="2">
        <f>SUMIF(deals_closed!D:D,Calculations!A274,deals_closed!C:C)</f>
        <v>525024</v>
      </c>
      <c r="I274" s="2">
        <f>VLOOKUP(E274,'2018_commission_structure'!$A$11:$I$14,9,FALSE)</f>
        <v>750000</v>
      </c>
      <c r="J274" s="2">
        <f t="shared" si="36"/>
        <v>937500</v>
      </c>
      <c r="K274" s="2">
        <f t="shared" si="37"/>
        <v>1125000</v>
      </c>
      <c r="L274" s="2">
        <f t="shared" si="38"/>
        <v>1500000</v>
      </c>
      <c r="M274" s="6">
        <f t="shared" si="39"/>
        <v>0.70003199999999999</v>
      </c>
      <c r="N274" t="str">
        <f t="shared" si="40"/>
        <v>0-100%</v>
      </c>
      <c r="O274" s="7">
        <f>MIN(I274,H274)*INDEX('2018_commission_structure'!$A$11:$I$14,MATCH(Calculations!$E274,'2018_commission_structure'!$A$11:$A$14,0),MATCH(Calculations!O$1,'2018_commission_structure'!$A$11:$I$11,0))</f>
        <v>78753.599999999991</v>
      </c>
      <c r="P274" s="7">
        <f>IF($H274&gt;I274,MIN($H274-I274,J274-I274)*INDEX('2018_commission_structure'!$A$11:$I$14,MATCH(Calculations!$E274,'2018_commission_structure'!$A$11:$A$14,0), MATCH(Calculations!P$1,'2018_commission_structure'!$A$11:$I$11,0)),0)</f>
        <v>0</v>
      </c>
      <c r="Q274" s="7">
        <f>IF($H274&gt;J274,MIN($H274-J274,K274-J274)*INDEX('2018_commission_structure'!$A$11:$I$14,MATCH(Calculations!$E274,'2018_commission_structure'!$A$11:$A$14,0), MATCH(Calculations!Q$1,'2018_commission_structure'!$A$11:$I$11,0)),0)</f>
        <v>0</v>
      </c>
      <c r="R274" s="7">
        <f>IF($H274&gt;K274,MIN($H274-K274,L274-K274)*INDEX('2018_commission_structure'!$A$11:$I$14,MATCH(Calculations!$E274,'2018_commission_structure'!$A$11:$A$14,0), MATCH(Calculations!R$1,'2018_commission_structure'!$A$11:$I$11,0)),0)</f>
        <v>0</v>
      </c>
      <c r="S274" s="7">
        <f>IF(H274&gt;L274,(H274-L274)*INDEX('2018_commission_structure'!$A$11:$I$14,MATCH(Calculations!$E274,'2018_commission_structure'!$A$11:$A$14,0),MATCH(Calculations!S$1,'2018_commission_structure'!$A$11:$I$11,0)),0)</f>
        <v>0</v>
      </c>
      <c r="T274" s="7">
        <f t="shared" si="41"/>
        <v>78753.599999999991</v>
      </c>
      <c r="U274" s="7">
        <f t="shared" si="42"/>
        <v>169172.59999999998</v>
      </c>
      <c r="V274" s="7">
        <f>MIN(H274,I274)*INDEX('2018_commission_structure'!$A$5:$J$8,MATCH(Calculations!$E274,'2018_commission_structure'!$A$5:$A$8,0),MATCH(Calculations!V$1,'2018_commission_structure'!$A$5:$J$5,0))</f>
        <v>78753.599999999991</v>
      </c>
      <c r="W274" s="2">
        <f>IF($H274&gt;I274,MIN($H274-I274,J274-I274)*INDEX('2018_commission_structure'!$A$5:$J$8,MATCH(Calculations!$E274,'2018_commission_structure'!$A$5:$A$8,0),MATCH(Calculations!W$1,'2018_commission_structure'!$A$5:$J$5,0)),0)</f>
        <v>0</v>
      </c>
      <c r="X274" s="2">
        <f>IF($H274&gt;J274,MIN($H274-J274,K274-J274)*INDEX('2018_commission_structure'!$A$5:$J$8,MATCH(Calculations!$E274,'2018_commission_structure'!$A$5:$A$8,0),MATCH(Calculations!X$1,'2018_commission_structure'!$A$5:$J$5,0)),0)</f>
        <v>0</v>
      </c>
      <c r="Y274" s="2">
        <f>IF($H274&gt;K274,MIN($H274-K274,L274-K274)*INDEX('2018_commission_structure'!$A$5:$J$8,MATCH(Calculations!$E274,'2018_commission_structure'!$A$5:$A$8,0),MATCH(Calculations!Y$1,'2018_commission_structure'!$A$5:$J$5,0)),0)</f>
        <v>0</v>
      </c>
      <c r="Z274" s="2">
        <f xml:space="preserve"> IF(H274&gt;L274,(H274-L274)*INDEX('2018_commission_structure'!$A$11:$I$14,MATCH(Calculations!$E274,'2018_commission_structure'!$A$11:$A$14,0),MATCH(Calculations!Z$1,'2018_commission_structure'!$A$11:$I$11,0)),0)</f>
        <v>0</v>
      </c>
      <c r="AA274" s="7">
        <f t="shared" si="43"/>
        <v>78753.599999999991</v>
      </c>
      <c r="AB274" s="7">
        <f t="shared" si="44"/>
        <v>169172.59999999998</v>
      </c>
    </row>
    <row r="275" spans="1:28" x14ac:dyDescent="0.25">
      <c r="A275">
        <v>8875320292</v>
      </c>
      <c r="B275" t="s">
        <v>586</v>
      </c>
      <c r="C275" t="s">
        <v>587</v>
      </c>
      <c r="D275" t="str">
        <f>B275&amp;" "&amp;C275</f>
        <v>Yves Edelmann</v>
      </c>
      <c r="E275" t="s">
        <v>10</v>
      </c>
      <c r="F275">
        <v>95121</v>
      </c>
      <c r="G275">
        <f>COUNTIF(deals_closed!D:D,Calculations!A275)</f>
        <v>24</v>
      </c>
      <c r="H275" s="2">
        <f>SUMIF(deals_closed!D:D,Calculations!A275,deals_closed!C:C)</f>
        <v>775092</v>
      </c>
      <c r="I275" s="2">
        <f>VLOOKUP(E275,'2018_commission_structure'!$A$11:$I$14,9,FALSE)</f>
        <v>750000</v>
      </c>
      <c r="J275" s="2">
        <f t="shared" si="36"/>
        <v>937500</v>
      </c>
      <c r="K275" s="2">
        <f t="shared" si="37"/>
        <v>1125000</v>
      </c>
      <c r="L275" s="2">
        <f t="shared" si="38"/>
        <v>1500000</v>
      </c>
      <c r="M275" s="6">
        <f t="shared" si="39"/>
        <v>1.0334559999999999</v>
      </c>
      <c r="N275" t="str">
        <f t="shared" si="40"/>
        <v>100-125%</v>
      </c>
      <c r="O275" s="7">
        <f>MIN(I275,H275)*INDEX('2018_commission_structure'!$A$11:$I$14,MATCH(Calculations!$E275,'2018_commission_structure'!$A$11:$A$14,0),MATCH(Calculations!O$1,'2018_commission_structure'!$A$11:$I$11,0))</f>
        <v>112500</v>
      </c>
      <c r="P275" s="7">
        <f>IF($H275&gt;I275,MIN($H275-I275,J275-I275)*INDEX('2018_commission_structure'!$A$11:$I$14,MATCH(Calculations!$E275,'2018_commission_structure'!$A$11:$A$14,0), MATCH(Calculations!P$1,'2018_commission_structure'!$A$11:$I$11,0)),0)</f>
        <v>4767.4800000000005</v>
      </c>
      <c r="Q275" s="7">
        <f>IF($H275&gt;J275,MIN($H275-J275,K275-J275)*INDEX('2018_commission_structure'!$A$11:$I$14,MATCH(Calculations!$E275,'2018_commission_structure'!$A$11:$A$14,0), MATCH(Calculations!Q$1,'2018_commission_structure'!$A$11:$I$11,0)),0)</f>
        <v>0</v>
      </c>
      <c r="R275" s="7">
        <f>IF($H275&gt;K275,MIN($H275-K275,L275-K275)*INDEX('2018_commission_structure'!$A$11:$I$14,MATCH(Calculations!$E275,'2018_commission_structure'!$A$11:$A$14,0), MATCH(Calculations!R$1,'2018_commission_structure'!$A$11:$I$11,0)),0)</f>
        <v>0</v>
      </c>
      <c r="S275" s="7">
        <f>IF(H275&gt;L275,(H275-L275)*INDEX('2018_commission_structure'!$A$11:$I$14,MATCH(Calculations!$E275,'2018_commission_structure'!$A$11:$A$14,0),MATCH(Calculations!S$1,'2018_commission_structure'!$A$11:$I$11,0)),0)</f>
        <v>0</v>
      </c>
      <c r="T275" s="7">
        <f t="shared" si="41"/>
        <v>117267.48</v>
      </c>
      <c r="U275" s="7">
        <f t="shared" si="42"/>
        <v>212388.47999999998</v>
      </c>
      <c r="V275" s="7">
        <f>MIN(H275,I275)*INDEX('2018_commission_structure'!$A$5:$J$8,MATCH(Calculations!$E275,'2018_commission_structure'!$A$5:$A$8,0),MATCH(Calculations!V$1,'2018_commission_structure'!$A$5:$J$5,0))</f>
        <v>112500</v>
      </c>
      <c r="W275" s="2">
        <f>IF($H275&gt;I275,MIN($H275-I275,J275-I275)*INDEX('2018_commission_structure'!$A$5:$J$8,MATCH(Calculations!$E275,'2018_commission_structure'!$A$5:$A$8,0),MATCH(Calculations!W$1,'2018_commission_structure'!$A$5:$J$5,0)),0)</f>
        <v>5520.24</v>
      </c>
      <c r="X275" s="2">
        <f>IF($H275&gt;J275,MIN($H275-J275,K275-J275)*INDEX('2018_commission_structure'!$A$5:$J$8,MATCH(Calculations!$E275,'2018_commission_structure'!$A$5:$A$8,0),MATCH(Calculations!X$1,'2018_commission_structure'!$A$5:$J$5,0)),0)</f>
        <v>0</v>
      </c>
      <c r="Y275" s="2">
        <f>IF($H275&gt;K275,MIN($H275-K275,L275-K275)*INDEX('2018_commission_structure'!$A$5:$J$8,MATCH(Calculations!$E275,'2018_commission_structure'!$A$5:$A$8,0),MATCH(Calculations!Y$1,'2018_commission_structure'!$A$5:$J$5,0)),0)</f>
        <v>0</v>
      </c>
      <c r="Z275" s="2">
        <f xml:space="preserve"> IF(H275&gt;L275,(H275-L275)*INDEX('2018_commission_structure'!$A$11:$I$14,MATCH(Calculations!$E275,'2018_commission_structure'!$A$11:$A$14,0),MATCH(Calculations!Z$1,'2018_commission_structure'!$A$11:$I$11,0)),0)</f>
        <v>0</v>
      </c>
      <c r="AA275" s="7">
        <f t="shared" si="43"/>
        <v>118020.24</v>
      </c>
      <c r="AB275" s="7">
        <f t="shared" si="44"/>
        <v>213141.24</v>
      </c>
    </row>
    <row r="276" spans="1:28" x14ac:dyDescent="0.25">
      <c r="A276">
        <v>6041314951</v>
      </c>
      <c r="B276" t="s">
        <v>258</v>
      </c>
      <c r="C276" t="s">
        <v>259</v>
      </c>
      <c r="D276" t="str">
        <f>B276&amp;" "&amp;C276</f>
        <v>Lucita Edington</v>
      </c>
      <c r="E276" t="s">
        <v>29</v>
      </c>
      <c r="F276">
        <v>76999</v>
      </c>
      <c r="G276">
        <f>COUNTIF(deals_closed!D:D,Calculations!A276)</f>
        <v>23</v>
      </c>
      <c r="H276" s="2">
        <f>SUMIF(deals_closed!D:D,Calculations!A276,deals_closed!C:C)</f>
        <v>876325</v>
      </c>
      <c r="I276" s="2">
        <f>VLOOKUP(E276,'2018_commission_structure'!$A$11:$I$14,9,FALSE)</f>
        <v>600000</v>
      </c>
      <c r="J276" s="2">
        <f t="shared" si="36"/>
        <v>750000</v>
      </c>
      <c r="K276" s="2">
        <f t="shared" si="37"/>
        <v>900000</v>
      </c>
      <c r="L276" s="2">
        <f t="shared" si="38"/>
        <v>1200000</v>
      </c>
      <c r="M276" s="6">
        <f t="shared" si="39"/>
        <v>1.4605416666666666</v>
      </c>
      <c r="N276" t="str">
        <f t="shared" si="40"/>
        <v>125-150%</v>
      </c>
      <c r="O276" s="7">
        <f>MIN(I276,H276)*INDEX('2018_commission_structure'!$A$11:$I$14,MATCH(Calculations!$E276,'2018_commission_structure'!$A$11:$A$14,0),MATCH(Calculations!O$1,'2018_commission_structure'!$A$11:$I$11,0))</f>
        <v>78000</v>
      </c>
      <c r="P276" s="7">
        <f>IF($H276&gt;I276,MIN($H276-I276,J276-I276)*INDEX('2018_commission_structure'!$A$11:$I$14,MATCH(Calculations!$E276,'2018_commission_structure'!$A$11:$A$14,0), MATCH(Calculations!P$1,'2018_commission_structure'!$A$11:$I$11,0)),0)</f>
        <v>25500.000000000004</v>
      </c>
      <c r="Q276" s="7">
        <f>IF($H276&gt;J276,MIN($H276-J276,K276-J276)*INDEX('2018_commission_structure'!$A$11:$I$14,MATCH(Calculations!$E276,'2018_commission_structure'!$A$11:$A$14,0), MATCH(Calculations!Q$1,'2018_commission_structure'!$A$11:$I$11,0)),0)</f>
        <v>26528.25</v>
      </c>
      <c r="R276" s="7">
        <f>IF($H276&gt;K276,MIN($H276-K276,L276-K276)*INDEX('2018_commission_structure'!$A$11:$I$14,MATCH(Calculations!$E276,'2018_commission_structure'!$A$11:$A$14,0), MATCH(Calculations!R$1,'2018_commission_structure'!$A$11:$I$11,0)),0)</f>
        <v>0</v>
      </c>
      <c r="S276" s="7">
        <f>IF(H276&gt;L276,(H276-L276)*INDEX('2018_commission_structure'!$A$11:$I$14,MATCH(Calculations!$E276,'2018_commission_structure'!$A$11:$A$14,0),MATCH(Calculations!S$1,'2018_commission_structure'!$A$11:$I$11,0)),0)</f>
        <v>0</v>
      </c>
      <c r="T276" s="7">
        <f t="shared" si="41"/>
        <v>130028.25</v>
      </c>
      <c r="U276" s="7">
        <f t="shared" si="42"/>
        <v>207027.25</v>
      </c>
      <c r="V276" s="7">
        <f>MIN(H276,I276)*INDEX('2018_commission_structure'!$A$5:$J$8,MATCH(Calculations!$E276,'2018_commission_structure'!$A$5:$A$8,0),MATCH(Calculations!V$1,'2018_commission_structure'!$A$5:$J$5,0))</f>
        <v>90000</v>
      </c>
      <c r="W276" s="2">
        <f>IF($H276&gt;I276,MIN($H276-I276,J276-I276)*INDEX('2018_commission_structure'!$A$5:$J$8,MATCH(Calculations!$E276,'2018_commission_structure'!$A$5:$A$8,0),MATCH(Calculations!W$1,'2018_commission_structure'!$A$5:$J$5,0)),0)</f>
        <v>27000</v>
      </c>
      <c r="X276" s="2">
        <f>IF($H276&gt;J276,MIN($H276-J276,K276-J276)*INDEX('2018_commission_structure'!$A$5:$J$8,MATCH(Calculations!$E276,'2018_commission_structure'!$A$5:$A$8,0),MATCH(Calculations!X$1,'2018_commission_structure'!$A$5:$J$5,0)),0)</f>
        <v>31581.25</v>
      </c>
      <c r="Y276" s="2">
        <f>IF($H276&gt;K276,MIN($H276-K276,L276-K276)*INDEX('2018_commission_structure'!$A$5:$J$8,MATCH(Calculations!$E276,'2018_commission_structure'!$A$5:$A$8,0),MATCH(Calculations!Y$1,'2018_commission_structure'!$A$5:$J$5,0)),0)</f>
        <v>0</v>
      </c>
      <c r="Z276" s="2">
        <f xml:space="preserve"> IF(H276&gt;L276,(H276-L276)*INDEX('2018_commission_structure'!$A$11:$I$14,MATCH(Calculations!$E276,'2018_commission_structure'!$A$11:$A$14,0),MATCH(Calculations!Z$1,'2018_commission_structure'!$A$11:$I$11,0)),0)</f>
        <v>0</v>
      </c>
      <c r="AA276" s="7">
        <f t="shared" si="43"/>
        <v>148581.25</v>
      </c>
      <c r="AB276" s="7">
        <f t="shared" si="44"/>
        <v>225580.25</v>
      </c>
    </row>
    <row r="277" spans="1:28" x14ac:dyDescent="0.25">
      <c r="A277">
        <v>5209112160</v>
      </c>
      <c r="B277" t="s">
        <v>270</v>
      </c>
      <c r="C277" t="s">
        <v>271</v>
      </c>
      <c r="D277" t="str">
        <f>B277&amp;" "&amp;C277</f>
        <v>Keefer Edmonson</v>
      </c>
      <c r="E277" t="s">
        <v>10</v>
      </c>
      <c r="F277">
        <v>123127</v>
      </c>
      <c r="G277">
        <f>COUNTIF(deals_closed!D:D,Calculations!A277)</f>
        <v>29</v>
      </c>
      <c r="H277" s="2">
        <f>SUMIF(deals_closed!D:D,Calculations!A277,deals_closed!C:C)</f>
        <v>1082264</v>
      </c>
      <c r="I277" s="2">
        <f>VLOOKUP(E277,'2018_commission_structure'!$A$11:$I$14,9,FALSE)</f>
        <v>750000</v>
      </c>
      <c r="J277" s="2">
        <f t="shared" si="36"/>
        <v>937500</v>
      </c>
      <c r="K277" s="2">
        <f t="shared" si="37"/>
        <v>1125000</v>
      </c>
      <c r="L277" s="2">
        <f t="shared" si="38"/>
        <v>1500000</v>
      </c>
      <c r="M277" s="6">
        <f t="shared" si="39"/>
        <v>1.4430186666666667</v>
      </c>
      <c r="N277" t="str">
        <f t="shared" si="40"/>
        <v>125-150%</v>
      </c>
      <c r="O277" s="7">
        <f>MIN(I277,H277)*INDEX('2018_commission_structure'!$A$11:$I$14,MATCH(Calculations!$E277,'2018_commission_structure'!$A$11:$A$14,0),MATCH(Calculations!O$1,'2018_commission_structure'!$A$11:$I$11,0))</f>
        <v>112500</v>
      </c>
      <c r="P277" s="7">
        <f>IF($H277&gt;I277,MIN($H277-I277,J277-I277)*INDEX('2018_commission_structure'!$A$11:$I$14,MATCH(Calculations!$E277,'2018_commission_structure'!$A$11:$A$14,0), MATCH(Calculations!P$1,'2018_commission_structure'!$A$11:$I$11,0)),0)</f>
        <v>35625</v>
      </c>
      <c r="Q277" s="7">
        <f>IF($H277&gt;J277,MIN($H277-J277,K277-J277)*INDEX('2018_commission_structure'!$A$11:$I$14,MATCH(Calculations!$E277,'2018_commission_structure'!$A$11:$A$14,0), MATCH(Calculations!Q$1,'2018_commission_structure'!$A$11:$I$11,0)),0)</f>
        <v>33295.72</v>
      </c>
      <c r="R277" s="7">
        <f>IF($H277&gt;K277,MIN($H277-K277,L277-K277)*INDEX('2018_commission_structure'!$A$11:$I$14,MATCH(Calculations!$E277,'2018_commission_structure'!$A$11:$A$14,0), MATCH(Calculations!R$1,'2018_commission_structure'!$A$11:$I$11,0)),0)</f>
        <v>0</v>
      </c>
      <c r="S277" s="7">
        <f>IF(H277&gt;L277,(H277-L277)*INDEX('2018_commission_structure'!$A$11:$I$14,MATCH(Calculations!$E277,'2018_commission_structure'!$A$11:$A$14,0),MATCH(Calculations!S$1,'2018_commission_structure'!$A$11:$I$11,0)),0)</f>
        <v>0</v>
      </c>
      <c r="T277" s="7">
        <f t="shared" si="41"/>
        <v>181420.72</v>
      </c>
      <c r="U277" s="7">
        <f t="shared" si="42"/>
        <v>304547.71999999997</v>
      </c>
      <c r="V277" s="7">
        <f>MIN(H277,I277)*INDEX('2018_commission_structure'!$A$5:$J$8,MATCH(Calculations!$E277,'2018_commission_structure'!$A$5:$A$8,0),MATCH(Calculations!V$1,'2018_commission_structure'!$A$5:$J$5,0))</f>
        <v>112500</v>
      </c>
      <c r="W277" s="2">
        <f>IF($H277&gt;I277,MIN($H277-I277,J277-I277)*INDEX('2018_commission_structure'!$A$5:$J$8,MATCH(Calculations!$E277,'2018_commission_structure'!$A$5:$A$8,0),MATCH(Calculations!W$1,'2018_commission_structure'!$A$5:$J$5,0)),0)</f>
        <v>41250</v>
      </c>
      <c r="X277" s="2">
        <f>IF($H277&gt;J277,MIN($H277-J277,K277-J277)*INDEX('2018_commission_structure'!$A$5:$J$8,MATCH(Calculations!$E277,'2018_commission_structure'!$A$5:$A$8,0),MATCH(Calculations!X$1,'2018_commission_structure'!$A$5:$J$5,0)),0)</f>
        <v>36191</v>
      </c>
      <c r="Y277" s="2">
        <f>IF($H277&gt;K277,MIN($H277-K277,L277-K277)*INDEX('2018_commission_structure'!$A$5:$J$8,MATCH(Calculations!$E277,'2018_commission_structure'!$A$5:$A$8,0),MATCH(Calculations!Y$1,'2018_commission_structure'!$A$5:$J$5,0)),0)</f>
        <v>0</v>
      </c>
      <c r="Z277" s="2">
        <f xml:space="preserve"> IF(H277&gt;L277,(H277-L277)*INDEX('2018_commission_structure'!$A$11:$I$14,MATCH(Calculations!$E277,'2018_commission_structure'!$A$11:$A$14,0),MATCH(Calculations!Z$1,'2018_commission_structure'!$A$11:$I$11,0)),0)</f>
        <v>0</v>
      </c>
      <c r="AA277" s="7">
        <f t="shared" si="43"/>
        <v>189941</v>
      </c>
      <c r="AB277" s="7">
        <f t="shared" si="44"/>
        <v>313068</v>
      </c>
    </row>
    <row r="278" spans="1:28" x14ac:dyDescent="0.25">
      <c r="A278">
        <v>7251959615</v>
      </c>
      <c r="B278" t="s">
        <v>1725</v>
      </c>
      <c r="C278" t="s">
        <v>1726</v>
      </c>
      <c r="D278" t="str">
        <f>B278&amp;" "&amp;C278</f>
        <v>Will Elmhirst</v>
      </c>
      <c r="E278" t="s">
        <v>7</v>
      </c>
      <c r="F278">
        <v>42095</v>
      </c>
      <c r="G278">
        <f>COUNTIF(deals_closed!D:D,Calculations!A278)</f>
        <v>18</v>
      </c>
      <c r="H278" s="2">
        <f>SUMIF(deals_closed!D:D,Calculations!A278,deals_closed!C:C)</f>
        <v>646520</v>
      </c>
      <c r="I278" s="2">
        <f>VLOOKUP(E278,'2018_commission_structure'!$A$11:$I$14,9,FALSE)</f>
        <v>500000</v>
      </c>
      <c r="J278" s="2">
        <f t="shared" si="36"/>
        <v>625000</v>
      </c>
      <c r="K278" s="2">
        <f t="shared" si="37"/>
        <v>750000</v>
      </c>
      <c r="L278" s="2">
        <f t="shared" si="38"/>
        <v>1000000</v>
      </c>
      <c r="M278" s="6">
        <f t="shared" si="39"/>
        <v>1.29304</v>
      </c>
      <c r="N278" t="str">
        <f t="shared" si="40"/>
        <v>125-150%</v>
      </c>
      <c r="O278" s="7">
        <f>MIN(I278,H278)*INDEX('2018_commission_structure'!$A$11:$I$14,MATCH(Calculations!$E278,'2018_commission_structure'!$A$11:$A$14,0),MATCH(Calculations!O$1,'2018_commission_structure'!$A$11:$I$11,0))</f>
        <v>50000</v>
      </c>
      <c r="P278" s="7">
        <f>IF($H278&gt;I278,MIN($H278-I278,J278-I278)*INDEX('2018_commission_structure'!$A$11:$I$14,MATCH(Calculations!$E278,'2018_commission_structure'!$A$11:$A$14,0), MATCH(Calculations!P$1,'2018_commission_structure'!$A$11:$I$11,0)),0)</f>
        <v>18750</v>
      </c>
      <c r="Q278" s="7">
        <f>IF($H278&gt;J278,MIN($H278-J278,K278-J278)*INDEX('2018_commission_structure'!$A$11:$I$14,MATCH(Calculations!$E278,'2018_commission_structure'!$A$11:$A$14,0), MATCH(Calculations!Q$1,'2018_commission_structure'!$A$11:$I$11,0)),0)</f>
        <v>3873.6</v>
      </c>
      <c r="R278" s="7">
        <f>IF($H278&gt;K278,MIN($H278-K278,L278-K278)*INDEX('2018_commission_structure'!$A$11:$I$14,MATCH(Calculations!$E278,'2018_commission_structure'!$A$11:$A$14,0), MATCH(Calculations!R$1,'2018_commission_structure'!$A$11:$I$11,0)),0)</f>
        <v>0</v>
      </c>
      <c r="S278" s="7">
        <f>IF(H278&gt;L278,(H278-L278)*INDEX('2018_commission_structure'!$A$11:$I$14,MATCH(Calculations!$E278,'2018_commission_structure'!$A$11:$A$14,0),MATCH(Calculations!S$1,'2018_commission_structure'!$A$11:$I$11,0)),0)</f>
        <v>0</v>
      </c>
      <c r="T278" s="7">
        <f t="shared" si="41"/>
        <v>72623.600000000006</v>
      </c>
      <c r="U278" s="7">
        <f t="shared" si="42"/>
        <v>114718.6</v>
      </c>
      <c r="V278" s="7">
        <f>MIN(H278,I278)*INDEX('2018_commission_structure'!$A$5:$J$8,MATCH(Calculations!$E278,'2018_commission_structure'!$A$5:$A$8,0),MATCH(Calculations!V$1,'2018_commission_structure'!$A$5:$J$5,0))</f>
        <v>60000</v>
      </c>
      <c r="W278" s="2">
        <f>IF($H278&gt;I278,MIN($H278-I278,J278-I278)*INDEX('2018_commission_structure'!$A$5:$J$8,MATCH(Calculations!$E278,'2018_commission_structure'!$A$5:$A$8,0),MATCH(Calculations!W$1,'2018_commission_structure'!$A$5:$J$5,0)),0)</f>
        <v>21250</v>
      </c>
      <c r="X278" s="2">
        <f>IF($H278&gt;J278,MIN($H278-J278,K278-J278)*INDEX('2018_commission_structure'!$A$5:$J$8,MATCH(Calculations!$E278,'2018_commission_structure'!$A$5:$A$8,0),MATCH(Calculations!X$1,'2018_commission_structure'!$A$5:$J$5,0)),0)</f>
        <v>4304</v>
      </c>
      <c r="Y278" s="2">
        <f>IF($H278&gt;K278,MIN($H278-K278,L278-K278)*INDEX('2018_commission_structure'!$A$5:$J$8,MATCH(Calculations!$E278,'2018_commission_structure'!$A$5:$A$8,0),MATCH(Calculations!Y$1,'2018_commission_structure'!$A$5:$J$5,0)),0)</f>
        <v>0</v>
      </c>
      <c r="Z278" s="2">
        <f xml:space="preserve"> IF(H278&gt;L278,(H278-L278)*INDEX('2018_commission_structure'!$A$11:$I$14,MATCH(Calculations!$E278,'2018_commission_structure'!$A$11:$A$14,0),MATCH(Calculations!Z$1,'2018_commission_structure'!$A$11:$I$11,0)),0)</f>
        <v>0</v>
      </c>
      <c r="AA278" s="7">
        <f t="shared" si="43"/>
        <v>85554</v>
      </c>
      <c r="AB278" s="7">
        <f t="shared" si="44"/>
        <v>127649</v>
      </c>
    </row>
    <row r="279" spans="1:28" x14ac:dyDescent="0.25">
      <c r="A279">
        <v>2944219065</v>
      </c>
      <c r="B279" t="s">
        <v>1439</v>
      </c>
      <c r="C279" t="s">
        <v>1440</v>
      </c>
      <c r="D279" t="str">
        <f>B279&amp;" "&amp;C279</f>
        <v>Rodie Elsip</v>
      </c>
      <c r="E279" t="s">
        <v>7</v>
      </c>
      <c r="F279">
        <v>47688</v>
      </c>
      <c r="G279">
        <f>COUNTIF(deals_closed!D:D,Calculations!A279)</f>
        <v>19</v>
      </c>
      <c r="H279" s="2">
        <f>SUMIF(deals_closed!D:D,Calculations!A279,deals_closed!C:C)</f>
        <v>649888</v>
      </c>
      <c r="I279" s="2">
        <f>VLOOKUP(E279,'2018_commission_structure'!$A$11:$I$14,9,FALSE)</f>
        <v>500000</v>
      </c>
      <c r="J279" s="2">
        <f t="shared" si="36"/>
        <v>625000</v>
      </c>
      <c r="K279" s="2">
        <f t="shared" si="37"/>
        <v>750000</v>
      </c>
      <c r="L279" s="2">
        <f t="shared" si="38"/>
        <v>1000000</v>
      </c>
      <c r="M279" s="6">
        <f t="shared" si="39"/>
        <v>1.299776</v>
      </c>
      <c r="N279" t="str">
        <f t="shared" si="40"/>
        <v>125-150%</v>
      </c>
      <c r="O279" s="7">
        <f>MIN(I279,H279)*INDEX('2018_commission_structure'!$A$11:$I$14,MATCH(Calculations!$E279,'2018_commission_structure'!$A$11:$A$14,0),MATCH(Calculations!O$1,'2018_commission_structure'!$A$11:$I$11,0))</f>
        <v>50000</v>
      </c>
      <c r="P279" s="7">
        <f>IF($H279&gt;I279,MIN($H279-I279,J279-I279)*INDEX('2018_commission_structure'!$A$11:$I$14,MATCH(Calculations!$E279,'2018_commission_structure'!$A$11:$A$14,0), MATCH(Calculations!P$1,'2018_commission_structure'!$A$11:$I$11,0)),0)</f>
        <v>18750</v>
      </c>
      <c r="Q279" s="7">
        <f>IF($H279&gt;J279,MIN($H279-J279,K279-J279)*INDEX('2018_commission_structure'!$A$11:$I$14,MATCH(Calculations!$E279,'2018_commission_structure'!$A$11:$A$14,0), MATCH(Calculations!Q$1,'2018_commission_structure'!$A$11:$I$11,0)),0)</f>
        <v>4479.84</v>
      </c>
      <c r="R279" s="7">
        <f>IF($H279&gt;K279,MIN($H279-K279,L279-K279)*INDEX('2018_commission_structure'!$A$11:$I$14,MATCH(Calculations!$E279,'2018_commission_structure'!$A$11:$A$14,0), MATCH(Calculations!R$1,'2018_commission_structure'!$A$11:$I$11,0)),0)</f>
        <v>0</v>
      </c>
      <c r="S279" s="7">
        <f>IF(H279&gt;L279,(H279-L279)*INDEX('2018_commission_structure'!$A$11:$I$14,MATCH(Calculations!$E279,'2018_commission_structure'!$A$11:$A$14,0),MATCH(Calculations!S$1,'2018_commission_structure'!$A$11:$I$11,0)),0)</f>
        <v>0</v>
      </c>
      <c r="T279" s="7">
        <f t="shared" si="41"/>
        <v>73229.84</v>
      </c>
      <c r="U279" s="7">
        <f t="shared" si="42"/>
        <v>120917.84</v>
      </c>
      <c r="V279" s="7">
        <f>MIN(H279,I279)*INDEX('2018_commission_structure'!$A$5:$J$8,MATCH(Calculations!$E279,'2018_commission_structure'!$A$5:$A$8,0),MATCH(Calculations!V$1,'2018_commission_structure'!$A$5:$J$5,0))</f>
        <v>60000</v>
      </c>
      <c r="W279" s="2">
        <f>IF($H279&gt;I279,MIN($H279-I279,J279-I279)*INDEX('2018_commission_structure'!$A$5:$J$8,MATCH(Calculations!$E279,'2018_commission_structure'!$A$5:$A$8,0),MATCH(Calculations!W$1,'2018_commission_structure'!$A$5:$J$5,0)),0)</f>
        <v>21250</v>
      </c>
      <c r="X279" s="2">
        <f>IF($H279&gt;J279,MIN($H279-J279,K279-J279)*INDEX('2018_commission_structure'!$A$5:$J$8,MATCH(Calculations!$E279,'2018_commission_structure'!$A$5:$A$8,0),MATCH(Calculations!X$1,'2018_commission_structure'!$A$5:$J$5,0)),0)</f>
        <v>4977.6000000000004</v>
      </c>
      <c r="Y279" s="2">
        <f>IF($H279&gt;K279,MIN($H279-K279,L279-K279)*INDEX('2018_commission_structure'!$A$5:$J$8,MATCH(Calculations!$E279,'2018_commission_structure'!$A$5:$A$8,0),MATCH(Calculations!Y$1,'2018_commission_structure'!$A$5:$J$5,0)),0)</f>
        <v>0</v>
      </c>
      <c r="Z279" s="2">
        <f xml:space="preserve"> IF(H279&gt;L279,(H279-L279)*INDEX('2018_commission_structure'!$A$11:$I$14,MATCH(Calculations!$E279,'2018_commission_structure'!$A$11:$A$14,0),MATCH(Calculations!Z$1,'2018_commission_structure'!$A$11:$I$11,0)),0)</f>
        <v>0</v>
      </c>
      <c r="AA279" s="7">
        <f t="shared" si="43"/>
        <v>86227.6</v>
      </c>
      <c r="AB279" s="7">
        <f t="shared" si="44"/>
        <v>133915.6</v>
      </c>
    </row>
    <row r="280" spans="1:28" x14ac:dyDescent="0.25">
      <c r="A280">
        <v>6988089128</v>
      </c>
      <c r="B280" t="s">
        <v>353</v>
      </c>
      <c r="C280" t="s">
        <v>354</v>
      </c>
      <c r="D280" t="str">
        <f>B280&amp;" "&amp;C280</f>
        <v>Leilah Elsy</v>
      </c>
      <c r="E280" t="s">
        <v>10</v>
      </c>
      <c r="F280">
        <v>89492</v>
      </c>
      <c r="G280">
        <f>COUNTIF(deals_closed!D:D,Calculations!A280)</f>
        <v>22</v>
      </c>
      <c r="H280" s="2">
        <f>SUMIF(deals_closed!D:D,Calculations!A280,deals_closed!C:C)</f>
        <v>826224</v>
      </c>
      <c r="I280" s="2">
        <f>VLOOKUP(E280,'2018_commission_structure'!$A$11:$I$14,9,FALSE)</f>
        <v>750000</v>
      </c>
      <c r="J280" s="2">
        <f t="shared" si="36"/>
        <v>937500</v>
      </c>
      <c r="K280" s="2">
        <f t="shared" si="37"/>
        <v>1125000</v>
      </c>
      <c r="L280" s="2">
        <f t="shared" si="38"/>
        <v>1500000</v>
      </c>
      <c r="M280" s="6">
        <f t="shared" si="39"/>
        <v>1.1016319999999999</v>
      </c>
      <c r="N280" t="str">
        <f t="shared" si="40"/>
        <v>100-125%</v>
      </c>
      <c r="O280" s="7">
        <f>MIN(I280,H280)*INDEX('2018_commission_structure'!$A$11:$I$14,MATCH(Calculations!$E280,'2018_commission_structure'!$A$11:$A$14,0),MATCH(Calculations!O$1,'2018_commission_structure'!$A$11:$I$11,0))</f>
        <v>112500</v>
      </c>
      <c r="P280" s="7">
        <f>IF($H280&gt;I280,MIN($H280-I280,J280-I280)*INDEX('2018_commission_structure'!$A$11:$I$14,MATCH(Calculations!$E280,'2018_commission_structure'!$A$11:$A$14,0), MATCH(Calculations!P$1,'2018_commission_structure'!$A$11:$I$11,0)),0)</f>
        <v>14482.56</v>
      </c>
      <c r="Q280" s="7">
        <f>IF($H280&gt;J280,MIN($H280-J280,K280-J280)*INDEX('2018_commission_structure'!$A$11:$I$14,MATCH(Calculations!$E280,'2018_commission_structure'!$A$11:$A$14,0), MATCH(Calculations!Q$1,'2018_commission_structure'!$A$11:$I$11,0)),0)</f>
        <v>0</v>
      </c>
      <c r="R280" s="7">
        <f>IF($H280&gt;K280,MIN($H280-K280,L280-K280)*INDEX('2018_commission_structure'!$A$11:$I$14,MATCH(Calculations!$E280,'2018_commission_structure'!$A$11:$A$14,0), MATCH(Calculations!R$1,'2018_commission_structure'!$A$11:$I$11,0)),0)</f>
        <v>0</v>
      </c>
      <c r="S280" s="7">
        <f>IF(H280&gt;L280,(H280-L280)*INDEX('2018_commission_structure'!$A$11:$I$14,MATCH(Calculations!$E280,'2018_commission_structure'!$A$11:$A$14,0),MATCH(Calculations!S$1,'2018_commission_structure'!$A$11:$I$11,0)),0)</f>
        <v>0</v>
      </c>
      <c r="T280" s="7">
        <f t="shared" si="41"/>
        <v>126982.56</v>
      </c>
      <c r="U280" s="7">
        <f t="shared" si="42"/>
        <v>216474.56</v>
      </c>
      <c r="V280" s="7">
        <f>MIN(H280,I280)*INDEX('2018_commission_structure'!$A$5:$J$8,MATCH(Calculations!$E280,'2018_commission_structure'!$A$5:$A$8,0),MATCH(Calculations!V$1,'2018_commission_structure'!$A$5:$J$5,0))</f>
        <v>112500</v>
      </c>
      <c r="W280" s="2">
        <f>IF($H280&gt;I280,MIN($H280-I280,J280-I280)*INDEX('2018_commission_structure'!$A$5:$J$8,MATCH(Calculations!$E280,'2018_commission_structure'!$A$5:$A$8,0),MATCH(Calculations!W$1,'2018_commission_structure'!$A$5:$J$5,0)),0)</f>
        <v>16769.28</v>
      </c>
      <c r="X280" s="2">
        <f>IF($H280&gt;J280,MIN($H280-J280,K280-J280)*INDEX('2018_commission_structure'!$A$5:$J$8,MATCH(Calculations!$E280,'2018_commission_structure'!$A$5:$A$8,0),MATCH(Calculations!X$1,'2018_commission_structure'!$A$5:$J$5,0)),0)</f>
        <v>0</v>
      </c>
      <c r="Y280" s="2">
        <f>IF($H280&gt;K280,MIN($H280-K280,L280-K280)*INDEX('2018_commission_structure'!$A$5:$J$8,MATCH(Calculations!$E280,'2018_commission_structure'!$A$5:$A$8,0),MATCH(Calculations!Y$1,'2018_commission_structure'!$A$5:$J$5,0)),0)</f>
        <v>0</v>
      </c>
      <c r="Z280" s="2">
        <f xml:space="preserve"> IF(H280&gt;L280,(H280-L280)*INDEX('2018_commission_structure'!$A$11:$I$14,MATCH(Calculations!$E280,'2018_commission_structure'!$A$11:$A$14,0),MATCH(Calculations!Z$1,'2018_commission_structure'!$A$11:$I$11,0)),0)</f>
        <v>0</v>
      </c>
      <c r="AA280" s="7">
        <f t="shared" si="43"/>
        <v>129269.28</v>
      </c>
      <c r="AB280" s="7">
        <f t="shared" si="44"/>
        <v>218761.28</v>
      </c>
    </row>
    <row r="281" spans="1:28" x14ac:dyDescent="0.25">
      <c r="A281">
        <v>1053331541</v>
      </c>
      <c r="B281" t="s">
        <v>232</v>
      </c>
      <c r="C281" t="s">
        <v>233</v>
      </c>
      <c r="D281" t="str">
        <f>B281&amp;" "&amp;C281</f>
        <v>Celine Ennew</v>
      </c>
      <c r="E281" t="s">
        <v>7</v>
      </c>
      <c r="F281">
        <v>59443</v>
      </c>
      <c r="G281">
        <f>COUNTIF(deals_closed!D:D,Calculations!A281)</f>
        <v>25</v>
      </c>
      <c r="H281" s="2">
        <f>SUMIF(deals_closed!D:D,Calculations!A281,deals_closed!C:C)</f>
        <v>914251</v>
      </c>
      <c r="I281" s="2">
        <f>VLOOKUP(E281,'2018_commission_structure'!$A$11:$I$14,9,FALSE)</f>
        <v>500000</v>
      </c>
      <c r="J281" s="2">
        <f t="shared" si="36"/>
        <v>625000</v>
      </c>
      <c r="K281" s="2">
        <f t="shared" si="37"/>
        <v>750000</v>
      </c>
      <c r="L281" s="2">
        <f t="shared" si="38"/>
        <v>1000000</v>
      </c>
      <c r="M281" s="6">
        <f t="shared" si="39"/>
        <v>1.8285020000000001</v>
      </c>
      <c r="N281" t="str">
        <f t="shared" si="40"/>
        <v>150-200%</v>
      </c>
      <c r="O281" s="7">
        <f>MIN(I281,H281)*INDEX('2018_commission_structure'!$A$11:$I$14,MATCH(Calculations!$E281,'2018_commission_structure'!$A$11:$A$14,0),MATCH(Calculations!O$1,'2018_commission_structure'!$A$11:$I$11,0))</f>
        <v>50000</v>
      </c>
      <c r="P281" s="7">
        <f>IF($H281&gt;I281,MIN($H281-I281,J281-I281)*INDEX('2018_commission_structure'!$A$11:$I$14,MATCH(Calculations!$E281,'2018_commission_structure'!$A$11:$A$14,0), MATCH(Calculations!P$1,'2018_commission_structure'!$A$11:$I$11,0)),0)</f>
        <v>18750</v>
      </c>
      <c r="Q281" s="7">
        <f>IF($H281&gt;J281,MIN($H281-J281,K281-J281)*INDEX('2018_commission_structure'!$A$11:$I$14,MATCH(Calculations!$E281,'2018_commission_structure'!$A$11:$A$14,0), MATCH(Calculations!Q$1,'2018_commission_structure'!$A$11:$I$11,0)),0)</f>
        <v>22500</v>
      </c>
      <c r="R281" s="7">
        <f>IF($H281&gt;K281,MIN($H281-K281,L281-K281)*INDEX('2018_commission_structure'!$A$11:$I$14,MATCH(Calculations!$E281,'2018_commission_structure'!$A$11:$A$14,0), MATCH(Calculations!R$1,'2018_commission_structure'!$A$11:$I$11,0)),0)</f>
        <v>36135.22</v>
      </c>
      <c r="S281" s="7">
        <f>IF(H281&gt;L281,(H281-L281)*INDEX('2018_commission_structure'!$A$11:$I$14,MATCH(Calculations!$E281,'2018_commission_structure'!$A$11:$A$14,0),MATCH(Calculations!S$1,'2018_commission_structure'!$A$11:$I$11,0)),0)</f>
        <v>0</v>
      </c>
      <c r="T281" s="7">
        <f t="shared" si="41"/>
        <v>127385.22</v>
      </c>
      <c r="U281" s="7">
        <f t="shared" si="42"/>
        <v>186828.22</v>
      </c>
      <c r="V281" s="7">
        <f>MIN(H281,I281)*INDEX('2018_commission_structure'!$A$5:$J$8,MATCH(Calculations!$E281,'2018_commission_structure'!$A$5:$A$8,0),MATCH(Calculations!V$1,'2018_commission_structure'!$A$5:$J$5,0))</f>
        <v>60000</v>
      </c>
      <c r="W281" s="2">
        <f>IF($H281&gt;I281,MIN($H281-I281,J281-I281)*INDEX('2018_commission_structure'!$A$5:$J$8,MATCH(Calculations!$E281,'2018_commission_structure'!$A$5:$A$8,0),MATCH(Calculations!W$1,'2018_commission_structure'!$A$5:$J$5,0)),0)</f>
        <v>21250</v>
      </c>
      <c r="X281" s="2">
        <f>IF($H281&gt;J281,MIN($H281-J281,K281-J281)*INDEX('2018_commission_structure'!$A$5:$J$8,MATCH(Calculations!$E281,'2018_commission_structure'!$A$5:$A$8,0),MATCH(Calculations!X$1,'2018_commission_structure'!$A$5:$J$5,0)),0)</f>
        <v>25000</v>
      </c>
      <c r="Y281" s="2">
        <f>IF($H281&gt;K281,MIN($H281-K281,L281-K281)*INDEX('2018_commission_structure'!$A$5:$J$8,MATCH(Calculations!$E281,'2018_commission_structure'!$A$5:$A$8,0),MATCH(Calculations!Y$1,'2018_commission_structure'!$A$5:$J$5,0)),0)</f>
        <v>36135.22</v>
      </c>
      <c r="Z281" s="2">
        <f xml:space="preserve"> IF(H281&gt;L281,(H281-L281)*INDEX('2018_commission_structure'!$A$11:$I$14,MATCH(Calculations!$E281,'2018_commission_structure'!$A$11:$A$14,0),MATCH(Calculations!Z$1,'2018_commission_structure'!$A$11:$I$11,0)),0)</f>
        <v>0</v>
      </c>
      <c r="AA281" s="7">
        <f t="shared" si="43"/>
        <v>142385.22</v>
      </c>
      <c r="AB281" s="7">
        <f t="shared" si="44"/>
        <v>201828.22</v>
      </c>
    </row>
    <row r="282" spans="1:28" x14ac:dyDescent="0.25">
      <c r="A282">
        <v>2492824950</v>
      </c>
      <c r="B282" t="s">
        <v>1003</v>
      </c>
      <c r="C282" t="s">
        <v>1004</v>
      </c>
      <c r="D282" t="str">
        <f>B282&amp;" "&amp;C282</f>
        <v>Iago Epine</v>
      </c>
      <c r="E282" t="s">
        <v>10</v>
      </c>
      <c r="F282">
        <v>86703</v>
      </c>
      <c r="G282">
        <f>COUNTIF(deals_closed!D:D,Calculations!A282)</f>
        <v>28</v>
      </c>
      <c r="H282" s="2">
        <f>SUMIF(deals_closed!D:D,Calculations!A282,deals_closed!C:C)</f>
        <v>900340</v>
      </c>
      <c r="I282" s="2">
        <f>VLOOKUP(E282,'2018_commission_structure'!$A$11:$I$14,9,FALSE)</f>
        <v>750000</v>
      </c>
      <c r="J282" s="2">
        <f t="shared" si="36"/>
        <v>937500</v>
      </c>
      <c r="K282" s="2">
        <f t="shared" si="37"/>
        <v>1125000</v>
      </c>
      <c r="L282" s="2">
        <f t="shared" si="38"/>
        <v>1500000</v>
      </c>
      <c r="M282" s="6">
        <f t="shared" si="39"/>
        <v>1.2004533333333334</v>
      </c>
      <c r="N282" t="str">
        <f t="shared" si="40"/>
        <v>100-125%</v>
      </c>
      <c r="O282" s="7">
        <f>MIN(I282,H282)*INDEX('2018_commission_structure'!$A$11:$I$14,MATCH(Calculations!$E282,'2018_commission_structure'!$A$11:$A$14,0),MATCH(Calculations!O$1,'2018_commission_structure'!$A$11:$I$11,0))</f>
        <v>112500</v>
      </c>
      <c r="P282" s="7">
        <f>IF($H282&gt;I282,MIN($H282-I282,J282-I282)*INDEX('2018_commission_structure'!$A$11:$I$14,MATCH(Calculations!$E282,'2018_commission_structure'!$A$11:$A$14,0), MATCH(Calculations!P$1,'2018_commission_structure'!$A$11:$I$11,0)),0)</f>
        <v>28564.6</v>
      </c>
      <c r="Q282" s="7">
        <f>IF($H282&gt;J282,MIN($H282-J282,K282-J282)*INDEX('2018_commission_structure'!$A$11:$I$14,MATCH(Calculations!$E282,'2018_commission_structure'!$A$11:$A$14,0), MATCH(Calculations!Q$1,'2018_commission_structure'!$A$11:$I$11,0)),0)</f>
        <v>0</v>
      </c>
      <c r="R282" s="7">
        <f>IF($H282&gt;K282,MIN($H282-K282,L282-K282)*INDEX('2018_commission_structure'!$A$11:$I$14,MATCH(Calculations!$E282,'2018_commission_structure'!$A$11:$A$14,0), MATCH(Calculations!R$1,'2018_commission_structure'!$A$11:$I$11,0)),0)</f>
        <v>0</v>
      </c>
      <c r="S282" s="7">
        <f>IF(H282&gt;L282,(H282-L282)*INDEX('2018_commission_structure'!$A$11:$I$14,MATCH(Calculations!$E282,'2018_commission_structure'!$A$11:$A$14,0),MATCH(Calculations!S$1,'2018_commission_structure'!$A$11:$I$11,0)),0)</f>
        <v>0</v>
      </c>
      <c r="T282" s="7">
        <f t="shared" si="41"/>
        <v>141064.6</v>
      </c>
      <c r="U282" s="7">
        <f t="shared" si="42"/>
        <v>227767.6</v>
      </c>
      <c r="V282" s="7">
        <f>MIN(H282,I282)*INDEX('2018_commission_structure'!$A$5:$J$8,MATCH(Calculations!$E282,'2018_commission_structure'!$A$5:$A$8,0),MATCH(Calculations!V$1,'2018_commission_structure'!$A$5:$J$5,0))</f>
        <v>112500</v>
      </c>
      <c r="W282" s="2">
        <f>IF($H282&gt;I282,MIN($H282-I282,J282-I282)*INDEX('2018_commission_structure'!$A$5:$J$8,MATCH(Calculations!$E282,'2018_commission_structure'!$A$5:$A$8,0),MATCH(Calculations!W$1,'2018_commission_structure'!$A$5:$J$5,0)),0)</f>
        <v>33074.800000000003</v>
      </c>
      <c r="X282" s="2">
        <f>IF($H282&gt;J282,MIN($H282-J282,K282-J282)*INDEX('2018_commission_structure'!$A$5:$J$8,MATCH(Calculations!$E282,'2018_commission_structure'!$A$5:$A$8,0),MATCH(Calculations!X$1,'2018_commission_structure'!$A$5:$J$5,0)),0)</f>
        <v>0</v>
      </c>
      <c r="Y282" s="2">
        <f>IF($H282&gt;K282,MIN($H282-K282,L282-K282)*INDEX('2018_commission_structure'!$A$5:$J$8,MATCH(Calculations!$E282,'2018_commission_structure'!$A$5:$A$8,0),MATCH(Calculations!Y$1,'2018_commission_structure'!$A$5:$J$5,0)),0)</f>
        <v>0</v>
      </c>
      <c r="Z282" s="2">
        <f xml:space="preserve"> IF(H282&gt;L282,(H282-L282)*INDEX('2018_commission_structure'!$A$11:$I$14,MATCH(Calculations!$E282,'2018_commission_structure'!$A$11:$A$14,0),MATCH(Calculations!Z$1,'2018_commission_structure'!$A$11:$I$11,0)),0)</f>
        <v>0</v>
      </c>
      <c r="AA282" s="7">
        <f t="shared" si="43"/>
        <v>145574.79999999999</v>
      </c>
      <c r="AB282" s="7">
        <f t="shared" si="44"/>
        <v>232277.8</v>
      </c>
    </row>
    <row r="283" spans="1:28" x14ac:dyDescent="0.25">
      <c r="A283">
        <v>1888605537</v>
      </c>
      <c r="B283" t="s">
        <v>695</v>
      </c>
      <c r="C283" t="s">
        <v>696</v>
      </c>
      <c r="D283" t="str">
        <f>B283&amp;" "&amp;C283</f>
        <v>Hunter Erni</v>
      </c>
      <c r="E283" t="s">
        <v>29</v>
      </c>
      <c r="F283">
        <v>72427</v>
      </c>
      <c r="G283">
        <f>COUNTIF(deals_closed!D:D,Calculations!A283)</f>
        <v>21</v>
      </c>
      <c r="H283" s="2">
        <f>SUMIF(deals_closed!D:D,Calculations!A283,deals_closed!C:C)</f>
        <v>780782</v>
      </c>
      <c r="I283" s="2">
        <f>VLOOKUP(E283,'2018_commission_structure'!$A$11:$I$14,9,FALSE)</f>
        <v>600000</v>
      </c>
      <c r="J283" s="2">
        <f t="shared" si="36"/>
        <v>750000</v>
      </c>
      <c r="K283" s="2">
        <f t="shared" si="37"/>
        <v>900000</v>
      </c>
      <c r="L283" s="2">
        <f t="shared" si="38"/>
        <v>1200000</v>
      </c>
      <c r="M283" s="6">
        <f t="shared" si="39"/>
        <v>1.3013033333333333</v>
      </c>
      <c r="N283" t="str">
        <f t="shared" si="40"/>
        <v>125-150%</v>
      </c>
      <c r="O283" s="7">
        <f>MIN(I283,H283)*INDEX('2018_commission_structure'!$A$11:$I$14,MATCH(Calculations!$E283,'2018_commission_structure'!$A$11:$A$14,0),MATCH(Calculations!O$1,'2018_commission_structure'!$A$11:$I$11,0))</f>
        <v>78000</v>
      </c>
      <c r="P283" s="7">
        <f>IF($H283&gt;I283,MIN($H283-I283,J283-I283)*INDEX('2018_commission_structure'!$A$11:$I$14,MATCH(Calculations!$E283,'2018_commission_structure'!$A$11:$A$14,0), MATCH(Calculations!P$1,'2018_commission_structure'!$A$11:$I$11,0)),0)</f>
        <v>25500.000000000004</v>
      </c>
      <c r="Q283" s="7">
        <f>IF($H283&gt;J283,MIN($H283-J283,K283-J283)*INDEX('2018_commission_structure'!$A$11:$I$14,MATCH(Calculations!$E283,'2018_commission_structure'!$A$11:$A$14,0), MATCH(Calculations!Q$1,'2018_commission_structure'!$A$11:$I$11,0)),0)</f>
        <v>6464.2199999999993</v>
      </c>
      <c r="R283" s="7">
        <f>IF($H283&gt;K283,MIN($H283-K283,L283-K283)*INDEX('2018_commission_structure'!$A$11:$I$14,MATCH(Calculations!$E283,'2018_commission_structure'!$A$11:$A$14,0), MATCH(Calculations!R$1,'2018_commission_structure'!$A$11:$I$11,0)),0)</f>
        <v>0</v>
      </c>
      <c r="S283" s="7">
        <f>IF(H283&gt;L283,(H283-L283)*INDEX('2018_commission_structure'!$A$11:$I$14,MATCH(Calculations!$E283,'2018_commission_structure'!$A$11:$A$14,0),MATCH(Calculations!S$1,'2018_commission_structure'!$A$11:$I$11,0)),0)</f>
        <v>0</v>
      </c>
      <c r="T283" s="7">
        <f t="shared" si="41"/>
        <v>109964.22</v>
      </c>
      <c r="U283" s="7">
        <f t="shared" si="42"/>
        <v>182391.22</v>
      </c>
      <c r="V283" s="7">
        <f>MIN(H283,I283)*INDEX('2018_commission_structure'!$A$5:$J$8,MATCH(Calculations!$E283,'2018_commission_structure'!$A$5:$A$8,0),MATCH(Calculations!V$1,'2018_commission_structure'!$A$5:$J$5,0))</f>
        <v>90000</v>
      </c>
      <c r="W283" s="2">
        <f>IF($H283&gt;I283,MIN($H283-I283,J283-I283)*INDEX('2018_commission_structure'!$A$5:$J$8,MATCH(Calculations!$E283,'2018_commission_structure'!$A$5:$A$8,0),MATCH(Calculations!W$1,'2018_commission_structure'!$A$5:$J$5,0)),0)</f>
        <v>27000</v>
      </c>
      <c r="X283" s="2">
        <f>IF($H283&gt;J283,MIN($H283-J283,K283-J283)*INDEX('2018_commission_structure'!$A$5:$J$8,MATCH(Calculations!$E283,'2018_commission_structure'!$A$5:$A$8,0),MATCH(Calculations!X$1,'2018_commission_structure'!$A$5:$J$5,0)),0)</f>
        <v>7695.5</v>
      </c>
      <c r="Y283" s="2">
        <f>IF($H283&gt;K283,MIN($H283-K283,L283-K283)*INDEX('2018_commission_structure'!$A$5:$J$8,MATCH(Calculations!$E283,'2018_commission_structure'!$A$5:$A$8,0),MATCH(Calculations!Y$1,'2018_commission_structure'!$A$5:$J$5,0)),0)</f>
        <v>0</v>
      </c>
      <c r="Z283" s="2">
        <f xml:space="preserve"> IF(H283&gt;L283,(H283-L283)*INDEX('2018_commission_structure'!$A$11:$I$14,MATCH(Calculations!$E283,'2018_commission_structure'!$A$11:$A$14,0),MATCH(Calculations!Z$1,'2018_commission_structure'!$A$11:$I$11,0)),0)</f>
        <v>0</v>
      </c>
      <c r="AA283" s="7">
        <f t="shared" si="43"/>
        <v>124695.5</v>
      </c>
      <c r="AB283" s="7">
        <f t="shared" si="44"/>
        <v>197122.5</v>
      </c>
    </row>
    <row r="284" spans="1:28" x14ac:dyDescent="0.25">
      <c r="A284">
        <v>197180590</v>
      </c>
      <c r="B284" t="s">
        <v>852</v>
      </c>
      <c r="C284" t="s">
        <v>853</v>
      </c>
      <c r="D284" t="str">
        <f>B284&amp;" "&amp;C284</f>
        <v>Kimmi Erskin</v>
      </c>
      <c r="E284" t="s">
        <v>10</v>
      </c>
      <c r="F284">
        <v>79036</v>
      </c>
      <c r="G284">
        <f>COUNTIF(deals_closed!D:D,Calculations!A284)</f>
        <v>24</v>
      </c>
      <c r="H284" s="2">
        <f>SUMIF(deals_closed!D:D,Calculations!A284,deals_closed!C:C)</f>
        <v>774827</v>
      </c>
      <c r="I284" s="2">
        <f>VLOOKUP(E284,'2018_commission_structure'!$A$11:$I$14,9,FALSE)</f>
        <v>750000</v>
      </c>
      <c r="J284" s="2">
        <f t="shared" si="36"/>
        <v>937500</v>
      </c>
      <c r="K284" s="2">
        <f t="shared" si="37"/>
        <v>1125000</v>
      </c>
      <c r="L284" s="2">
        <f t="shared" si="38"/>
        <v>1500000</v>
      </c>
      <c r="M284" s="6">
        <f t="shared" si="39"/>
        <v>1.0331026666666667</v>
      </c>
      <c r="N284" t="str">
        <f t="shared" si="40"/>
        <v>100-125%</v>
      </c>
      <c r="O284" s="7">
        <f>MIN(I284,H284)*INDEX('2018_commission_structure'!$A$11:$I$14,MATCH(Calculations!$E284,'2018_commission_structure'!$A$11:$A$14,0),MATCH(Calculations!O$1,'2018_commission_structure'!$A$11:$I$11,0))</f>
        <v>112500</v>
      </c>
      <c r="P284" s="7">
        <f>IF($H284&gt;I284,MIN($H284-I284,J284-I284)*INDEX('2018_commission_structure'!$A$11:$I$14,MATCH(Calculations!$E284,'2018_commission_structure'!$A$11:$A$14,0), MATCH(Calculations!P$1,'2018_commission_structure'!$A$11:$I$11,0)),0)</f>
        <v>4717.13</v>
      </c>
      <c r="Q284" s="7">
        <f>IF($H284&gt;J284,MIN($H284-J284,K284-J284)*INDEX('2018_commission_structure'!$A$11:$I$14,MATCH(Calculations!$E284,'2018_commission_structure'!$A$11:$A$14,0), MATCH(Calculations!Q$1,'2018_commission_structure'!$A$11:$I$11,0)),0)</f>
        <v>0</v>
      </c>
      <c r="R284" s="7">
        <f>IF($H284&gt;K284,MIN($H284-K284,L284-K284)*INDEX('2018_commission_structure'!$A$11:$I$14,MATCH(Calculations!$E284,'2018_commission_structure'!$A$11:$A$14,0), MATCH(Calculations!R$1,'2018_commission_structure'!$A$11:$I$11,0)),0)</f>
        <v>0</v>
      </c>
      <c r="S284" s="7">
        <f>IF(H284&gt;L284,(H284-L284)*INDEX('2018_commission_structure'!$A$11:$I$14,MATCH(Calculations!$E284,'2018_commission_structure'!$A$11:$A$14,0),MATCH(Calculations!S$1,'2018_commission_structure'!$A$11:$I$11,0)),0)</f>
        <v>0</v>
      </c>
      <c r="T284" s="7">
        <f t="shared" si="41"/>
        <v>117217.13</v>
      </c>
      <c r="U284" s="7">
        <f t="shared" si="42"/>
        <v>196253.13</v>
      </c>
      <c r="V284" s="7">
        <f>MIN(H284,I284)*INDEX('2018_commission_structure'!$A$5:$J$8,MATCH(Calculations!$E284,'2018_commission_structure'!$A$5:$A$8,0),MATCH(Calculations!V$1,'2018_commission_structure'!$A$5:$J$5,0))</f>
        <v>112500</v>
      </c>
      <c r="W284" s="2">
        <f>IF($H284&gt;I284,MIN($H284-I284,J284-I284)*INDEX('2018_commission_structure'!$A$5:$J$8,MATCH(Calculations!$E284,'2018_commission_structure'!$A$5:$A$8,0),MATCH(Calculations!W$1,'2018_commission_structure'!$A$5:$J$5,0)),0)</f>
        <v>5461.94</v>
      </c>
      <c r="X284" s="2">
        <f>IF($H284&gt;J284,MIN($H284-J284,K284-J284)*INDEX('2018_commission_structure'!$A$5:$J$8,MATCH(Calculations!$E284,'2018_commission_structure'!$A$5:$A$8,0),MATCH(Calculations!X$1,'2018_commission_structure'!$A$5:$J$5,0)),0)</f>
        <v>0</v>
      </c>
      <c r="Y284" s="2">
        <f>IF($H284&gt;K284,MIN($H284-K284,L284-K284)*INDEX('2018_commission_structure'!$A$5:$J$8,MATCH(Calculations!$E284,'2018_commission_structure'!$A$5:$A$8,0),MATCH(Calculations!Y$1,'2018_commission_structure'!$A$5:$J$5,0)),0)</f>
        <v>0</v>
      </c>
      <c r="Z284" s="2">
        <f xml:space="preserve"> IF(H284&gt;L284,(H284-L284)*INDEX('2018_commission_structure'!$A$11:$I$14,MATCH(Calculations!$E284,'2018_commission_structure'!$A$11:$A$14,0),MATCH(Calculations!Z$1,'2018_commission_structure'!$A$11:$I$11,0)),0)</f>
        <v>0</v>
      </c>
      <c r="AA284" s="7">
        <f t="shared" si="43"/>
        <v>117961.94</v>
      </c>
      <c r="AB284" s="7">
        <f t="shared" si="44"/>
        <v>196997.94</v>
      </c>
    </row>
    <row r="285" spans="1:28" x14ac:dyDescent="0.25">
      <c r="A285">
        <v>8289594380</v>
      </c>
      <c r="B285" t="s">
        <v>735</v>
      </c>
      <c r="C285" t="s">
        <v>736</v>
      </c>
      <c r="D285" t="str">
        <f>B285&amp;" "&amp;C285</f>
        <v>Claire Espinos</v>
      </c>
      <c r="E285" t="s">
        <v>7</v>
      </c>
      <c r="F285">
        <v>37040</v>
      </c>
      <c r="G285">
        <f>COUNTIF(deals_closed!D:D,Calculations!A285)</f>
        <v>22</v>
      </c>
      <c r="H285" s="2">
        <f>SUMIF(deals_closed!D:D,Calculations!A285,deals_closed!C:C)</f>
        <v>671936</v>
      </c>
      <c r="I285" s="2">
        <f>VLOOKUP(E285,'2018_commission_structure'!$A$11:$I$14,9,FALSE)</f>
        <v>500000</v>
      </c>
      <c r="J285" s="2">
        <f t="shared" si="36"/>
        <v>625000</v>
      </c>
      <c r="K285" s="2">
        <f t="shared" si="37"/>
        <v>750000</v>
      </c>
      <c r="L285" s="2">
        <f t="shared" si="38"/>
        <v>1000000</v>
      </c>
      <c r="M285" s="6">
        <f t="shared" si="39"/>
        <v>1.343872</v>
      </c>
      <c r="N285" t="str">
        <f t="shared" si="40"/>
        <v>125-150%</v>
      </c>
      <c r="O285" s="7">
        <f>MIN(I285,H285)*INDEX('2018_commission_structure'!$A$11:$I$14,MATCH(Calculations!$E285,'2018_commission_structure'!$A$11:$A$14,0),MATCH(Calculations!O$1,'2018_commission_structure'!$A$11:$I$11,0))</f>
        <v>50000</v>
      </c>
      <c r="P285" s="7">
        <f>IF($H285&gt;I285,MIN($H285-I285,J285-I285)*INDEX('2018_commission_structure'!$A$11:$I$14,MATCH(Calculations!$E285,'2018_commission_structure'!$A$11:$A$14,0), MATCH(Calculations!P$1,'2018_commission_structure'!$A$11:$I$11,0)),0)</f>
        <v>18750</v>
      </c>
      <c r="Q285" s="7">
        <f>IF($H285&gt;J285,MIN($H285-J285,K285-J285)*INDEX('2018_commission_structure'!$A$11:$I$14,MATCH(Calculations!$E285,'2018_commission_structure'!$A$11:$A$14,0), MATCH(Calculations!Q$1,'2018_commission_structure'!$A$11:$I$11,0)),0)</f>
        <v>8448.48</v>
      </c>
      <c r="R285" s="7">
        <f>IF($H285&gt;K285,MIN($H285-K285,L285-K285)*INDEX('2018_commission_structure'!$A$11:$I$14,MATCH(Calculations!$E285,'2018_commission_structure'!$A$11:$A$14,0), MATCH(Calculations!R$1,'2018_commission_structure'!$A$11:$I$11,0)),0)</f>
        <v>0</v>
      </c>
      <c r="S285" s="7">
        <f>IF(H285&gt;L285,(H285-L285)*INDEX('2018_commission_structure'!$A$11:$I$14,MATCH(Calculations!$E285,'2018_commission_structure'!$A$11:$A$14,0),MATCH(Calculations!S$1,'2018_commission_structure'!$A$11:$I$11,0)),0)</f>
        <v>0</v>
      </c>
      <c r="T285" s="7">
        <f t="shared" si="41"/>
        <v>77198.48</v>
      </c>
      <c r="U285" s="7">
        <f t="shared" si="42"/>
        <v>114238.48</v>
      </c>
      <c r="V285" s="7">
        <f>MIN(H285,I285)*INDEX('2018_commission_structure'!$A$5:$J$8,MATCH(Calculations!$E285,'2018_commission_structure'!$A$5:$A$8,0),MATCH(Calculations!V$1,'2018_commission_structure'!$A$5:$J$5,0))</f>
        <v>60000</v>
      </c>
      <c r="W285" s="2">
        <f>IF($H285&gt;I285,MIN($H285-I285,J285-I285)*INDEX('2018_commission_structure'!$A$5:$J$8,MATCH(Calculations!$E285,'2018_commission_structure'!$A$5:$A$8,0),MATCH(Calculations!W$1,'2018_commission_structure'!$A$5:$J$5,0)),0)</f>
        <v>21250</v>
      </c>
      <c r="X285" s="2">
        <f>IF($H285&gt;J285,MIN($H285-J285,K285-J285)*INDEX('2018_commission_structure'!$A$5:$J$8,MATCH(Calculations!$E285,'2018_commission_structure'!$A$5:$A$8,0),MATCH(Calculations!X$1,'2018_commission_structure'!$A$5:$J$5,0)),0)</f>
        <v>9387.2000000000007</v>
      </c>
      <c r="Y285" s="2">
        <f>IF($H285&gt;K285,MIN($H285-K285,L285-K285)*INDEX('2018_commission_structure'!$A$5:$J$8,MATCH(Calculations!$E285,'2018_commission_structure'!$A$5:$A$8,0),MATCH(Calculations!Y$1,'2018_commission_structure'!$A$5:$J$5,0)),0)</f>
        <v>0</v>
      </c>
      <c r="Z285" s="2">
        <f xml:space="preserve"> IF(H285&gt;L285,(H285-L285)*INDEX('2018_commission_structure'!$A$11:$I$14,MATCH(Calculations!$E285,'2018_commission_structure'!$A$11:$A$14,0),MATCH(Calculations!Z$1,'2018_commission_structure'!$A$11:$I$11,0)),0)</f>
        <v>0</v>
      </c>
      <c r="AA285" s="7">
        <f t="shared" si="43"/>
        <v>90637.2</v>
      </c>
      <c r="AB285" s="7">
        <f t="shared" si="44"/>
        <v>127677.2</v>
      </c>
    </row>
    <row r="286" spans="1:28" x14ac:dyDescent="0.25">
      <c r="A286">
        <v>7824503232</v>
      </c>
      <c r="B286" t="s">
        <v>1435</v>
      </c>
      <c r="C286" t="s">
        <v>1436</v>
      </c>
      <c r="D286" t="str">
        <f>B286&amp;" "&amp;C286</f>
        <v>Artie Etheredge</v>
      </c>
      <c r="E286" t="s">
        <v>29</v>
      </c>
      <c r="F286">
        <v>79043</v>
      </c>
      <c r="G286">
        <f>COUNTIF(deals_closed!D:D,Calculations!A286)</f>
        <v>16</v>
      </c>
      <c r="H286" s="2">
        <f>SUMIF(deals_closed!D:D,Calculations!A286,deals_closed!C:C)</f>
        <v>601796</v>
      </c>
      <c r="I286" s="2">
        <f>VLOOKUP(E286,'2018_commission_structure'!$A$11:$I$14,9,FALSE)</f>
        <v>600000</v>
      </c>
      <c r="J286" s="2">
        <f t="shared" si="36"/>
        <v>750000</v>
      </c>
      <c r="K286" s="2">
        <f t="shared" si="37"/>
        <v>900000</v>
      </c>
      <c r="L286" s="2">
        <f t="shared" si="38"/>
        <v>1200000</v>
      </c>
      <c r="M286" s="6">
        <f t="shared" si="39"/>
        <v>1.0029933333333334</v>
      </c>
      <c r="N286" t="str">
        <f t="shared" si="40"/>
        <v>100-125%</v>
      </c>
      <c r="O286" s="7">
        <f>MIN(I286,H286)*INDEX('2018_commission_structure'!$A$11:$I$14,MATCH(Calculations!$E286,'2018_commission_structure'!$A$11:$A$14,0),MATCH(Calculations!O$1,'2018_commission_structure'!$A$11:$I$11,0))</f>
        <v>78000</v>
      </c>
      <c r="P286" s="7">
        <f>IF($H286&gt;I286,MIN($H286-I286,J286-I286)*INDEX('2018_commission_structure'!$A$11:$I$14,MATCH(Calculations!$E286,'2018_commission_structure'!$A$11:$A$14,0), MATCH(Calculations!P$1,'2018_commission_structure'!$A$11:$I$11,0)),0)</f>
        <v>305.32000000000005</v>
      </c>
      <c r="Q286" s="7">
        <f>IF($H286&gt;J286,MIN($H286-J286,K286-J286)*INDEX('2018_commission_structure'!$A$11:$I$14,MATCH(Calculations!$E286,'2018_commission_structure'!$A$11:$A$14,0), MATCH(Calculations!Q$1,'2018_commission_structure'!$A$11:$I$11,0)),0)</f>
        <v>0</v>
      </c>
      <c r="R286" s="7">
        <f>IF($H286&gt;K286,MIN($H286-K286,L286-K286)*INDEX('2018_commission_structure'!$A$11:$I$14,MATCH(Calculations!$E286,'2018_commission_structure'!$A$11:$A$14,0), MATCH(Calculations!R$1,'2018_commission_structure'!$A$11:$I$11,0)),0)</f>
        <v>0</v>
      </c>
      <c r="S286" s="7">
        <f>IF(H286&gt;L286,(H286-L286)*INDEX('2018_commission_structure'!$A$11:$I$14,MATCH(Calculations!$E286,'2018_commission_structure'!$A$11:$A$14,0),MATCH(Calculations!S$1,'2018_commission_structure'!$A$11:$I$11,0)),0)</f>
        <v>0</v>
      </c>
      <c r="T286" s="7">
        <f t="shared" si="41"/>
        <v>78305.320000000007</v>
      </c>
      <c r="U286" s="7">
        <f t="shared" si="42"/>
        <v>157348.32</v>
      </c>
      <c r="V286" s="7">
        <f>MIN(H286,I286)*INDEX('2018_commission_structure'!$A$5:$J$8,MATCH(Calculations!$E286,'2018_commission_structure'!$A$5:$A$8,0),MATCH(Calculations!V$1,'2018_commission_structure'!$A$5:$J$5,0))</f>
        <v>90000</v>
      </c>
      <c r="W286" s="2">
        <f>IF($H286&gt;I286,MIN($H286-I286,J286-I286)*INDEX('2018_commission_structure'!$A$5:$J$8,MATCH(Calculations!$E286,'2018_commission_structure'!$A$5:$A$8,0),MATCH(Calculations!W$1,'2018_commission_structure'!$A$5:$J$5,0)),0)</f>
        <v>323.27999999999997</v>
      </c>
      <c r="X286" s="2">
        <f>IF($H286&gt;J286,MIN($H286-J286,K286-J286)*INDEX('2018_commission_structure'!$A$5:$J$8,MATCH(Calculations!$E286,'2018_commission_structure'!$A$5:$A$8,0),MATCH(Calculations!X$1,'2018_commission_structure'!$A$5:$J$5,0)),0)</f>
        <v>0</v>
      </c>
      <c r="Y286" s="2">
        <f>IF($H286&gt;K286,MIN($H286-K286,L286-K286)*INDEX('2018_commission_structure'!$A$5:$J$8,MATCH(Calculations!$E286,'2018_commission_structure'!$A$5:$A$8,0),MATCH(Calculations!Y$1,'2018_commission_structure'!$A$5:$J$5,0)),0)</f>
        <v>0</v>
      </c>
      <c r="Z286" s="2">
        <f xml:space="preserve"> IF(H286&gt;L286,(H286-L286)*INDEX('2018_commission_structure'!$A$11:$I$14,MATCH(Calculations!$E286,'2018_commission_structure'!$A$11:$A$14,0),MATCH(Calculations!Z$1,'2018_commission_structure'!$A$11:$I$11,0)),0)</f>
        <v>0</v>
      </c>
      <c r="AA286" s="7">
        <f t="shared" si="43"/>
        <v>90323.28</v>
      </c>
      <c r="AB286" s="7">
        <f t="shared" si="44"/>
        <v>169366.28</v>
      </c>
    </row>
    <row r="287" spans="1:28" x14ac:dyDescent="0.25">
      <c r="A287">
        <v>5684780105</v>
      </c>
      <c r="B287" t="s">
        <v>1243</v>
      </c>
      <c r="C287" t="s">
        <v>1244</v>
      </c>
      <c r="D287" t="str">
        <f>B287&amp;" "&amp;C287</f>
        <v>Nathaniel Evered</v>
      </c>
      <c r="E287" t="s">
        <v>10</v>
      </c>
      <c r="F287">
        <v>99346</v>
      </c>
      <c r="G287">
        <f>COUNTIF(deals_closed!D:D,Calculations!A287)</f>
        <v>16</v>
      </c>
      <c r="H287" s="2">
        <f>SUMIF(deals_closed!D:D,Calculations!A287,deals_closed!C:C)</f>
        <v>633853</v>
      </c>
      <c r="I287" s="2">
        <f>VLOOKUP(E287,'2018_commission_structure'!$A$11:$I$14,9,FALSE)</f>
        <v>750000</v>
      </c>
      <c r="J287" s="2">
        <f t="shared" si="36"/>
        <v>937500</v>
      </c>
      <c r="K287" s="2">
        <f t="shared" si="37"/>
        <v>1125000</v>
      </c>
      <c r="L287" s="2">
        <f t="shared" si="38"/>
        <v>1500000</v>
      </c>
      <c r="M287" s="6">
        <f t="shared" si="39"/>
        <v>0.8451373333333333</v>
      </c>
      <c r="N287" t="str">
        <f t="shared" si="40"/>
        <v>0-100%</v>
      </c>
      <c r="O287" s="7">
        <f>MIN(I287,H287)*INDEX('2018_commission_structure'!$A$11:$I$14,MATCH(Calculations!$E287,'2018_commission_structure'!$A$11:$A$14,0),MATCH(Calculations!O$1,'2018_commission_structure'!$A$11:$I$11,0))</f>
        <v>95077.95</v>
      </c>
      <c r="P287" s="7">
        <f>IF($H287&gt;I287,MIN($H287-I287,J287-I287)*INDEX('2018_commission_structure'!$A$11:$I$14,MATCH(Calculations!$E287,'2018_commission_structure'!$A$11:$A$14,0), MATCH(Calculations!P$1,'2018_commission_structure'!$A$11:$I$11,0)),0)</f>
        <v>0</v>
      </c>
      <c r="Q287" s="7">
        <f>IF($H287&gt;J287,MIN($H287-J287,K287-J287)*INDEX('2018_commission_structure'!$A$11:$I$14,MATCH(Calculations!$E287,'2018_commission_structure'!$A$11:$A$14,0), MATCH(Calculations!Q$1,'2018_commission_structure'!$A$11:$I$11,0)),0)</f>
        <v>0</v>
      </c>
      <c r="R287" s="7">
        <f>IF($H287&gt;K287,MIN($H287-K287,L287-K287)*INDEX('2018_commission_structure'!$A$11:$I$14,MATCH(Calculations!$E287,'2018_commission_structure'!$A$11:$A$14,0), MATCH(Calculations!R$1,'2018_commission_structure'!$A$11:$I$11,0)),0)</f>
        <v>0</v>
      </c>
      <c r="S287" s="7">
        <f>IF(H287&gt;L287,(H287-L287)*INDEX('2018_commission_structure'!$A$11:$I$14,MATCH(Calculations!$E287,'2018_commission_structure'!$A$11:$A$14,0),MATCH(Calculations!S$1,'2018_commission_structure'!$A$11:$I$11,0)),0)</f>
        <v>0</v>
      </c>
      <c r="T287" s="7">
        <f t="shared" si="41"/>
        <v>95077.95</v>
      </c>
      <c r="U287" s="7">
        <f t="shared" si="42"/>
        <v>194423.95</v>
      </c>
      <c r="V287" s="7">
        <f>MIN(H287,I287)*INDEX('2018_commission_structure'!$A$5:$J$8,MATCH(Calculations!$E287,'2018_commission_structure'!$A$5:$A$8,0),MATCH(Calculations!V$1,'2018_commission_structure'!$A$5:$J$5,0))</f>
        <v>95077.95</v>
      </c>
      <c r="W287" s="2">
        <f>IF($H287&gt;I287,MIN($H287-I287,J287-I287)*INDEX('2018_commission_structure'!$A$5:$J$8,MATCH(Calculations!$E287,'2018_commission_structure'!$A$5:$A$8,0),MATCH(Calculations!W$1,'2018_commission_structure'!$A$5:$J$5,0)),0)</f>
        <v>0</v>
      </c>
      <c r="X287" s="2">
        <f>IF($H287&gt;J287,MIN($H287-J287,K287-J287)*INDEX('2018_commission_structure'!$A$5:$J$8,MATCH(Calculations!$E287,'2018_commission_structure'!$A$5:$A$8,0),MATCH(Calculations!X$1,'2018_commission_structure'!$A$5:$J$5,0)),0)</f>
        <v>0</v>
      </c>
      <c r="Y287" s="2">
        <f>IF($H287&gt;K287,MIN($H287-K287,L287-K287)*INDEX('2018_commission_structure'!$A$5:$J$8,MATCH(Calculations!$E287,'2018_commission_structure'!$A$5:$A$8,0),MATCH(Calculations!Y$1,'2018_commission_structure'!$A$5:$J$5,0)),0)</f>
        <v>0</v>
      </c>
      <c r="Z287" s="2">
        <f xml:space="preserve"> IF(H287&gt;L287,(H287-L287)*INDEX('2018_commission_structure'!$A$11:$I$14,MATCH(Calculations!$E287,'2018_commission_structure'!$A$11:$A$14,0),MATCH(Calculations!Z$1,'2018_commission_structure'!$A$11:$I$11,0)),0)</f>
        <v>0</v>
      </c>
      <c r="AA287" s="7">
        <f t="shared" si="43"/>
        <v>95077.95</v>
      </c>
      <c r="AB287" s="7">
        <f t="shared" si="44"/>
        <v>194423.95</v>
      </c>
    </row>
    <row r="288" spans="1:28" x14ac:dyDescent="0.25">
      <c r="A288">
        <v>7673188813</v>
      </c>
      <c r="B288" t="s">
        <v>557</v>
      </c>
      <c r="C288" t="s">
        <v>558</v>
      </c>
      <c r="D288" t="str">
        <f>B288&amp;" "&amp;C288</f>
        <v>Jorie Everex</v>
      </c>
      <c r="E288" t="s">
        <v>29</v>
      </c>
      <c r="F288">
        <v>72533</v>
      </c>
      <c r="G288">
        <f>COUNTIF(deals_closed!D:D,Calculations!A288)</f>
        <v>20</v>
      </c>
      <c r="H288" s="2">
        <f>SUMIF(deals_closed!D:D,Calculations!A288,deals_closed!C:C)</f>
        <v>766017</v>
      </c>
      <c r="I288" s="2">
        <f>VLOOKUP(E288,'2018_commission_structure'!$A$11:$I$14,9,FALSE)</f>
        <v>600000</v>
      </c>
      <c r="J288" s="2">
        <f t="shared" si="36"/>
        <v>750000</v>
      </c>
      <c r="K288" s="2">
        <f t="shared" si="37"/>
        <v>900000</v>
      </c>
      <c r="L288" s="2">
        <f t="shared" si="38"/>
        <v>1200000</v>
      </c>
      <c r="M288" s="6">
        <f t="shared" si="39"/>
        <v>1.2766949999999999</v>
      </c>
      <c r="N288" t="str">
        <f t="shared" si="40"/>
        <v>125-150%</v>
      </c>
      <c r="O288" s="7">
        <f>MIN(I288,H288)*INDEX('2018_commission_structure'!$A$11:$I$14,MATCH(Calculations!$E288,'2018_commission_structure'!$A$11:$A$14,0),MATCH(Calculations!O$1,'2018_commission_structure'!$A$11:$I$11,0))</f>
        <v>78000</v>
      </c>
      <c r="P288" s="7">
        <f>IF($H288&gt;I288,MIN($H288-I288,J288-I288)*INDEX('2018_commission_structure'!$A$11:$I$14,MATCH(Calculations!$E288,'2018_commission_structure'!$A$11:$A$14,0), MATCH(Calculations!P$1,'2018_commission_structure'!$A$11:$I$11,0)),0)</f>
        <v>25500.000000000004</v>
      </c>
      <c r="Q288" s="7">
        <f>IF($H288&gt;J288,MIN($H288-J288,K288-J288)*INDEX('2018_commission_structure'!$A$11:$I$14,MATCH(Calculations!$E288,'2018_commission_structure'!$A$11:$A$14,0), MATCH(Calculations!Q$1,'2018_commission_structure'!$A$11:$I$11,0)),0)</f>
        <v>3363.5699999999997</v>
      </c>
      <c r="R288" s="7">
        <f>IF($H288&gt;K288,MIN($H288-K288,L288-K288)*INDEX('2018_commission_structure'!$A$11:$I$14,MATCH(Calculations!$E288,'2018_commission_structure'!$A$11:$A$14,0), MATCH(Calculations!R$1,'2018_commission_structure'!$A$11:$I$11,0)),0)</f>
        <v>0</v>
      </c>
      <c r="S288" s="7">
        <f>IF(H288&gt;L288,(H288-L288)*INDEX('2018_commission_structure'!$A$11:$I$14,MATCH(Calculations!$E288,'2018_commission_structure'!$A$11:$A$14,0),MATCH(Calculations!S$1,'2018_commission_structure'!$A$11:$I$11,0)),0)</f>
        <v>0</v>
      </c>
      <c r="T288" s="7">
        <f t="shared" si="41"/>
        <v>106863.57</v>
      </c>
      <c r="U288" s="7">
        <f t="shared" si="42"/>
        <v>179396.57</v>
      </c>
      <c r="V288" s="7">
        <f>MIN(H288,I288)*INDEX('2018_commission_structure'!$A$5:$J$8,MATCH(Calculations!$E288,'2018_commission_structure'!$A$5:$A$8,0),MATCH(Calculations!V$1,'2018_commission_structure'!$A$5:$J$5,0))</f>
        <v>90000</v>
      </c>
      <c r="W288" s="2">
        <f>IF($H288&gt;I288,MIN($H288-I288,J288-I288)*INDEX('2018_commission_structure'!$A$5:$J$8,MATCH(Calculations!$E288,'2018_commission_structure'!$A$5:$A$8,0),MATCH(Calculations!W$1,'2018_commission_structure'!$A$5:$J$5,0)),0)</f>
        <v>27000</v>
      </c>
      <c r="X288" s="2">
        <f>IF($H288&gt;J288,MIN($H288-J288,K288-J288)*INDEX('2018_commission_structure'!$A$5:$J$8,MATCH(Calculations!$E288,'2018_commission_structure'!$A$5:$A$8,0),MATCH(Calculations!X$1,'2018_commission_structure'!$A$5:$J$5,0)),0)</f>
        <v>4004.25</v>
      </c>
      <c r="Y288" s="2">
        <f>IF($H288&gt;K288,MIN($H288-K288,L288-K288)*INDEX('2018_commission_structure'!$A$5:$J$8,MATCH(Calculations!$E288,'2018_commission_structure'!$A$5:$A$8,0),MATCH(Calculations!Y$1,'2018_commission_structure'!$A$5:$J$5,0)),0)</f>
        <v>0</v>
      </c>
      <c r="Z288" s="2">
        <f xml:space="preserve"> IF(H288&gt;L288,(H288-L288)*INDEX('2018_commission_structure'!$A$11:$I$14,MATCH(Calculations!$E288,'2018_commission_structure'!$A$11:$A$14,0),MATCH(Calculations!Z$1,'2018_commission_structure'!$A$11:$I$11,0)),0)</f>
        <v>0</v>
      </c>
      <c r="AA288" s="7">
        <f t="shared" si="43"/>
        <v>121004.25</v>
      </c>
      <c r="AB288" s="7">
        <f t="shared" si="44"/>
        <v>193537.25</v>
      </c>
    </row>
    <row r="289" spans="1:28" x14ac:dyDescent="0.25">
      <c r="A289">
        <v>7242677408</v>
      </c>
      <c r="B289" t="s">
        <v>1133</v>
      </c>
      <c r="C289" t="s">
        <v>1134</v>
      </c>
      <c r="D289" t="str">
        <f>B289&amp;" "&amp;C289</f>
        <v>Dexter Ewington</v>
      </c>
      <c r="E289" t="s">
        <v>10</v>
      </c>
      <c r="F289">
        <v>86868</v>
      </c>
      <c r="G289">
        <f>COUNTIF(deals_closed!D:D,Calculations!A289)</f>
        <v>9</v>
      </c>
      <c r="H289" s="2">
        <f>SUMIF(deals_closed!D:D,Calculations!A289,deals_closed!C:C)</f>
        <v>317530</v>
      </c>
      <c r="I289" s="2">
        <f>VLOOKUP(E289,'2018_commission_structure'!$A$11:$I$14,9,FALSE)</f>
        <v>750000</v>
      </c>
      <c r="J289" s="2">
        <f t="shared" si="36"/>
        <v>937500</v>
      </c>
      <c r="K289" s="2">
        <f t="shared" si="37"/>
        <v>1125000</v>
      </c>
      <c r="L289" s="2">
        <f t="shared" si="38"/>
        <v>1500000</v>
      </c>
      <c r="M289" s="6">
        <f t="shared" si="39"/>
        <v>0.42337333333333332</v>
      </c>
      <c r="N289" t="str">
        <f t="shared" si="40"/>
        <v>0-100%</v>
      </c>
      <c r="O289" s="7">
        <f>MIN(I289,H289)*INDEX('2018_commission_structure'!$A$11:$I$14,MATCH(Calculations!$E289,'2018_commission_structure'!$A$11:$A$14,0),MATCH(Calculations!O$1,'2018_commission_structure'!$A$11:$I$11,0))</f>
        <v>47629.5</v>
      </c>
      <c r="P289" s="7">
        <f>IF($H289&gt;I289,MIN($H289-I289,J289-I289)*INDEX('2018_commission_structure'!$A$11:$I$14,MATCH(Calculations!$E289,'2018_commission_structure'!$A$11:$A$14,0), MATCH(Calculations!P$1,'2018_commission_structure'!$A$11:$I$11,0)),0)</f>
        <v>0</v>
      </c>
      <c r="Q289" s="7">
        <f>IF($H289&gt;J289,MIN($H289-J289,K289-J289)*INDEX('2018_commission_structure'!$A$11:$I$14,MATCH(Calculations!$E289,'2018_commission_structure'!$A$11:$A$14,0), MATCH(Calculations!Q$1,'2018_commission_structure'!$A$11:$I$11,0)),0)</f>
        <v>0</v>
      </c>
      <c r="R289" s="7">
        <f>IF($H289&gt;K289,MIN($H289-K289,L289-K289)*INDEX('2018_commission_structure'!$A$11:$I$14,MATCH(Calculations!$E289,'2018_commission_structure'!$A$11:$A$14,0), MATCH(Calculations!R$1,'2018_commission_structure'!$A$11:$I$11,0)),0)</f>
        <v>0</v>
      </c>
      <c r="S289" s="7">
        <f>IF(H289&gt;L289,(H289-L289)*INDEX('2018_commission_structure'!$A$11:$I$14,MATCH(Calculations!$E289,'2018_commission_structure'!$A$11:$A$14,0),MATCH(Calculations!S$1,'2018_commission_structure'!$A$11:$I$11,0)),0)</f>
        <v>0</v>
      </c>
      <c r="T289" s="7">
        <f t="shared" si="41"/>
        <v>47629.5</v>
      </c>
      <c r="U289" s="7">
        <f t="shared" si="42"/>
        <v>134497.5</v>
      </c>
      <c r="V289" s="7">
        <f>MIN(H289,I289)*INDEX('2018_commission_structure'!$A$5:$J$8,MATCH(Calculations!$E289,'2018_commission_structure'!$A$5:$A$8,0),MATCH(Calculations!V$1,'2018_commission_structure'!$A$5:$J$5,0))</f>
        <v>47629.5</v>
      </c>
      <c r="W289" s="2">
        <f>IF($H289&gt;I289,MIN($H289-I289,J289-I289)*INDEX('2018_commission_structure'!$A$5:$J$8,MATCH(Calculations!$E289,'2018_commission_structure'!$A$5:$A$8,0),MATCH(Calculations!W$1,'2018_commission_structure'!$A$5:$J$5,0)),0)</f>
        <v>0</v>
      </c>
      <c r="X289" s="2">
        <f>IF($H289&gt;J289,MIN($H289-J289,K289-J289)*INDEX('2018_commission_structure'!$A$5:$J$8,MATCH(Calculations!$E289,'2018_commission_structure'!$A$5:$A$8,0),MATCH(Calculations!X$1,'2018_commission_structure'!$A$5:$J$5,0)),0)</f>
        <v>0</v>
      </c>
      <c r="Y289" s="2">
        <f>IF($H289&gt;K289,MIN($H289-K289,L289-K289)*INDEX('2018_commission_structure'!$A$5:$J$8,MATCH(Calculations!$E289,'2018_commission_structure'!$A$5:$A$8,0),MATCH(Calculations!Y$1,'2018_commission_structure'!$A$5:$J$5,0)),0)</f>
        <v>0</v>
      </c>
      <c r="Z289" s="2">
        <f xml:space="preserve"> IF(H289&gt;L289,(H289-L289)*INDEX('2018_commission_structure'!$A$11:$I$14,MATCH(Calculations!$E289,'2018_commission_structure'!$A$11:$A$14,0),MATCH(Calculations!Z$1,'2018_commission_structure'!$A$11:$I$11,0)),0)</f>
        <v>0</v>
      </c>
      <c r="AA289" s="7">
        <f t="shared" si="43"/>
        <v>47629.5</v>
      </c>
      <c r="AB289" s="7">
        <f t="shared" si="44"/>
        <v>134497.5</v>
      </c>
    </row>
    <row r="290" spans="1:28" x14ac:dyDescent="0.25">
      <c r="A290">
        <v>7688943361</v>
      </c>
      <c r="B290" t="s">
        <v>1789</v>
      </c>
      <c r="C290" t="s">
        <v>1790</v>
      </c>
      <c r="D290" t="str">
        <f>B290&amp;" "&amp;C290</f>
        <v>Saree Exrol</v>
      </c>
      <c r="E290" t="s">
        <v>10</v>
      </c>
      <c r="F290">
        <v>113364</v>
      </c>
      <c r="G290">
        <f>COUNTIF(deals_closed!D:D,Calculations!A290)</f>
        <v>24</v>
      </c>
      <c r="H290" s="2">
        <f>SUMIF(deals_closed!D:D,Calculations!A290,deals_closed!C:C)</f>
        <v>818193</v>
      </c>
      <c r="I290" s="2">
        <f>VLOOKUP(E290,'2018_commission_structure'!$A$11:$I$14,9,FALSE)</f>
        <v>750000</v>
      </c>
      <c r="J290" s="2">
        <f t="shared" si="36"/>
        <v>937500</v>
      </c>
      <c r="K290" s="2">
        <f t="shared" si="37"/>
        <v>1125000</v>
      </c>
      <c r="L290" s="2">
        <f t="shared" si="38"/>
        <v>1500000</v>
      </c>
      <c r="M290" s="6">
        <f t="shared" si="39"/>
        <v>1.090924</v>
      </c>
      <c r="N290" t="str">
        <f t="shared" si="40"/>
        <v>100-125%</v>
      </c>
      <c r="O290" s="7">
        <f>MIN(I290,H290)*INDEX('2018_commission_structure'!$A$11:$I$14,MATCH(Calculations!$E290,'2018_commission_structure'!$A$11:$A$14,0),MATCH(Calculations!O$1,'2018_commission_structure'!$A$11:$I$11,0))</f>
        <v>112500</v>
      </c>
      <c r="P290" s="7">
        <f>IF($H290&gt;I290,MIN($H290-I290,J290-I290)*INDEX('2018_commission_structure'!$A$11:$I$14,MATCH(Calculations!$E290,'2018_commission_structure'!$A$11:$A$14,0), MATCH(Calculations!P$1,'2018_commission_structure'!$A$11:$I$11,0)),0)</f>
        <v>12956.67</v>
      </c>
      <c r="Q290" s="7">
        <f>IF($H290&gt;J290,MIN($H290-J290,K290-J290)*INDEX('2018_commission_structure'!$A$11:$I$14,MATCH(Calculations!$E290,'2018_commission_structure'!$A$11:$A$14,0), MATCH(Calculations!Q$1,'2018_commission_structure'!$A$11:$I$11,0)),0)</f>
        <v>0</v>
      </c>
      <c r="R290" s="7">
        <f>IF($H290&gt;K290,MIN($H290-K290,L290-K290)*INDEX('2018_commission_structure'!$A$11:$I$14,MATCH(Calculations!$E290,'2018_commission_structure'!$A$11:$A$14,0), MATCH(Calculations!R$1,'2018_commission_structure'!$A$11:$I$11,0)),0)</f>
        <v>0</v>
      </c>
      <c r="S290" s="7">
        <f>IF(H290&gt;L290,(H290-L290)*INDEX('2018_commission_structure'!$A$11:$I$14,MATCH(Calculations!$E290,'2018_commission_structure'!$A$11:$A$14,0),MATCH(Calculations!S$1,'2018_commission_structure'!$A$11:$I$11,0)),0)</f>
        <v>0</v>
      </c>
      <c r="T290" s="7">
        <f t="shared" si="41"/>
        <v>125456.67</v>
      </c>
      <c r="U290" s="7">
        <f t="shared" si="42"/>
        <v>238820.66999999998</v>
      </c>
      <c r="V290" s="7">
        <f>MIN(H290,I290)*INDEX('2018_commission_structure'!$A$5:$J$8,MATCH(Calculations!$E290,'2018_commission_structure'!$A$5:$A$8,0),MATCH(Calculations!V$1,'2018_commission_structure'!$A$5:$J$5,0))</f>
        <v>112500</v>
      </c>
      <c r="W290" s="2">
        <f>IF($H290&gt;I290,MIN($H290-I290,J290-I290)*INDEX('2018_commission_structure'!$A$5:$J$8,MATCH(Calculations!$E290,'2018_commission_structure'!$A$5:$A$8,0),MATCH(Calculations!W$1,'2018_commission_structure'!$A$5:$J$5,0)),0)</f>
        <v>15002.460000000001</v>
      </c>
      <c r="X290" s="2">
        <f>IF($H290&gt;J290,MIN($H290-J290,K290-J290)*INDEX('2018_commission_structure'!$A$5:$J$8,MATCH(Calculations!$E290,'2018_commission_structure'!$A$5:$A$8,0),MATCH(Calculations!X$1,'2018_commission_structure'!$A$5:$J$5,0)),0)</f>
        <v>0</v>
      </c>
      <c r="Y290" s="2">
        <f>IF($H290&gt;K290,MIN($H290-K290,L290-K290)*INDEX('2018_commission_structure'!$A$5:$J$8,MATCH(Calculations!$E290,'2018_commission_structure'!$A$5:$A$8,0),MATCH(Calculations!Y$1,'2018_commission_structure'!$A$5:$J$5,0)),0)</f>
        <v>0</v>
      </c>
      <c r="Z290" s="2">
        <f xml:space="preserve"> IF(H290&gt;L290,(H290-L290)*INDEX('2018_commission_structure'!$A$11:$I$14,MATCH(Calculations!$E290,'2018_commission_structure'!$A$11:$A$14,0),MATCH(Calculations!Z$1,'2018_commission_structure'!$A$11:$I$11,0)),0)</f>
        <v>0</v>
      </c>
      <c r="AA290" s="7">
        <f t="shared" si="43"/>
        <v>127502.46</v>
      </c>
      <c r="AB290" s="7">
        <f t="shared" si="44"/>
        <v>240866.46000000002</v>
      </c>
    </row>
    <row r="291" spans="1:28" x14ac:dyDescent="0.25">
      <c r="A291">
        <v>1062607929</v>
      </c>
      <c r="B291" t="s">
        <v>371</v>
      </c>
      <c r="C291" t="s">
        <v>372</v>
      </c>
      <c r="D291" t="str">
        <f>B291&amp;" "&amp;C291</f>
        <v>Ranice Exton</v>
      </c>
      <c r="E291" t="s">
        <v>10</v>
      </c>
      <c r="F291">
        <v>101824</v>
      </c>
      <c r="G291">
        <f>COUNTIF(deals_closed!D:D,Calculations!A291)</f>
        <v>29</v>
      </c>
      <c r="H291" s="2">
        <f>SUMIF(deals_closed!D:D,Calculations!A291,deals_closed!C:C)</f>
        <v>995076</v>
      </c>
      <c r="I291" s="2">
        <f>VLOOKUP(E291,'2018_commission_structure'!$A$11:$I$14,9,FALSE)</f>
        <v>750000</v>
      </c>
      <c r="J291" s="2">
        <f t="shared" si="36"/>
        <v>937500</v>
      </c>
      <c r="K291" s="2">
        <f t="shared" si="37"/>
        <v>1125000</v>
      </c>
      <c r="L291" s="2">
        <f t="shared" si="38"/>
        <v>1500000</v>
      </c>
      <c r="M291" s="6">
        <f t="shared" si="39"/>
        <v>1.3267679999999999</v>
      </c>
      <c r="N291" t="str">
        <f t="shared" si="40"/>
        <v>125-150%</v>
      </c>
      <c r="O291" s="7">
        <f>MIN(I291,H291)*INDEX('2018_commission_structure'!$A$11:$I$14,MATCH(Calculations!$E291,'2018_commission_structure'!$A$11:$A$14,0),MATCH(Calculations!O$1,'2018_commission_structure'!$A$11:$I$11,0))</f>
        <v>112500</v>
      </c>
      <c r="P291" s="7">
        <f>IF($H291&gt;I291,MIN($H291-I291,J291-I291)*INDEX('2018_commission_structure'!$A$11:$I$14,MATCH(Calculations!$E291,'2018_commission_structure'!$A$11:$A$14,0), MATCH(Calculations!P$1,'2018_commission_structure'!$A$11:$I$11,0)),0)</f>
        <v>35625</v>
      </c>
      <c r="Q291" s="7">
        <f>IF($H291&gt;J291,MIN($H291-J291,K291-J291)*INDEX('2018_commission_structure'!$A$11:$I$14,MATCH(Calculations!$E291,'2018_commission_structure'!$A$11:$A$14,0), MATCH(Calculations!Q$1,'2018_commission_structure'!$A$11:$I$11,0)),0)</f>
        <v>13242.480000000001</v>
      </c>
      <c r="R291" s="7">
        <f>IF($H291&gt;K291,MIN($H291-K291,L291-K291)*INDEX('2018_commission_structure'!$A$11:$I$14,MATCH(Calculations!$E291,'2018_commission_structure'!$A$11:$A$14,0), MATCH(Calculations!R$1,'2018_commission_structure'!$A$11:$I$11,0)),0)</f>
        <v>0</v>
      </c>
      <c r="S291" s="7">
        <f>IF(H291&gt;L291,(H291-L291)*INDEX('2018_commission_structure'!$A$11:$I$14,MATCH(Calculations!$E291,'2018_commission_structure'!$A$11:$A$14,0),MATCH(Calculations!S$1,'2018_commission_structure'!$A$11:$I$11,0)),0)</f>
        <v>0</v>
      </c>
      <c r="T291" s="7">
        <f t="shared" si="41"/>
        <v>161367.48000000001</v>
      </c>
      <c r="U291" s="7">
        <f t="shared" si="42"/>
        <v>263191.48</v>
      </c>
      <c r="V291" s="7">
        <f>MIN(H291,I291)*INDEX('2018_commission_structure'!$A$5:$J$8,MATCH(Calculations!$E291,'2018_commission_structure'!$A$5:$A$8,0),MATCH(Calculations!V$1,'2018_commission_structure'!$A$5:$J$5,0))</f>
        <v>112500</v>
      </c>
      <c r="W291" s="2">
        <f>IF($H291&gt;I291,MIN($H291-I291,J291-I291)*INDEX('2018_commission_structure'!$A$5:$J$8,MATCH(Calculations!$E291,'2018_commission_structure'!$A$5:$A$8,0),MATCH(Calculations!W$1,'2018_commission_structure'!$A$5:$J$5,0)),0)</f>
        <v>41250</v>
      </c>
      <c r="X291" s="2">
        <f>IF($H291&gt;J291,MIN($H291-J291,K291-J291)*INDEX('2018_commission_structure'!$A$5:$J$8,MATCH(Calculations!$E291,'2018_commission_structure'!$A$5:$A$8,0),MATCH(Calculations!X$1,'2018_commission_structure'!$A$5:$J$5,0)),0)</f>
        <v>14394</v>
      </c>
      <c r="Y291" s="2">
        <f>IF($H291&gt;K291,MIN($H291-K291,L291-K291)*INDEX('2018_commission_structure'!$A$5:$J$8,MATCH(Calculations!$E291,'2018_commission_structure'!$A$5:$A$8,0),MATCH(Calculations!Y$1,'2018_commission_structure'!$A$5:$J$5,0)),0)</f>
        <v>0</v>
      </c>
      <c r="Z291" s="2">
        <f xml:space="preserve"> IF(H291&gt;L291,(H291-L291)*INDEX('2018_commission_structure'!$A$11:$I$14,MATCH(Calculations!$E291,'2018_commission_structure'!$A$11:$A$14,0),MATCH(Calculations!Z$1,'2018_commission_structure'!$A$11:$I$11,0)),0)</f>
        <v>0</v>
      </c>
      <c r="AA291" s="7">
        <f t="shared" si="43"/>
        <v>168144</v>
      </c>
      <c r="AB291" s="7">
        <f t="shared" si="44"/>
        <v>269968</v>
      </c>
    </row>
    <row r="292" spans="1:28" x14ac:dyDescent="0.25">
      <c r="A292">
        <v>960994726</v>
      </c>
      <c r="B292" t="s">
        <v>1105</v>
      </c>
      <c r="C292" t="s">
        <v>372</v>
      </c>
      <c r="D292" t="str">
        <f>B292&amp;" "&amp;C292</f>
        <v>Nichols Exton</v>
      </c>
      <c r="E292" t="s">
        <v>29</v>
      </c>
      <c r="F292">
        <v>76727</v>
      </c>
      <c r="G292">
        <f>COUNTIF(deals_closed!D:D,Calculations!A292)</f>
        <v>20</v>
      </c>
      <c r="H292" s="2">
        <f>SUMIF(deals_closed!D:D,Calculations!A292,deals_closed!C:C)</f>
        <v>746897</v>
      </c>
      <c r="I292" s="2">
        <f>VLOOKUP(E292,'2018_commission_structure'!$A$11:$I$14,9,FALSE)</f>
        <v>600000</v>
      </c>
      <c r="J292" s="2">
        <f t="shared" si="36"/>
        <v>750000</v>
      </c>
      <c r="K292" s="2">
        <f t="shared" si="37"/>
        <v>900000</v>
      </c>
      <c r="L292" s="2">
        <f t="shared" si="38"/>
        <v>1200000</v>
      </c>
      <c r="M292" s="6">
        <f t="shared" si="39"/>
        <v>1.2448283333333334</v>
      </c>
      <c r="N292" t="str">
        <f t="shared" si="40"/>
        <v>100-125%</v>
      </c>
      <c r="O292" s="7">
        <f>MIN(I292,H292)*INDEX('2018_commission_structure'!$A$11:$I$14,MATCH(Calculations!$E292,'2018_commission_structure'!$A$11:$A$14,0),MATCH(Calculations!O$1,'2018_commission_structure'!$A$11:$I$11,0))</f>
        <v>78000</v>
      </c>
      <c r="P292" s="7">
        <f>IF($H292&gt;I292,MIN($H292-I292,J292-I292)*INDEX('2018_commission_structure'!$A$11:$I$14,MATCH(Calculations!$E292,'2018_commission_structure'!$A$11:$A$14,0), MATCH(Calculations!P$1,'2018_commission_structure'!$A$11:$I$11,0)),0)</f>
        <v>24972.49</v>
      </c>
      <c r="Q292" s="7">
        <f>IF($H292&gt;J292,MIN($H292-J292,K292-J292)*INDEX('2018_commission_structure'!$A$11:$I$14,MATCH(Calculations!$E292,'2018_commission_structure'!$A$11:$A$14,0), MATCH(Calculations!Q$1,'2018_commission_structure'!$A$11:$I$11,0)),0)</f>
        <v>0</v>
      </c>
      <c r="R292" s="7">
        <f>IF($H292&gt;K292,MIN($H292-K292,L292-K292)*INDEX('2018_commission_structure'!$A$11:$I$14,MATCH(Calculations!$E292,'2018_commission_structure'!$A$11:$A$14,0), MATCH(Calculations!R$1,'2018_commission_structure'!$A$11:$I$11,0)),0)</f>
        <v>0</v>
      </c>
      <c r="S292" s="7">
        <f>IF(H292&gt;L292,(H292-L292)*INDEX('2018_commission_structure'!$A$11:$I$14,MATCH(Calculations!$E292,'2018_commission_structure'!$A$11:$A$14,0),MATCH(Calculations!S$1,'2018_commission_structure'!$A$11:$I$11,0)),0)</f>
        <v>0</v>
      </c>
      <c r="T292" s="7">
        <f t="shared" si="41"/>
        <v>102972.49</v>
      </c>
      <c r="U292" s="7">
        <f t="shared" si="42"/>
        <v>179699.49</v>
      </c>
      <c r="V292" s="7">
        <f>MIN(H292,I292)*INDEX('2018_commission_structure'!$A$5:$J$8,MATCH(Calculations!$E292,'2018_commission_structure'!$A$5:$A$8,0),MATCH(Calculations!V$1,'2018_commission_structure'!$A$5:$J$5,0))</f>
        <v>90000</v>
      </c>
      <c r="W292" s="2">
        <f>IF($H292&gt;I292,MIN($H292-I292,J292-I292)*INDEX('2018_commission_structure'!$A$5:$J$8,MATCH(Calculations!$E292,'2018_commission_structure'!$A$5:$A$8,0),MATCH(Calculations!W$1,'2018_commission_structure'!$A$5:$J$5,0)),0)</f>
        <v>26441.46</v>
      </c>
      <c r="X292" s="2">
        <f>IF($H292&gt;J292,MIN($H292-J292,K292-J292)*INDEX('2018_commission_structure'!$A$5:$J$8,MATCH(Calculations!$E292,'2018_commission_structure'!$A$5:$A$8,0),MATCH(Calculations!X$1,'2018_commission_structure'!$A$5:$J$5,0)),0)</f>
        <v>0</v>
      </c>
      <c r="Y292" s="2">
        <f>IF($H292&gt;K292,MIN($H292-K292,L292-K292)*INDEX('2018_commission_structure'!$A$5:$J$8,MATCH(Calculations!$E292,'2018_commission_structure'!$A$5:$A$8,0),MATCH(Calculations!Y$1,'2018_commission_structure'!$A$5:$J$5,0)),0)</f>
        <v>0</v>
      </c>
      <c r="Z292" s="2">
        <f xml:space="preserve"> IF(H292&gt;L292,(H292-L292)*INDEX('2018_commission_structure'!$A$11:$I$14,MATCH(Calculations!$E292,'2018_commission_structure'!$A$11:$A$14,0),MATCH(Calculations!Z$1,'2018_commission_structure'!$A$11:$I$11,0)),0)</f>
        <v>0</v>
      </c>
      <c r="AA292" s="7">
        <f t="shared" si="43"/>
        <v>116441.45999999999</v>
      </c>
      <c r="AB292" s="7">
        <f t="shared" si="44"/>
        <v>193168.46</v>
      </c>
    </row>
    <row r="293" spans="1:28" x14ac:dyDescent="0.25">
      <c r="A293">
        <v>7961231404</v>
      </c>
      <c r="B293" t="s">
        <v>1572</v>
      </c>
      <c r="C293" t="s">
        <v>1573</v>
      </c>
      <c r="D293" t="str">
        <f>B293&amp;" "&amp;C293</f>
        <v>Donelle Eyckelbeck</v>
      </c>
      <c r="E293" t="s">
        <v>29</v>
      </c>
      <c r="F293">
        <v>59253</v>
      </c>
      <c r="G293">
        <f>COUNTIF(deals_closed!D:D,Calculations!A293)</f>
        <v>25</v>
      </c>
      <c r="H293" s="2">
        <f>SUMIF(deals_closed!D:D,Calculations!A293,deals_closed!C:C)</f>
        <v>990045</v>
      </c>
      <c r="I293" s="2">
        <f>VLOOKUP(E293,'2018_commission_structure'!$A$11:$I$14,9,FALSE)</f>
        <v>600000</v>
      </c>
      <c r="J293" s="2">
        <f t="shared" si="36"/>
        <v>750000</v>
      </c>
      <c r="K293" s="2">
        <f t="shared" si="37"/>
        <v>900000</v>
      </c>
      <c r="L293" s="2">
        <f t="shared" si="38"/>
        <v>1200000</v>
      </c>
      <c r="M293" s="6">
        <f t="shared" si="39"/>
        <v>1.650075</v>
      </c>
      <c r="N293" t="str">
        <f t="shared" si="40"/>
        <v>150-200%</v>
      </c>
      <c r="O293" s="7">
        <f>MIN(I293,H293)*INDEX('2018_commission_structure'!$A$11:$I$14,MATCH(Calculations!$E293,'2018_commission_structure'!$A$11:$A$14,0),MATCH(Calculations!O$1,'2018_commission_structure'!$A$11:$I$11,0))</f>
        <v>78000</v>
      </c>
      <c r="P293" s="7">
        <f>IF($H293&gt;I293,MIN($H293-I293,J293-I293)*INDEX('2018_commission_structure'!$A$11:$I$14,MATCH(Calculations!$E293,'2018_commission_structure'!$A$11:$A$14,0), MATCH(Calculations!P$1,'2018_commission_structure'!$A$11:$I$11,0)),0)</f>
        <v>25500.000000000004</v>
      </c>
      <c r="Q293" s="7">
        <f>IF($H293&gt;J293,MIN($H293-J293,K293-J293)*INDEX('2018_commission_structure'!$A$11:$I$14,MATCH(Calculations!$E293,'2018_commission_structure'!$A$11:$A$14,0), MATCH(Calculations!Q$1,'2018_commission_structure'!$A$11:$I$11,0)),0)</f>
        <v>31500</v>
      </c>
      <c r="R293" s="7">
        <f>IF($H293&gt;K293,MIN($H293-K293,L293-K293)*INDEX('2018_commission_structure'!$A$11:$I$14,MATCH(Calculations!$E293,'2018_commission_structure'!$A$11:$A$14,0), MATCH(Calculations!R$1,'2018_commission_structure'!$A$11:$I$11,0)),0)</f>
        <v>23411.7</v>
      </c>
      <c r="S293" s="7">
        <f>IF(H293&gt;L293,(H293-L293)*INDEX('2018_commission_structure'!$A$11:$I$14,MATCH(Calculations!$E293,'2018_commission_structure'!$A$11:$A$14,0),MATCH(Calculations!S$1,'2018_commission_structure'!$A$11:$I$11,0)),0)</f>
        <v>0</v>
      </c>
      <c r="T293" s="7">
        <f t="shared" si="41"/>
        <v>158411.70000000001</v>
      </c>
      <c r="U293" s="7">
        <f t="shared" si="42"/>
        <v>217664.7</v>
      </c>
      <c r="V293" s="7">
        <f>MIN(H293,I293)*INDEX('2018_commission_structure'!$A$5:$J$8,MATCH(Calculations!$E293,'2018_commission_structure'!$A$5:$A$8,0),MATCH(Calculations!V$1,'2018_commission_structure'!$A$5:$J$5,0))</f>
        <v>90000</v>
      </c>
      <c r="W293" s="2">
        <f>IF($H293&gt;I293,MIN($H293-I293,J293-I293)*INDEX('2018_commission_structure'!$A$5:$J$8,MATCH(Calculations!$E293,'2018_commission_structure'!$A$5:$A$8,0),MATCH(Calculations!W$1,'2018_commission_structure'!$A$5:$J$5,0)),0)</f>
        <v>27000</v>
      </c>
      <c r="X293" s="2">
        <f>IF($H293&gt;J293,MIN($H293-J293,K293-J293)*INDEX('2018_commission_structure'!$A$5:$J$8,MATCH(Calculations!$E293,'2018_commission_structure'!$A$5:$A$8,0),MATCH(Calculations!X$1,'2018_commission_structure'!$A$5:$J$5,0)),0)</f>
        <v>37500</v>
      </c>
      <c r="Y293" s="2">
        <f>IF($H293&gt;K293,MIN($H293-K293,L293-K293)*INDEX('2018_commission_structure'!$A$5:$J$8,MATCH(Calculations!$E293,'2018_commission_structure'!$A$5:$A$8,0),MATCH(Calculations!Y$1,'2018_commission_structure'!$A$5:$J$5,0)),0)</f>
        <v>27013.5</v>
      </c>
      <c r="Z293" s="2">
        <f xml:space="preserve"> IF(H293&gt;L293,(H293-L293)*INDEX('2018_commission_structure'!$A$11:$I$14,MATCH(Calculations!$E293,'2018_commission_structure'!$A$11:$A$14,0),MATCH(Calculations!Z$1,'2018_commission_structure'!$A$11:$I$11,0)),0)</f>
        <v>0</v>
      </c>
      <c r="AA293" s="7">
        <f t="shared" si="43"/>
        <v>181513.5</v>
      </c>
      <c r="AB293" s="7">
        <f t="shared" si="44"/>
        <v>240766.5</v>
      </c>
    </row>
    <row r="294" spans="1:28" x14ac:dyDescent="0.25">
      <c r="A294">
        <v>7966879720</v>
      </c>
      <c r="B294" t="s">
        <v>1308</v>
      </c>
      <c r="C294" t="s">
        <v>1309</v>
      </c>
      <c r="D294" t="str">
        <f>B294&amp;" "&amp;C294</f>
        <v>Eal Ezzle</v>
      </c>
      <c r="E294" t="s">
        <v>7</v>
      </c>
      <c r="F294">
        <v>42251</v>
      </c>
      <c r="G294">
        <f>COUNTIF(deals_closed!D:D,Calculations!A294)</f>
        <v>18</v>
      </c>
      <c r="H294" s="2">
        <f>SUMIF(deals_closed!D:D,Calculations!A294,deals_closed!C:C)</f>
        <v>579015</v>
      </c>
      <c r="I294" s="2">
        <f>VLOOKUP(E294,'2018_commission_structure'!$A$11:$I$14,9,FALSE)</f>
        <v>500000</v>
      </c>
      <c r="J294" s="2">
        <f t="shared" si="36"/>
        <v>625000</v>
      </c>
      <c r="K294" s="2">
        <f t="shared" si="37"/>
        <v>750000</v>
      </c>
      <c r="L294" s="2">
        <f t="shared" si="38"/>
        <v>1000000</v>
      </c>
      <c r="M294" s="6">
        <f t="shared" si="39"/>
        <v>1.1580299999999999</v>
      </c>
      <c r="N294" t="str">
        <f t="shared" si="40"/>
        <v>100-125%</v>
      </c>
      <c r="O294" s="7">
        <f>MIN(I294,H294)*INDEX('2018_commission_structure'!$A$11:$I$14,MATCH(Calculations!$E294,'2018_commission_structure'!$A$11:$A$14,0),MATCH(Calculations!O$1,'2018_commission_structure'!$A$11:$I$11,0))</f>
        <v>50000</v>
      </c>
      <c r="P294" s="7">
        <f>IF($H294&gt;I294,MIN($H294-I294,J294-I294)*INDEX('2018_commission_structure'!$A$11:$I$14,MATCH(Calculations!$E294,'2018_commission_structure'!$A$11:$A$14,0), MATCH(Calculations!P$1,'2018_commission_structure'!$A$11:$I$11,0)),0)</f>
        <v>11852.25</v>
      </c>
      <c r="Q294" s="7">
        <f>IF($H294&gt;J294,MIN($H294-J294,K294-J294)*INDEX('2018_commission_structure'!$A$11:$I$14,MATCH(Calculations!$E294,'2018_commission_structure'!$A$11:$A$14,0), MATCH(Calculations!Q$1,'2018_commission_structure'!$A$11:$I$11,0)),0)</f>
        <v>0</v>
      </c>
      <c r="R294" s="7">
        <f>IF($H294&gt;K294,MIN($H294-K294,L294-K294)*INDEX('2018_commission_structure'!$A$11:$I$14,MATCH(Calculations!$E294,'2018_commission_structure'!$A$11:$A$14,0), MATCH(Calculations!R$1,'2018_commission_structure'!$A$11:$I$11,0)),0)</f>
        <v>0</v>
      </c>
      <c r="S294" s="7">
        <f>IF(H294&gt;L294,(H294-L294)*INDEX('2018_commission_structure'!$A$11:$I$14,MATCH(Calculations!$E294,'2018_commission_structure'!$A$11:$A$14,0),MATCH(Calculations!S$1,'2018_commission_structure'!$A$11:$I$11,0)),0)</f>
        <v>0</v>
      </c>
      <c r="T294" s="7">
        <f t="shared" si="41"/>
        <v>61852.25</v>
      </c>
      <c r="U294" s="7">
        <f t="shared" si="42"/>
        <v>104103.25</v>
      </c>
      <c r="V294" s="7">
        <f>MIN(H294,I294)*INDEX('2018_commission_structure'!$A$5:$J$8,MATCH(Calculations!$E294,'2018_commission_structure'!$A$5:$A$8,0),MATCH(Calculations!V$1,'2018_commission_structure'!$A$5:$J$5,0))</f>
        <v>60000</v>
      </c>
      <c r="W294" s="2">
        <f>IF($H294&gt;I294,MIN($H294-I294,J294-I294)*INDEX('2018_commission_structure'!$A$5:$J$8,MATCH(Calculations!$E294,'2018_commission_structure'!$A$5:$A$8,0),MATCH(Calculations!W$1,'2018_commission_structure'!$A$5:$J$5,0)),0)</f>
        <v>13432.550000000001</v>
      </c>
      <c r="X294" s="2">
        <f>IF($H294&gt;J294,MIN($H294-J294,K294-J294)*INDEX('2018_commission_structure'!$A$5:$J$8,MATCH(Calculations!$E294,'2018_commission_structure'!$A$5:$A$8,0),MATCH(Calculations!X$1,'2018_commission_structure'!$A$5:$J$5,0)),0)</f>
        <v>0</v>
      </c>
      <c r="Y294" s="2">
        <f>IF($H294&gt;K294,MIN($H294-K294,L294-K294)*INDEX('2018_commission_structure'!$A$5:$J$8,MATCH(Calculations!$E294,'2018_commission_structure'!$A$5:$A$8,0),MATCH(Calculations!Y$1,'2018_commission_structure'!$A$5:$J$5,0)),0)</f>
        <v>0</v>
      </c>
      <c r="Z294" s="2">
        <f xml:space="preserve"> IF(H294&gt;L294,(H294-L294)*INDEX('2018_commission_structure'!$A$11:$I$14,MATCH(Calculations!$E294,'2018_commission_structure'!$A$11:$A$14,0),MATCH(Calculations!Z$1,'2018_commission_structure'!$A$11:$I$11,0)),0)</f>
        <v>0</v>
      </c>
      <c r="AA294" s="7">
        <f t="shared" si="43"/>
        <v>73432.55</v>
      </c>
      <c r="AB294" s="7">
        <f t="shared" si="44"/>
        <v>115683.55</v>
      </c>
    </row>
    <row r="295" spans="1:28" x14ac:dyDescent="0.25">
      <c r="A295">
        <v>7325246862</v>
      </c>
      <c r="B295" t="s">
        <v>238</v>
      </c>
      <c r="C295" t="s">
        <v>239</v>
      </c>
      <c r="D295" t="str">
        <f>B295&amp;" "&amp;C295</f>
        <v>Rickert Fairley</v>
      </c>
      <c r="E295" t="s">
        <v>10</v>
      </c>
      <c r="F295">
        <v>113658</v>
      </c>
      <c r="G295">
        <f>COUNTIF(deals_closed!D:D,Calculations!A295)</f>
        <v>11</v>
      </c>
      <c r="H295" s="2">
        <f>SUMIF(deals_closed!D:D,Calculations!A295,deals_closed!C:C)</f>
        <v>393982</v>
      </c>
      <c r="I295" s="2">
        <f>VLOOKUP(E295,'2018_commission_structure'!$A$11:$I$14,9,FALSE)</f>
        <v>750000</v>
      </c>
      <c r="J295" s="2">
        <f t="shared" si="36"/>
        <v>937500</v>
      </c>
      <c r="K295" s="2">
        <f t="shared" si="37"/>
        <v>1125000</v>
      </c>
      <c r="L295" s="2">
        <f t="shared" si="38"/>
        <v>1500000</v>
      </c>
      <c r="M295" s="6">
        <f t="shared" si="39"/>
        <v>0.52530933333333329</v>
      </c>
      <c r="N295" t="str">
        <f t="shared" si="40"/>
        <v>0-100%</v>
      </c>
      <c r="O295" s="7">
        <f>MIN(I295,H295)*INDEX('2018_commission_structure'!$A$11:$I$14,MATCH(Calculations!$E295,'2018_commission_structure'!$A$11:$A$14,0),MATCH(Calculations!O$1,'2018_commission_structure'!$A$11:$I$11,0))</f>
        <v>59097.299999999996</v>
      </c>
      <c r="P295" s="7">
        <f>IF($H295&gt;I295,MIN($H295-I295,J295-I295)*INDEX('2018_commission_structure'!$A$11:$I$14,MATCH(Calculations!$E295,'2018_commission_structure'!$A$11:$A$14,0), MATCH(Calculations!P$1,'2018_commission_structure'!$A$11:$I$11,0)),0)</f>
        <v>0</v>
      </c>
      <c r="Q295" s="7">
        <f>IF($H295&gt;J295,MIN($H295-J295,K295-J295)*INDEX('2018_commission_structure'!$A$11:$I$14,MATCH(Calculations!$E295,'2018_commission_structure'!$A$11:$A$14,0), MATCH(Calculations!Q$1,'2018_commission_structure'!$A$11:$I$11,0)),0)</f>
        <v>0</v>
      </c>
      <c r="R295" s="7">
        <f>IF($H295&gt;K295,MIN($H295-K295,L295-K295)*INDEX('2018_commission_structure'!$A$11:$I$14,MATCH(Calculations!$E295,'2018_commission_structure'!$A$11:$A$14,0), MATCH(Calculations!R$1,'2018_commission_structure'!$A$11:$I$11,0)),0)</f>
        <v>0</v>
      </c>
      <c r="S295" s="7">
        <f>IF(H295&gt;L295,(H295-L295)*INDEX('2018_commission_structure'!$A$11:$I$14,MATCH(Calculations!$E295,'2018_commission_structure'!$A$11:$A$14,0),MATCH(Calculations!S$1,'2018_commission_structure'!$A$11:$I$11,0)),0)</f>
        <v>0</v>
      </c>
      <c r="T295" s="7">
        <f t="shared" si="41"/>
        <v>59097.299999999996</v>
      </c>
      <c r="U295" s="7">
        <f t="shared" si="42"/>
        <v>172755.3</v>
      </c>
      <c r="V295" s="7">
        <f>MIN(H295,I295)*INDEX('2018_commission_structure'!$A$5:$J$8,MATCH(Calculations!$E295,'2018_commission_structure'!$A$5:$A$8,0),MATCH(Calculations!V$1,'2018_commission_structure'!$A$5:$J$5,0))</f>
        <v>59097.299999999996</v>
      </c>
      <c r="W295" s="2">
        <f>IF($H295&gt;I295,MIN($H295-I295,J295-I295)*INDEX('2018_commission_structure'!$A$5:$J$8,MATCH(Calculations!$E295,'2018_commission_structure'!$A$5:$A$8,0),MATCH(Calculations!W$1,'2018_commission_structure'!$A$5:$J$5,0)),0)</f>
        <v>0</v>
      </c>
      <c r="X295" s="2">
        <f>IF($H295&gt;J295,MIN($H295-J295,K295-J295)*INDEX('2018_commission_structure'!$A$5:$J$8,MATCH(Calculations!$E295,'2018_commission_structure'!$A$5:$A$8,0),MATCH(Calculations!X$1,'2018_commission_structure'!$A$5:$J$5,0)),0)</f>
        <v>0</v>
      </c>
      <c r="Y295" s="2">
        <f>IF($H295&gt;K295,MIN($H295-K295,L295-K295)*INDEX('2018_commission_structure'!$A$5:$J$8,MATCH(Calculations!$E295,'2018_commission_structure'!$A$5:$A$8,0),MATCH(Calculations!Y$1,'2018_commission_structure'!$A$5:$J$5,0)),0)</f>
        <v>0</v>
      </c>
      <c r="Z295" s="2">
        <f xml:space="preserve"> IF(H295&gt;L295,(H295-L295)*INDEX('2018_commission_structure'!$A$11:$I$14,MATCH(Calculations!$E295,'2018_commission_structure'!$A$11:$A$14,0),MATCH(Calculations!Z$1,'2018_commission_structure'!$A$11:$I$11,0)),0)</f>
        <v>0</v>
      </c>
      <c r="AA295" s="7">
        <f t="shared" si="43"/>
        <v>59097.299999999996</v>
      </c>
      <c r="AB295" s="7">
        <f t="shared" si="44"/>
        <v>172755.3</v>
      </c>
    </row>
    <row r="296" spans="1:28" x14ac:dyDescent="0.25">
      <c r="A296">
        <v>9705650896</v>
      </c>
      <c r="B296" t="s">
        <v>1354</v>
      </c>
      <c r="C296" t="s">
        <v>1355</v>
      </c>
      <c r="D296" t="str">
        <f>B296&amp;" "&amp;C296</f>
        <v>Phil Falconar</v>
      </c>
      <c r="E296" t="s">
        <v>29</v>
      </c>
      <c r="F296">
        <v>54482</v>
      </c>
      <c r="G296">
        <f>COUNTIF(deals_closed!D:D,Calculations!A296)</f>
        <v>17</v>
      </c>
      <c r="H296" s="2">
        <f>SUMIF(deals_closed!D:D,Calculations!A296,deals_closed!C:C)</f>
        <v>623150</v>
      </c>
      <c r="I296" s="2">
        <f>VLOOKUP(E296,'2018_commission_structure'!$A$11:$I$14,9,FALSE)</f>
        <v>600000</v>
      </c>
      <c r="J296" s="2">
        <f t="shared" si="36"/>
        <v>750000</v>
      </c>
      <c r="K296" s="2">
        <f t="shared" si="37"/>
        <v>900000</v>
      </c>
      <c r="L296" s="2">
        <f t="shared" si="38"/>
        <v>1200000</v>
      </c>
      <c r="M296" s="6">
        <f t="shared" si="39"/>
        <v>1.0385833333333334</v>
      </c>
      <c r="N296" t="str">
        <f t="shared" si="40"/>
        <v>100-125%</v>
      </c>
      <c r="O296" s="7">
        <f>MIN(I296,H296)*INDEX('2018_commission_structure'!$A$11:$I$14,MATCH(Calculations!$E296,'2018_commission_structure'!$A$11:$A$14,0),MATCH(Calculations!O$1,'2018_commission_structure'!$A$11:$I$11,0))</f>
        <v>78000</v>
      </c>
      <c r="P296" s="7">
        <f>IF($H296&gt;I296,MIN($H296-I296,J296-I296)*INDEX('2018_commission_structure'!$A$11:$I$14,MATCH(Calculations!$E296,'2018_commission_structure'!$A$11:$A$14,0), MATCH(Calculations!P$1,'2018_commission_structure'!$A$11:$I$11,0)),0)</f>
        <v>3935.5000000000005</v>
      </c>
      <c r="Q296" s="7">
        <f>IF($H296&gt;J296,MIN($H296-J296,K296-J296)*INDEX('2018_commission_structure'!$A$11:$I$14,MATCH(Calculations!$E296,'2018_commission_structure'!$A$11:$A$14,0), MATCH(Calculations!Q$1,'2018_commission_structure'!$A$11:$I$11,0)),0)</f>
        <v>0</v>
      </c>
      <c r="R296" s="7">
        <f>IF($H296&gt;K296,MIN($H296-K296,L296-K296)*INDEX('2018_commission_structure'!$A$11:$I$14,MATCH(Calculations!$E296,'2018_commission_structure'!$A$11:$A$14,0), MATCH(Calculations!R$1,'2018_commission_structure'!$A$11:$I$11,0)),0)</f>
        <v>0</v>
      </c>
      <c r="S296" s="7">
        <f>IF(H296&gt;L296,(H296-L296)*INDEX('2018_commission_structure'!$A$11:$I$14,MATCH(Calculations!$E296,'2018_commission_structure'!$A$11:$A$14,0),MATCH(Calculations!S$1,'2018_commission_structure'!$A$11:$I$11,0)),0)</f>
        <v>0</v>
      </c>
      <c r="T296" s="7">
        <f t="shared" si="41"/>
        <v>81935.5</v>
      </c>
      <c r="U296" s="7">
        <f t="shared" si="42"/>
        <v>136417.5</v>
      </c>
      <c r="V296" s="7">
        <f>MIN(H296,I296)*INDEX('2018_commission_structure'!$A$5:$J$8,MATCH(Calculations!$E296,'2018_commission_structure'!$A$5:$A$8,0),MATCH(Calculations!V$1,'2018_commission_structure'!$A$5:$J$5,0))</f>
        <v>90000</v>
      </c>
      <c r="W296" s="2">
        <f>IF($H296&gt;I296,MIN($H296-I296,J296-I296)*INDEX('2018_commission_structure'!$A$5:$J$8,MATCH(Calculations!$E296,'2018_commission_structure'!$A$5:$A$8,0),MATCH(Calculations!W$1,'2018_commission_structure'!$A$5:$J$5,0)),0)</f>
        <v>4167</v>
      </c>
      <c r="X296" s="2">
        <f>IF($H296&gt;J296,MIN($H296-J296,K296-J296)*INDEX('2018_commission_structure'!$A$5:$J$8,MATCH(Calculations!$E296,'2018_commission_structure'!$A$5:$A$8,0),MATCH(Calculations!X$1,'2018_commission_structure'!$A$5:$J$5,0)),0)</f>
        <v>0</v>
      </c>
      <c r="Y296" s="2">
        <f>IF($H296&gt;K296,MIN($H296-K296,L296-K296)*INDEX('2018_commission_structure'!$A$5:$J$8,MATCH(Calculations!$E296,'2018_commission_structure'!$A$5:$A$8,0),MATCH(Calculations!Y$1,'2018_commission_structure'!$A$5:$J$5,0)),0)</f>
        <v>0</v>
      </c>
      <c r="Z296" s="2">
        <f xml:space="preserve"> IF(H296&gt;L296,(H296-L296)*INDEX('2018_commission_structure'!$A$11:$I$14,MATCH(Calculations!$E296,'2018_commission_structure'!$A$11:$A$14,0),MATCH(Calculations!Z$1,'2018_commission_structure'!$A$11:$I$11,0)),0)</f>
        <v>0</v>
      </c>
      <c r="AA296" s="7">
        <f t="shared" si="43"/>
        <v>94167</v>
      </c>
      <c r="AB296" s="7">
        <f t="shared" si="44"/>
        <v>148649</v>
      </c>
    </row>
    <row r="297" spans="1:28" x14ac:dyDescent="0.25">
      <c r="A297">
        <v>9597202352</v>
      </c>
      <c r="B297" t="s">
        <v>1443</v>
      </c>
      <c r="C297" t="s">
        <v>1444</v>
      </c>
      <c r="D297" t="str">
        <f>B297&amp;" "&amp;C297</f>
        <v>Arline Fallowes</v>
      </c>
      <c r="E297" t="s">
        <v>29</v>
      </c>
      <c r="F297">
        <v>65032</v>
      </c>
      <c r="G297">
        <f>COUNTIF(deals_closed!D:D,Calculations!A297)</f>
        <v>23</v>
      </c>
      <c r="H297" s="2">
        <f>SUMIF(deals_closed!D:D,Calculations!A297,deals_closed!C:C)</f>
        <v>841032</v>
      </c>
      <c r="I297" s="2">
        <f>VLOOKUP(E297,'2018_commission_structure'!$A$11:$I$14,9,FALSE)</f>
        <v>600000</v>
      </c>
      <c r="J297" s="2">
        <f t="shared" si="36"/>
        <v>750000</v>
      </c>
      <c r="K297" s="2">
        <f t="shared" si="37"/>
        <v>900000</v>
      </c>
      <c r="L297" s="2">
        <f t="shared" si="38"/>
        <v>1200000</v>
      </c>
      <c r="M297" s="6">
        <f t="shared" si="39"/>
        <v>1.4017200000000001</v>
      </c>
      <c r="N297" t="str">
        <f t="shared" si="40"/>
        <v>125-150%</v>
      </c>
      <c r="O297" s="7">
        <f>MIN(I297,H297)*INDEX('2018_commission_structure'!$A$11:$I$14,MATCH(Calculations!$E297,'2018_commission_structure'!$A$11:$A$14,0),MATCH(Calculations!O$1,'2018_commission_structure'!$A$11:$I$11,0))</f>
        <v>78000</v>
      </c>
      <c r="P297" s="7">
        <f>IF($H297&gt;I297,MIN($H297-I297,J297-I297)*INDEX('2018_commission_structure'!$A$11:$I$14,MATCH(Calculations!$E297,'2018_commission_structure'!$A$11:$A$14,0), MATCH(Calculations!P$1,'2018_commission_structure'!$A$11:$I$11,0)),0)</f>
        <v>25500.000000000004</v>
      </c>
      <c r="Q297" s="7">
        <f>IF($H297&gt;J297,MIN($H297-J297,K297-J297)*INDEX('2018_commission_structure'!$A$11:$I$14,MATCH(Calculations!$E297,'2018_commission_structure'!$A$11:$A$14,0), MATCH(Calculations!Q$1,'2018_commission_structure'!$A$11:$I$11,0)),0)</f>
        <v>19116.719999999998</v>
      </c>
      <c r="R297" s="7">
        <f>IF($H297&gt;K297,MIN($H297-K297,L297-K297)*INDEX('2018_commission_structure'!$A$11:$I$14,MATCH(Calculations!$E297,'2018_commission_structure'!$A$11:$A$14,0), MATCH(Calculations!R$1,'2018_commission_structure'!$A$11:$I$11,0)),0)</f>
        <v>0</v>
      </c>
      <c r="S297" s="7">
        <f>IF(H297&gt;L297,(H297-L297)*INDEX('2018_commission_structure'!$A$11:$I$14,MATCH(Calculations!$E297,'2018_commission_structure'!$A$11:$A$14,0),MATCH(Calculations!S$1,'2018_commission_structure'!$A$11:$I$11,0)),0)</f>
        <v>0</v>
      </c>
      <c r="T297" s="7">
        <f t="shared" si="41"/>
        <v>122616.72</v>
      </c>
      <c r="U297" s="7">
        <f t="shared" si="42"/>
        <v>187648.72</v>
      </c>
      <c r="V297" s="7">
        <f>MIN(H297,I297)*INDEX('2018_commission_structure'!$A$5:$J$8,MATCH(Calculations!$E297,'2018_commission_structure'!$A$5:$A$8,0),MATCH(Calculations!V$1,'2018_commission_structure'!$A$5:$J$5,0))</f>
        <v>90000</v>
      </c>
      <c r="W297" s="2">
        <f>IF($H297&gt;I297,MIN($H297-I297,J297-I297)*INDEX('2018_commission_structure'!$A$5:$J$8,MATCH(Calculations!$E297,'2018_commission_structure'!$A$5:$A$8,0),MATCH(Calculations!W$1,'2018_commission_structure'!$A$5:$J$5,0)),0)</f>
        <v>27000</v>
      </c>
      <c r="X297" s="2">
        <f>IF($H297&gt;J297,MIN($H297-J297,K297-J297)*INDEX('2018_commission_structure'!$A$5:$J$8,MATCH(Calculations!$E297,'2018_commission_structure'!$A$5:$A$8,0),MATCH(Calculations!X$1,'2018_commission_structure'!$A$5:$J$5,0)),0)</f>
        <v>22758</v>
      </c>
      <c r="Y297" s="2">
        <f>IF($H297&gt;K297,MIN($H297-K297,L297-K297)*INDEX('2018_commission_structure'!$A$5:$J$8,MATCH(Calculations!$E297,'2018_commission_structure'!$A$5:$A$8,0),MATCH(Calculations!Y$1,'2018_commission_structure'!$A$5:$J$5,0)),0)</f>
        <v>0</v>
      </c>
      <c r="Z297" s="2">
        <f xml:space="preserve"> IF(H297&gt;L297,(H297-L297)*INDEX('2018_commission_structure'!$A$11:$I$14,MATCH(Calculations!$E297,'2018_commission_structure'!$A$11:$A$14,0),MATCH(Calculations!Z$1,'2018_commission_structure'!$A$11:$I$11,0)),0)</f>
        <v>0</v>
      </c>
      <c r="AA297" s="7">
        <f t="shared" si="43"/>
        <v>139758</v>
      </c>
      <c r="AB297" s="7">
        <f t="shared" si="44"/>
        <v>204790</v>
      </c>
    </row>
    <row r="298" spans="1:28" x14ac:dyDescent="0.25">
      <c r="A298">
        <v>9107581297</v>
      </c>
      <c r="B298" t="s">
        <v>1884</v>
      </c>
      <c r="C298" t="s">
        <v>1885</v>
      </c>
      <c r="D298" t="str">
        <f>B298&amp;" "&amp;C298</f>
        <v>Sutherland Fantin</v>
      </c>
      <c r="E298" t="s">
        <v>10</v>
      </c>
      <c r="F298">
        <v>113337</v>
      </c>
      <c r="G298">
        <f>COUNTIF(deals_closed!D:D,Calculations!A298)</f>
        <v>29</v>
      </c>
      <c r="H298" s="2">
        <f>SUMIF(deals_closed!D:D,Calculations!A298,deals_closed!C:C)</f>
        <v>1194738</v>
      </c>
      <c r="I298" s="2">
        <f>VLOOKUP(E298,'2018_commission_structure'!$A$11:$I$14,9,FALSE)</f>
        <v>750000</v>
      </c>
      <c r="J298" s="2">
        <f t="shared" si="36"/>
        <v>937500</v>
      </c>
      <c r="K298" s="2">
        <f t="shared" si="37"/>
        <v>1125000</v>
      </c>
      <c r="L298" s="2">
        <f t="shared" si="38"/>
        <v>1500000</v>
      </c>
      <c r="M298" s="6">
        <f t="shared" si="39"/>
        <v>1.592984</v>
      </c>
      <c r="N298" t="str">
        <f t="shared" si="40"/>
        <v>150-200%</v>
      </c>
      <c r="O298" s="7">
        <f>MIN(I298,H298)*INDEX('2018_commission_structure'!$A$11:$I$14,MATCH(Calculations!$E298,'2018_commission_structure'!$A$11:$A$14,0),MATCH(Calculations!O$1,'2018_commission_structure'!$A$11:$I$11,0))</f>
        <v>112500</v>
      </c>
      <c r="P298" s="7">
        <f>IF($H298&gt;I298,MIN($H298-I298,J298-I298)*INDEX('2018_commission_structure'!$A$11:$I$14,MATCH(Calculations!$E298,'2018_commission_structure'!$A$11:$A$14,0), MATCH(Calculations!P$1,'2018_commission_structure'!$A$11:$I$11,0)),0)</f>
        <v>35625</v>
      </c>
      <c r="Q298" s="7">
        <f>IF($H298&gt;J298,MIN($H298-J298,K298-J298)*INDEX('2018_commission_structure'!$A$11:$I$14,MATCH(Calculations!$E298,'2018_commission_structure'!$A$11:$A$14,0), MATCH(Calculations!Q$1,'2018_commission_structure'!$A$11:$I$11,0)),0)</f>
        <v>43125</v>
      </c>
      <c r="R298" s="7">
        <f>IF($H298&gt;K298,MIN($H298-K298,L298-K298)*INDEX('2018_commission_structure'!$A$11:$I$14,MATCH(Calculations!$E298,'2018_commission_structure'!$A$11:$A$14,0), MATCH(Calculations!R$1,'2018_commission_structure'!$A$11:$I$11,0)),0)</f>
        <v>20921.399999999998</v>
      </c>
      <c r="S298" s="7">
        <f>IF(H298&gt;L298,(H298-L298)*INDEX('2018_commission_structure'!$A$11:$I$14,MATCH(Calculations!$E298,'2018_commission_structure'!$A$11:$A$14,0),MATCH(Calculations!S$1,'2018_commission_structure'!$A$11:$I$11,0)),0)</f>
        <v>0</v>
      </c>
      <c r="T298" s="7">
        <f t="shared" si="41"/>
        <v>212171.4</v>
      </c>
      <c r="U298" s="7">
        <f t="shared" si="42"/>
        <v>325508.40000000002</v>
      </c>
      <c r="V298" s="7">
        <f>MIN(H298,I298)*INDEX('2018_commission_structure'!$A$5:$J$8,MATCH(Calculations!$E298,'2018_commission_structure'!$A$5:$A$8,0),MATCH(Calculations!V$1,'2018_commission_structure'!$A$5:$J$5,0))</f>
        <v>112500</v>
      </c>
      <c r="W298" s="2">
        <f>IF($H298&gt;I298,MIN($H298-I298,J298-I298)*INDEX('2018_commission_structure'!$A$5:$J$8,MATCH(Calculations!$E298,'2018_commission_structure'!$A$5:$A$8,0),MATCH(Calculations!W$1,'2018_commission_structure'!$A$5:$J$5,0)),0)</f>
        <v>41250</v>
      </c>
      <c r="X298" s="2">
        <f>IF($H298&gt;J298,MIN($H298-J298,K298-J298)*INDEX('2018_commission_structure'!$A$5:$J$8,MATCH(Calculations!$E298,'2018_commission_structure'!$A$5:$A$8,0),MATCH(Calculations!X$1,'2018_commission_structure'!$A$5:$J$5,0)),0)</f>
        <v>46875</v>
      </c>
      <c r="Y298" s="2">
        <f>IF($H298&gt;K298,MIN($H298-K298,L298-K298)*INDEX('2018_commission_structure'!$A$5:$J$8,MATCH(Calculations!$E298,'2018_commission_structure'!$A$5:$A$8,0),MATCH(Calculations!Y$1,'2018_commission_structure'!$A$5:$J$5,0)),0)</f>
        <v>23013.54</v>
      </c>
      <c r="Z298" s="2">
        <f xml:space="preserve"> IF(H298&gt;L298,(H298-L298)*INDEX('2018_commission_structure'!$A$11:$I$14,MATCH(Calculations!$E298,'2018_commission_structure'!$A$11:$A$14,0),MATCH(Calculations!Z$1,'2018_commission_structure'!$A$11:$I$11,0)),0)</f>
        <v>0</v>
      </c>
      <c r="AA298" s="7">
        <f t="shared" si="43"/>
        <v>223638.54</v>
      </c>
      <c r="AB298" s="7">
        <f t="shared" si="44"/>
        <v>336975.54000000004</v>
      </c>
    </row>
    <row r="299" spans="1:28" x14ac:dyDescent="0.25">
      <c r="A299">
        <v>2314136845</v>
      </c>
      <c r="B299" t="s">
        <v>46</v>
      </c>
      <c r="C299" t="s">
        <v>47</v>
      </c>
      <c r="D299" t="str">
        <f>B299&amp;" "&amp;C299</f>
        <v>Giles Fardy</v>
      </c>
      <c r="E299" t="s">
        <v>7</v>
      </c>
      <c r="F299">
        <v>59184</v>
      </c>
      <c r="G299">
        <f>COUNTIF(deals_closed!D:D,Calculations!A299)</f>
        <v>20</v>
      </c>
      <c r="H299" s="2">
        <f>SUMIF(deals_closed!D:D,Calculations!A299,deals_closed!C:C)</f>
        <v>762746</v>
      </c>
      <c r="I299" s="2">
        <f>VLOOKUP(E299,'2018_commission_structure'!$A$11:$I$14,9,FALSE)</f>
        <v>500000</v>
      </c>
      <c r="J299" s="2">
        <f t="shared" si="36"/>
        <v>625000</v>
      </c>
      <c r="K299" s="2">
        <f t="shared" si="37"/>
        <v>750000</v>
      </c>
      <c r="L299" s="2">
        <f t="shared" si="38"/>
        <v>1000000</v>
      </c>
      <c r="M299" s="6">
        <f t="shared" si="39"/>
        <v>1.5254920000000001</v>
      </c>
      <c r="N299" t="str">
        <f t="shared" si="40"/>
        <v>150-200%</v>
      </c>
      <c r="O299" s="7">
        <f>MIN(I299,H299)*INDEX('2018_commission_structure'!$A$11:$I$14,MATCH(Calculations!$E299,'2018_commission_structure'!$A$11:$A$14,0),MATCH(Calculations!O$1,'2018_commission_structure'!$A$11:$I$11,0))</f>
        <v>50000</v>
      </c>
      <c r="P299" s="7">
        <f>IF($H299&gt;I299,MIN($H299-I299,J299-I299)*INDEX('2018_commission_structure'!$A$11:$I$14,MATCH(Calculations!$E299,'2018_commission_structure'!$A$11:$A$14,0), MATCH(Calculations!P$1,'2018_commission_structure'!$A$11:$I$11,0)),0)</f>
        <v>18750</v>
      </c>
      <c r="Q299" s="7">
        <f>IF($H299&gt;J299,MIN($H299-J299,K299-J299)*INDEX('2018_commission_structure'!$A$11:$I$14,MATCH(Calculations!$E299,'2018_commission_structure'!$A$11:$A$14,0), MATCH(Calculations!Q$1,'2018_commission_structure'!$A$11:$I$11,0)),0)</f>
        <v>22500</v>
      </c>
      <c r="R299" s="7">
        <f>IF($H299&gt;K299,MIN($H299-K299,L299-K299)*INDEX('2018_commission_structure'!$A$11:$I$14,MATCH(Calculations!$E299,'2018_commission_structure'!$A$11:$A$14,0), MATCH(Calculations!R$1,'2018_commission_structure'!$A$11:$I$11,0)),0)</f>
        <v>2804.12</v>
      </c>
      <c r="S299" s="7">
        <f>IF(H299&gt;L299,(H299-L299)*INDEX('2018_commission_structure'!$A$11:$I$14,MATCH(Calculations!$E299,'2018_commission_structure'!$A$11:$A$14,0),MATCH(Calculations!S$1,'2018_commission_structure'!$A$11:$I$11,0)),0)</f>
        <v>0</v>
      </c>
      <c r="T299" s="7">
        <f t="shared" si="41"/>
        <v>94054.12</v>
      </c>
      <c r="U299" s="7">
        <f t="shared" si="42"/>
        <v>153238.12</v>
      </c>
      <c r="V299" s="7">
        <f>MIN(H299,I299)*INDEX('2018_commission_structure'!$A$5:$J$8,MATCH(Calculations!$E299,'2018_commission_structure'!$A$5:$A$8,0),MATCH(Calculations!V$1,'2018_commission_structure'!$A$5:$J$5,0))</f>
        <v>60000</v>
      </c>
      <c r="W299" s="2">
        <f>IF($H299&gt;I299,MIN($H299-I299,J299-I299)*INDEX('2018_commission_structure'!$A$5:$J$8,MATCH(Calculations!$E299,'2018_commission_structure'!$A$5:$A$8,0),MATCH(Calculations!W$1,'2018_commission_structure'!$A$5:$J$5,0)),0)</f>
        <v>21250</v>
      </c>
      <c r="X299" s="2">
        <f>IF($H299&gt;J299,MIN($H299-J299,K299-J299)*INDEX('2018_commission_structure'!$A$5:$J$8,MATCH(Calculations!$E299,'2018_commission_structure'!$A$5:$A$8,0),MATCH(Calculations!X$1,'2018_commission_structure'!$A$5:$J$5,0)),0)</f>
        <v>25000</v>
      </c>
      <c r="Y299" s="2">
        <f>IF($H299&gt;K299,MIN($H299-K299,L299-K299)*INDEX('2018_commission_structure'!$A$5:$J$8,MATCH(Calculations!$E299,'2018_commission_structure'!$A$5:$A$8,0),MATCH(Calculations!Y$1,'2018_commission_structure'!$A$5:$J$5,0)),0)</f>
        <v>2804.12</v>
      </c>
      <c r="Z299" s="2">
        <f xml:space="preserve"> IF(H299&gt;L299,(H299-L299)*INDEX('2018_commission_structure'!$A$11:$I$14,MATCH(Calculations!$E299,'2018_commission_structure'!$A$11:$A$14,0),MATCH(Calculations!Z$1,'2018_commission_structure'!$A$11:$I$11,0)),0)</f>
        <v>0</v>
      </c>
      <c r="AA299" s="7">
        <f t="shared" si="43"/>
        <v>109054.12</v>
      </c>
      <c r="AB299" s="7">
        <f t="shared" si="44"/>
        <v>168238.12</v>
      </c>
    </row>
    <row r="300" spans="1:28" x14ac:dyDescent="0.25">
      <c r="A300">
        <v>2698184272</v>
      </c>
      <c r="B300" t="s">
        <v>995</v>
      </c>
      <c r="C300" t="s">
        <v>996</v>
      </c>
      <c r="D300" t="str">
        <f>B300&amp;" "&amp;C300</f>
        <v>Lucina Farndon</v>
      </c>
      <c r="E300" t="s">
        <v>10</v>
      </c>
      <c r="F300">
        <v>119400</v>
      </c>
      <c r="G300">
        <f>COUNTIF(deals_closed!D:D,Calculations!A300)</f>
        <v>26</v>
      </c>
      <c r="H300" s="2">
        <f>SUMIF(deals_closed!D:D,Calculations!A300,deals_closed!C:C)</f>
        <v>805390</v>
      </c>
      <c r="I300" s="2">
        <f>VLOOKUP(E300,'2018_commission_structure'!$A$11:$I$14,9,FALSE)</f>
        <v>750000</v>
      </c>
      <c r="J300" s="2">
        <f t="shared" si="36"/>
        <v>937500</v>
      </c>
      <c r="K300" s="2">
        <f t="shared" si="37"/>
        <v>1125000</v>
      </c>
      <c r="L300" s="2">
        <f t="shared" si="38"/>
        <v>1500000</v>
      </c>
      <c r="M300" s="6">
        <f t="shared" si="39"/>
        <v>1.0738533333333333</v>
      </c>
      <c r="N300" t="str">
        <f t="shared" si="40"/>
        <v>100-125%</v>
      </c>
      <c r="O300" s="7">
        <f>MIN(I300,H300)*INDEX('2018_commission_structure'!$A$11:$I$14,MATCH(Calculations!$E300,'2018_commission_structure'!$A$11:$A$14,0),MATCH(Calculations!O$1,'2018_commission_structure'!$A$11:$I$11,0))</f>
        <v>112500</v>
      </c>
      <c r="P300" s="7">
        <f>IF($H300&gt;I300,MIN($H300-I300,J300-I300)*INDEX('2018_commission_structure'!$A$11:$I$14,MATCH(Calculations!$E300,'2018_commission_structure'!$A$11:$A$14,0), MATCH(Calculations!P$1,'2018_commission_structure'!$A$11:$I$11,0)),0)</f>
        <v>10524.1</v>
      </c>
      <c r="Q300" s="7">
        <f>IF($H300&gt;J300,MIN($H300-J300,K300-J300)*INDEX('2018_commission_structure'!$A$11:$I$14,MATCH(Calculations!$E300,'2018_commission_structure'!$A$11:$A$14,0), MATCH(Calculations!Q$1,'2018_commission_structure'!$A$11:$I$11,0)),0)</f>
        <v>0</v>
      </c>
      <c r="R300" s="7">
        <f>IF($H300&gt;K300,MIN($H300-K300,L300-K300)*INDEX('2018_commission_structure'!$A$11:$I$14,MATCH(Calculations!$E300,'2018_commission_structure'!$A$11:$A$14,0), MATCH(Calculations!R$1,'2018_commission_structure'!$A$11:$I$11,0)),0)</f>
        <v>0</v>
      </c>
      <c r="S300" s="7">
        <f>IF(H300&gt;L300,(H300-L300)*INDEX('2018_commission_structure'!$A$11:$I$14,MATCH(Calculations!$E300,'2018_commission_structure'!$A$11:$A$14,0),MATCH(Calculations!S$1,'2018_commission_structure'!$A$11:$I$11,0)),0)</f>
        <v>0</v>
      </c>
      <c r="T300" s="7">
        <f t="shared" si="41"/>
        <v>123024.1</v>
      </c>
      <c r="U300" s="7">
        <f t="shared" si="42"/>
        <v>242424.1</v>
      </c>
      <c r="V300" s="7">
        <f>MIN(H300,I300)*INDEX('2018_commission_structure'!$A$5:$J$8,MATCH(Calculations!$E300,'2018_commission_structure'!$A$5:$A$8,0),MATCH(Calculations!V$1,'2018_commission_structure'!$A$5:$J$5,0))</f>
        <v>112500</v>
      </c>
      <c r="W300" s="2">
        <f>IF($H300&gt;I300,MIN($H300-I300,J300-I300)*INDEX('2018_commission_structure'!$A$5:$J$8,MATCH(Calculations!$E300,'2018_commission_structure'!$A$5:$A$8,0),MATCH(Calculations!W$1,'2018_commission_structure'!$A$5:$J$5,0)),0)</f>
        <v>12185.8</v>
      </c>
      <c r="X300" s="2">
        <f>IF($H300&gt;J300,MIN($H300-J300,K300-J300)*INDEX('2018_commission_structure'!$A$5:$J$8,MATCH(Calculations!$E300,'2018_commission_structure'!$A$5:$A$8,0),MATCH(Calculations!X$1,'2018_commission_structure'!$A$5:$J$5,0)),0)</f>
        <v>0</v>
      </c>
      <c r="Y300" s="2">
        <f>IF($H300&gt;K300,MIN($H300-K300,L300-K300)*INDEX('2018_commission_structure'!$A$5:$J$8,MATCH(Calculations!$E300,'2018_commission_structure'!$A$5:$A$8,0),MATCH(Calculations!Y$1,'2018_commission_structure'!$A$5:$J$5,0)),0)</f>
        <v>0</v>
      </c>
      <c r="Z300" s="2">
        <f xml:space="preserve"> IF(H300&gt;L300,(H300-L300)*INDEX('2018_commission_structure'!$A$11:$I$14,MATCH(Calculations!$E300,'2018_commission_structure'!$A$11:$A$14,0),MATCH(Calculations!Z$1,'2018_commission_structure'!$A$11:$I$11,0)),0)</f>
        <v>0</v>
      </c>
      <c r="AA300" s="7">
        <f t="shared" si="43"/>
        <v>124685.8</v>
      </c>
      <c r="AB300" s="7">
        <f t="shared" si="44"/>
        <v>244085.8</v>
      </c>
    </row>
    <row r="301" spans="1:28" x14ac:dyDescent="0.25">
      <c r="A301">
        <v>5561472151</v>
      </c>
      <c r="B301" t="s">
        <v>198</v>
      </c>
      <c r="C301" t="s">
        <v>199</v>
      </c>
      <c r="D301" t="str">
        <f>B301&amp;" "&amp;C301</f>
        <v>Tessie Farre</v>
      </c>
      <c r="E301" t="s">
        <v>29</v>
      </c>
      <c r="F301">
        <v>56655</v>
      </c>
      <c r="G301">
        <f>COUNTIF(deals_closed!D:D,Calculations!A301)</f>
        <v>19</v>
      </c>
      <c r="H301" s="2">
        <f>SUMIF(deals_closed!D:D,Calculations!A301,deals_closed!C:C)</f>
        <v>662396</v>
      </c>
      <c r="I301" s="2">
        <f>VLOOKUP(E301,'2018_commission_structure'!$A$11:$I$14,9,FALSE)</f>
        <v>600000</v>
      </c>
      <c r="J301" s="2">
        <f t="shared" si="36"/>
        <v>750000</v>
      </c>
      <c r="K301" s="2">
        <f t="shared" si="37"/>
        <v>900000</v>
      </c>
      <c r="L301" s="2">
        <f t="shared" si="38"/>
        <v>1200000</v>
      </c>
      <c r="M301" s="6">
        <f t="shared" si="39"/>
        <v>1.1039933333333334</v>
      </c>
      <c r="N301" t="str">
        <f t="shared" si="40"/>
        <v>100-125%</v>
      </c>
      <c r="O301" s="7">
        <f>MIN(I301,H301)*INDEX('2018_commission_structure'!$A$11:$I$14,MATCH(Calculations!$E301,'2018_commission_structure'!$A$11:$A$14,0),MATCH(Calculations!O$1,'2018_commission_structure'!$A$11:$I$11,0))</f>
        <v>78000</v>
      </c>
      <c r="P301" s="7">
        <f>IF($H301&gt;I301,MIN($H301-I301,J301-I301)*INDEX('2018_commission_structure'!$A$11:$I$14,MATCH(Calculations!$E301,'2018_commission_structure'!$A$11:$A$14,0), MATCH(Calculations!P$1,'2018_commission_structure'!$A$11:$I$11,0)),0)</f>
        <v>10607.320000000002</v>
      </c>
      <c r="Q301" s="7">
        <f>IF($H301&gt;J301,MIN($H301-J301,K301-J301)*INDEX('2018_commission_structure'!$A$11:$I$14,MATCH(Calculations!$E301,'2018_commission_structure'!$A$11:$A$14,0), MATCH(Calculations!Q$1,'2018_commission_structure'!$A$11:$I$11,0)),0)</f>
        <v>0</v>
      </c>
      <c r="R301" s="7">
        <f>IF($H301&gt;K301,MIN($H301-K301,L301-K301)*INDEX('2018_commission_structure'!$A$11:$I$14,MATCH(Calculations!$E301,'2018_commission_structure'!$A$11:$A$14,0), MATCH(Calculations!R$1,'2018_commission_structure'!$A$11:$I$11,0)),0)</f>
        <v>0</v>
      </c>
      <c r="S301" s="7">
        <f>IF(H301&gt;L301,(H301-L301)*INDEX('2018_commission_structure'!$A$11:$I$14,MATCH(Calculations!$E301,'2018_commission_structure'!$A$11:$A$14,0),MATCH(Calculations!S$1,'2018_commission_structure'!$A$11:$I$11,0)),0)</f>
        <v>0</v>
      </c>
      <c r="T301" s="7">
        <f t="shared" si="41"/>
        <v>88607.32</v>
      </c>
      <c r="U301" s="7">
        <f t="shared" si="42"/>
        <v>145262.32</v>
      </c>
      <c r="V301" s="7">
        <f>MIN(H301,I301)*INDEX('2018_commission_structure'!$A$5:$J$8,MATCH(Calculations!$E301,'2018_commission_structure'!$A$5:$A$8,0),MATCH(Calculations!V$1,'2018_commission_structure'!$A$5:$J$5,0))</f>
        <v>90000</v>
      </c>
      <c r="W301" s="2">
        <f>IF($H301&gt;I301,MIN($H301-I301,J301-I301)*INDEX('2018_commission_structure'!$A$5:$J$8,MATCH(Calculations!$E301,'2018_commission_structure'!$A$5:$A$8,0),MATCH(Calculations!W$1,'2018_commission_structure'!$A$5:$J$5,0)),0)</f>
        <v>11231.279999999999</v>
      </c>
      <c r="X301" s="2">
        <f>IF($H301&gt;J301,MIN($H301-J301,K301-J301)*INDEX('2018_commission_structure'!$A$5:$J$8,MATCH(Calculations!$E301,'2018_commission_structure'!$A$5:$A$8,0),MATCH(Calculations!X$1,'2018_commission_structure'!$A$5:$J$5,0)),0)</f>
        <v>0</v>
      </c>
      <c r="Y301" s="2">
        <f>IF($H301&gt;K301,MIN($H301-K301,L301-K301)*INDEX('2018_commission_structure'!$A$5:$J$8,MATCH(Calculations!$E301,'2018_commission_structure'!$A$5:$A$8,0),MATCH(Calculations!Y$1,'2018_commission_structure'!$A$5:$J$5,0)),0)</f>
        <v>0</v>
      </c>
      <c r="Z301" s="2">
        <f xml:space="preserve"> IF(H301&gt;L301,(H301-L301)*INDEX('2018_commission_structure'!$A$11:$I$14,MATCH(Calculations!$E301,'2018_commission_structure'!$A$11:$A$14,0),MATCH(Calculations!Z$1,'2018_commission_structure'!$A$11:$I$11,0)),0)</f>
        <v>0</v>
      </c>
      <c r="AA301" s="7">
        <f t="shared" si="43"/>
        <v>101231.28</v>
      </c>
      <c r="AB301" s="7">
        <f t="shared" si="44"/>
        <v>157886.28</v>
      </c>
    </row>
    <row r="302" spans="1:28" x14ac:dyDescent="0.25">
      <c r="A302">
        <v>1192770250</v>
      </c>
      <c r="B302" t="s">
        <v>968</v>
      </c>
      <c r="C302" t="s">
        <v>969</v>
      </c>
      <c r="D302" t="str">
        <f>B302&amp;" "&amp;C302</f>
        <v>Caro Farrington</v>
      </c>
      <c r="E302" t="s">
        <v>10</v>
      </c>
      <c r="F302">
        <v>108380</v>
      </c>
      <c r="G302">
        <f>COUNTIF(deals_closed!D:D,Calculations!A302)</f>
        <v>29</v>
      </c>
      <c r="H302" s="2">
        <f>SUMIF(deals_closed!D:D,Calculations!A302,deals_closed!C:C)</f>
        <v>1086845</v>
      </c>
      <c r="I302" s="2">
        <f>VLOOKUP(E302,'2018_commission_structure'!$A$11:$I$14,9,FALSE)</f>
        <v>750000</v>
      </c>
      <c r="J302" s="2">
        <f t="shared" si="36"/>
        <v>937500</v>
      </c>
      <c r="K302" s="2">
        <f t="shared" si="37"/>
        <v>1125000</v>
      </c>
      <c r="L302" s="2">
        <f t="shared" si="38"/>
        <v>1500000</v>
      </c>
      <c r="M302" s="6">
        <f t="shared" si="39"/>
        <v>1.4491266666666667</v>
      </c>
      <c r="N302" t="str">
        <f t="shared" si="40"/>
        <v>125-150%</v>
      </c>
      <c r="O302" s="7">
        <f>MIN(I302,H302)*INDEX('2018_commission_structure'!$A$11:$I$14,MATCH(Calculations!$E302,'2018_commission_structure'!$A$11:$A$14,0),MATCH(Calculations!O$1,'2018_commission_structure'!$A$11:$I$11,0))</f>
        <v>112500</v>
      </c>
      <c r="P302" s="7">
        <f>IF($H302&gt;I302,MIN($H302-I302,J302-I302)*INDEX('2018_commission_structure'!$A$11:$I$14,MATCH(Calculations!$E302,'2018_commission_structure'!$A$11:$A$14,0), MATCH(Calculations!P$1,'2018_commission_structure'!$A$11:$I$11,0)),0)</f>
        <v>35625</v>
      </c>
      <c r="Q302" s="7">
        <f>IF($H302&gt;J302,MIN($H302-J302,K302-J302)*INDEX('2018_commission_structure'!$A$11:$I$14,MATCH(Calculations!$E302,'2018_commission_structure'!$A$11:$A$14,0), MATCH(Calculations!Q$1,'2018_commission_structure'!$A$11:$I$11,0)),0)</f>
        <v>34349.35</v>
      </c>
      <c r="R302" s="7">
        <f>IF($H302&gt;K302,MIN($H302-K302,L302-K302)*INDEX('2018_commission_structure'!$A$11:$I$14,MATCH(Calculations!$E302,'2018_commission_structure'!$A$11:$A$14,0), MATCH(Calculations!R$1,'2018_commission_structure'!$A$11:$I$11,0)),0)</f>
        <v>0</v>
      </c>
      <c r="S302" s="7">
        <f>IF(H302&gt;L302,(H302-L302)*INDEX('2018_commission_structure'!$A$11:$I$14,MATCH(Calculations!$E302,'2018_commission_structure'!$A$11:$A$14,0),MATCH(Calculations!S$1,'2018_commission_structure'!$A$11:$I$11,0)),0)</f>
        <v>0</v>
      </c>
      <c r="T302" s="7">
        <f t="shared" si="41"/>
        <v>182474.35</v>
      </c>
      <c r="U302" s="7">
        <f t="shared" si="42"/>
        <v>290854.34999999998</v>
      </c>
      <c r="V302" s="7">
        <f>MIN(H302,I302)*INDEX('2018_commission_structure'!$A$5:$J$8,MATCH(Calculations!$E302,'2018_commission_structure'!$A$5:$A$8,0),MATCH(Calculations!V$1,'2018_commission_structure'!$A$5:$J$5,0))</f>
        <v>112500</v>
      </c>
      <c r="W302" s="2">
        <f>IF($H302&gt;I302,MIN($H302-I302,J302-I302)*INDEX('2018_commission_structure'!$A$5:$J$8,MATCH(Calculations!$E302,'2018_commission_structure'!$A$5:$A$8,0),MATCH(Calculations!W$1,'2018_commission_structure'!$A$5:$J$5,0)),0)</f>
        <v>41250</v>
      </c>
      <c r="X302" s="2">
        <f>IF($H302&gt;J302,MIN($H302-J302,K302-J302)*INDEX('2018_commission_structure'!$A$5:$J$8,MATCH(Calculations!$E302,'2018_commission_structure'!$A$5:$A$8,0),MATCH(Calculations!X$1,'2018_commission_structure'!$A$5:$J$5,0)),0)</f>
        <v>37336.25</v>
      </c>
      <c r="Y302" s="2">
        <f>IF($H302&gt;K302,MIN($H302-K302,L302-K302)*INDEX('2018_commission_structure'!$A$5:$J$8,MATCH(Calculations!$E302,'2018_commission_structure'!$A$5:$A$8,0),MATCH(Calculations!Y$1,'2018_commission_structure'!$A$5:$J$5,0)),0)</f>
        <v>0</v>
      </c>
      <c r="Z302" s="2">
        <f xml:space="preserve"> IF(H302&gt;L302,(H302-L302)*INDEX('2018_commission_structure'!$A$11:$I$14,MATCH(Calculations!$E302,'2018_commission_structure'!$A$11:$A$14,0),MATCH(Calculations!Z$1,'2018_commission_structure'!$A$11:$I$11,0)),0)</f>
        <v>0</v>
      </c>
      <c r="AA302" s="7">
        <f t="shared" si="43"/>
        <v>191086.25</v>
      </c>
      <c r="AB302" s="7">
        <f t="shared" si="44"/>
        <v>299466.25</v>
      </c>
    </row>
    <row r="303" spans="1:28" x14ac:dyDescent="0.25">
      <c r="A303">
        <v>8333777430</v>
      </c>
      <c r="B303" t="s">
        <v>1670</v>
      </c>
      <c r="C303" t="s">
        <v>1839</v>
      </c>
      <c r="D303" t="str">
        <f>B303&amp;" "&amp;C303</f>
        <v>Sadella Fateley</v>
      </c>
      <c r="E303" t="s">
        <v>7</v>
      </c>
      <c r="F303">
        <v>51314</v>
      </c>
      <c r="G303">
        <f>COUNTIF(deals_closed!D:D,Calculations!A303)</f>
        <v>26</v>
      </c>
      <c r="H303" s="2">
        <f>SUMIF(deals_closed!D:D,Calculations!A303,deals_closed!C:C)</f>
        <v>895549</v>
      </c>
      <c r="I303" s="2">
        <f>VLOOKUP(E303,'2018_commission_structure'!$A$11:$I$14,9,FALSE)</f>
        <v>500000</v>
      </c>
      <c r="J303" s="2">
        <f t="shared" si="36"/>
        <v>625000</v>
      </c>
      <c r="K303" s="2">
        <f t="shared" si="37"/>
        <v>750000</v>
      </c>
      <c r="L303" s="2">
        <f t="shared" si="38"/>
        <v>1000000</v>
      </c>
      <c r="M303" s="6">
        <f t="shared" si="39"/>
        <v>1.7910980000000001</v>
      </c>
      <c r="N303" t="str">
        <f t="shared" si="40"/>
        <v>150-200%</v>
      </c>
      <c r="O303" s="7">
        <f>MIN(I303,H303)*INDEX('2018_commission_structure'!$A$11:$I$14,MATCH(Calculations!$E303,'2018_commission_structure'!$A$11:$A$14,0),MATCH(Calculations!O$1,'2018_commission_structure'!$A$11:$I$11,0))</f>
        <v>50000</v>
      </c>
      <c r="P303" s="7">
        <f>IF($H303&gt;I303,MIN($H303-I303,J303-I303)*INDEX('2018_commission_structure'!$A$11:$I$14,MATCH(Calculations!$E303,'2018_commission_structure'!$A$11:$A$14,0), MATCH(Calculations!P$1,'2018_commission_structure'!$A$11:$I$11,0)),0)</f>
        <v>18750</v>
      </c>
      <c r="Q303" s="7">
        <f>IF($H303&gt;J303,MIN($H303-J303,K303-J303)*INDEX('2018_commission_structure'!$A$11:$I$14,MATCH(Calculations!$E303,'2018_commission_structure'!$A$11:$A$14,0), MATCH(Calculations!Q$1,'2018_commission_structure'!$A$11:$I$11,0)),0)</f>
        <v>22500</v>
      </c>
      <c r="R303" s="7">
        <f>IF($H303&gt;K303,MIN($H303-K303,L303-K303)*INDEX('2018_commission_structure'!$A$11:$I$14,MATCH(Calculations!$E303,'2018_commission_structure'!$A$11:$A$14,0), MATCH(Calculations!R$1,'2018_commission_structure'!$A$11:$I$11,0)),0)</f>
        <v>32020.78</v>
      </c>
      <c r="S303" s="7">
        <f>IF(H303&gt;L303,(H303-L303)*INDEX('2018_commission_structure'!$A$11:$I$14,MATCH(Calculations!$E303,'2018_commission_structure'!$A$11:$A$14,0),MATCH(Calculations!S$1,'2018_commission_structure'!$A$11:$I$11,0)),0)</f>
        <v>0</v>
      </c>
      <c r="T303" s="7">
        <f t="shared" si="41"/>
        <v>123270.78</v>
      </c>
      <c r="U303" s="7">
        <f t="shared" si="42"/>
        <v>174584.78</v>
      </c>
      <c r="V303" s="7">
        <f>MIN(H303,I303)*INDEX('2018_commission_structure'!$A$5:$J$8,MATCH(Calculations!$E303,'2018_commission_structure'!$A$5:$A$8,0),MATCH(Calculations!V$1,'2018_commission_structure'!$A$5:$J$5,0))</f>
        <v>60000</v>
      </c>
      <c r="W303" s="2">
        <f>IF($H303&gt;I303,MIN($H303-I303,J303-I303)*INDEX('2018_commission_structure'!$A$5:$J$8,MATCH(Calculations!$E303,'2018_commission_structure'!$A$5:$A$8,0),MATCH(Calculations!W$1,'2018_commission_structure'!$A$5:$J$5,0)),0)</f>
        <v>21250</v>
      </c>
      <c r="X303" s="2">
        <f>IF($H303&gt;J303,MIN($H303-J303,K303-J303)*INDEX('2018_commission_structure'!$A$5:$J$8,MATCH(Calculations!$E303,'2018_commission_structure'!$A$5:$A$8,0),MATCH(Calculations!X$1,'2018_commission_structure'!$A$5:$J$5,0)),0)</f>
        <v>25000</v>
      </c>
      <c r="Y303" s="2">
        <f>IF($H303&gt;K303,MIN($H303-K303,L303-K303)*INDEX('2018_commission_structure'!$A$5:$J$8,MATCH(Calculations!$E303,'2018_commission_structure'!$A$5:$A$8,0),MATCH(Calculations!Y$1,'2018_commission_structure'!$A$5:$J$5,0)),0)</f>
        <v>32020.78</v>
      </c>
      <c r="Z303" s="2">
        <f xml:space="preserve"> IF(H303&gt;L303,(H303-L303)*INDEX('2018_commission_structure'!$A$11:$I$14,MATCH(Calculations!$E303,'2018_commission_structure'!$A$11:$A$14,0),MATCH(Calculations!Z$1,'2018_commission_structure'!$A$11:$I$11,0)),0)</f>
        <v>0</v>
      </c>
      <c r="AA303" s="7">
        <f t="shared" si="43"/>
        <v>138270.78</v>
      </c>
      <c r="AB303" s="7">
        <f t="shared" si="44"/>
        <v>189584.78</v>
      </c>
    </row>
    <row r="304" spans="1:28" x14ac:dyDescent="0.25">
      <c r="A304">
        <v>4409014943</v>
      </c>
      <c r="B304" t="s">
        <v>909</v>
      </c>
      <c r="C304" t="s">
        <v>910</v>
      </c>
      <c r="D304" t="str">
        <f>B304&amp;" "&amp;C304</f>
        <v>Loleta Faull</v>
      </c>
      <c r="E304" t="s">
        <v>29</v>
      </c>
      <c r="F304">
        <v>77365</v>
      </c>
      <c r="G304">
        <f>COUNTIF(deals_closed!D:D,Calculations!A304)</f>
        <v>19</v>
      </c>
      <c r="H304" s="2">
        <f>SUMIF(deals_closed!D:D,Calculations!A304,deals_closed!C:C)</f>
        <v>605319</v>
      </c>
      <c r="I304" s="2">
        <f>VLOOKUP(E304,'2018_commission_structure'!$A$11:$I$14,9,FALSE)</f>
        <v>600000</v>
      </c>
      <c r="J304" s="2">
        <f t="shared" si="36"/>
        <v>750000</v>
      </c>
      <c r="K304" s="2">
        <f t="shared" si="37"/>
        <v>900000</v>
      </c>
      <c r="L304" s="2">
        <f t="shared" si="38"/>
        <v>1200000</v>
      </c>
      <c r="M304" s="6">
        <f t="shared" si="39"/>
        <v>1.0088649999999999</v>
      </c>
      <c r="N304" t="str">
        <f t="shared" si="40"/>
        <v>100-125%</v>
      </c>
      <c r="O304" s="7">
        <f>MIN(I304,H304)*INDEX('2018_commission_structure'!$A$11:$I$14,MATCH(Calculations!$E304,'2018_commission_structure'!$A$11:$A$14,0),MATCH(Calculations!O$1,'2018_commission_structure'!$A$11:$I$11,0))</f>
        <v>78000</v>
      </c>
      <c r="P304" s="7">
        <f>IF($H304&gt;I304,MIN($H304-I304,J304-I304)*INDEX('2018_commission_structure'!$A$11:$I$14,MATCH(Calculations!$E304,'2018_commission_structure'!$A$11:$A$14,0), MATCH(Calculations!P$1,'2018_commission_structure'!$A$11:$I$11,0)),0)</f>
        <v>904.23</v>
      </c>
      <c r="Q304" s="7">
        <f>IF($H304&gt;J304,MIN($H304-J304,K304-J304)*INDEX('2018_commission_structure'!$A$11:$I$14,MATCH(Calculations!$E304,'2018_commission_structure'!$A$11:$A$14,0), MATCH(Calculations!Q$1,'2018_commission_structure'!$A$11:$I$11,0)),0)</f>
        <v>0</v>
      </c>
      <c r="R304" s="7">
        <f>IF($H304&gt;K304,MIN($H304-K304,L304-K304)*INDEX('2018_commission_structure'!$A$11:$I$14,MATCH(Calculations!$E304,'2018_commission_structure'!$A$11:$A$14,0), MATCH(Calculations!R$1,'2018_commission_structure'!$A$11:$I$11,0)),0)</f>
        <v>0</v>
      </c>
      <c r="S304" s="7">
        <f>IF(H304&gt;L304,(H304-L304)*INDEX('2018_commission_structure'!$A$11:$I$14,MATCH(Calculations!$E304,'2018_commission_structure'!$A$11:$A$14,0),MATCH(Calculations!S$1,'2018_commission_structure'!$A$11:$I$11,0)),0)</f>
        <v>0</v>
      </c>
      <c r="T304" s="7">
        <f t="shared" si="41"/>
        <v>78904.23</v>
      </c>
      <c r="U304" s="7">
        <f t="shared" si="42"/>
        <v>156269.22999999998</v>
      </c>
      <c r="V304" s="7">
        <f>MIN(H304,I304)*INDEX('2018_commission_structure'!$A$5:$J$8,MATCH(Calculations!$E304,'2018_commission_structure'!$A$5:$A$8,0),MATCH(Calculations!V$1,'2018_commission_structure'!$A$5:$J$5,0))</f>
        <v>90000</v>
      </c>
      <c r="W304" s="2">
        <f>IF($H304&gt;I304,MIN($H304-I304,J304-I304)*INDEX('2018_commission_structure'!$A$5:$J$8,MATCH(Calculations!$E304,'2018_commission_structure'!$A$5:$A$8,0),MATCH(Calculations!W$1,'2018_commission_structure'!$A$5:$J$5,0)),0)</f>
        <v>957.42</v>
      </c>
      <c r="X304" s="2">
        <f>IF($H304&gt;J304,MIN($H304-J304,K304-J304)*INDEX('2018_commission_structure'!$A$5:$J$8,MATCH(Calculations!$E304,'2018_commission_structure'!$A$5:$A$8,0),MATCH(Calculations!X$1,'2018_commission_structure'!$A$5:$J$5,0)),0)</f>
        <v>0</v>
      </c>
      <c r="Y304" s="2">
        <f>IF($H304&gt;K304,MIN($H304-K304,L304-K304)*INDEX('2018_commission_structure'!$A$5:$J$8,MATCH(Calculations!$E304,'2018_commission_structure'!$A$5:$A$8,0),MATCH(Calculations!Y$1,'2018_commission_structure'!$A$5:$J$5,0)),0)</f>
        <v>0</v>
      </c>
      <c r="Z304" s="2">
        <f xml:space="preserve"> IF(H304&gt;L304,(H304-L304)*INDEX('2018_commission_structure'!$A$11:$I$14,MATCH(Calculations!$E304,'2018_commission_structure'!$A$11:$A$14,0),MATCH(Calculations!Z$1,'2018_commission_structure'!$A$11:$I$11,0)),0)</f>
        <v>0</v>
      </c>
      <c r="AA304" s="7">
        <f t="shared" si="43"/>
        <v>90957.42</v>
      </c>
      <c r="AB304" s="7">
        <f t="shared" si="44"/>
        <v>168322.41999999998</v>
      </c>
    </row>
    <row r="305" spans="1:28" x14ac:dyDescent="0.25">
      <c r="A305">
        <v>5134745579</v>
      </c>
      <c r="B305" t="s">
        <v>476</v>
      </c>
      <c r="C305" t="s">
        <v>477</v>
      </c>
      <c r="D305" t="str">
        <f>B305&amp;" "&amp;C305</f>
        <v>Chantalle Fedynski</v>
      </c>
      <c r="E305" t="s">
        <v>10</v>
      </c>
      <c r="F305">
        <v>84060</v>
      </c>
      <c r="G305">
        <f>COUNTIF(deals_closed!D:D,Calculations!A305)</f>
        <v>19</v>
      </c>
      <c r="H305" s="2">
        <f>SUMIF(deals_closed!D:D,Calculations!A305,deals_closed!C:C)</f>
        <v>540162</v>
      </c>
      <c r="I305" s="2">
        <f>VLOOKUP(E305,'2018_commission_structure'!$A$11:$I$14,9,FALSE)</f>
        <v>750000</v>
      </c>
      <c r="J305" s="2">
        <f t="shared" si="36"/>
        <v>937500</v>
      </c>
      <c r="K305" s="2">
        <f t="shared" si="37"/>
        <v>1125000</v>
      </c>
      <c r="L305" s="2">
        <f t="shared" si="38"/>
        <v>1500000</v>
      </c>
      <c r="M305" s="6">
        <f t="shared" si="39"/>
        <v>0.72021599999999997</v>
      </c>
      <c r="N305" t="str">
        <f t="shared" si="40"/>
        <v>0-100%</v>
      </c>
      <c r="O305" s="7">
        <f>MIN(I305,H305)*INDEX('2018_commission_structure'!$A$11:$I$14,MATCH(Calculations!$E305,'2018_commission_structure'!$A$11:$A$14,0),MATCH(Calculations!O$1,'2018_commission_structure'!$A$11:$I$11,0))</f>
        <v>81024.3</v>
      </c>
      <c r="P305" s="7">
        <f>IF($H305&gt;I305,MIN($H305-I305,J305-I305)*INDEX('2018_commission_structure'!$A$11:$I$14,MATCH(Calculations!$E305,'2018_commission_structure'!$A$11:$A$14,0), MATCH(Calculations!P$1,'2018_commission_structure'!$A$11:$I$11,0)),0)</f>
        <v>0</v>
      </c>
      <c r="Q305" s="7">
        <f>IF($H305&gt;J305,MIN($H305-J305,K305-J305)*INDEX('2018_commission_structure'!$A$11:$I$14,MATCH(Calculations!$E305,'2018_commission_structure'!$A$11:$A$14,0), MATCH(Calculations!Q$1,'2018_commission_structure'!$A$11:$I$11,0)),0)</f>
        <v>0</v>
      </c>
      <c r="R305" s="7">
        <f>IF($H305&gt;K305,MIN($H305-K305,L305-K305)*INDEX('2018_commission_structure'!$A$11:$I$14,MATCH(Calculations!$E305,'2018_commission_structure'!$A$11:$A$14,0), MATCH(Calculations!R$1,'2018_commission_structure'!$A$11:$I$11,0)),0)</f>
        <v>0</v>
      </c>
      <c r="S305" s="7">
        <f>IF(H305&gt;L305,(H305-L305)*INDEX('2018_commission_structure'!$A$11:$I$14,MATCH(Calculations!$E305,'2018_commission_structure'!$A$11:$A$14,0),MATCH(Calculations!S$1,'2018_commission_structure'!$A$11:$I$11,0)),0)</f>
        <v>0</v>
      </c>
      <c r="T305" s="7">
        <f t="shared" si="41"/>
        <v>81024.3</v>
      </c>
      <c r="U305" s="7">
        <f t="shared" si="42"/>
        <v>165084.29999999999</v>
      </c>
      <c r="V305" s="7">
        <f>MIN(H305,I305)*INDEX('2018_commission_structure'!$A$5:$J$8,MATCH(Calculations!$E305,'2018_commission_structure'!$A$5:$A$8,0),MATCH(Calculations!V$1,'2018_commission_structure'!$A$5:$J$5,0))</f>
        <v>81024.3</v>
      </c>
      <c r="W305" s="2">
        <f>IF($H305&gt;I305,MIN($H305-I305,J305-I305)*INDEX('2018_commission_structure'!$A$5:$J$8,MATCH(Calculations!$E305,'2018_commission_structure'!$A$5:$A$8,0),MATCH(Calculations!W$1,'2018_commission_structure'!$A$5:$J$5,0)),0)</f>
        <v>0</v>
      </c>
      <c r="X305" s="2">
        <f>IF($H305&gt;J305,MIN($H305-J305,K305-J305)*INDEX('2018_commission_structure'!$A$5:$J$8,MATCH(Calculations!$E305,'2018_commission_structure'!$A$5:$A$8,0),MATCH(Calculations!X$1,'2018_commission_structure'!$A$5:$J$5,0)),0)</f>
        <v>0</v>
      </c>
      <c r="Y305" s="2">
        <f>IF($H305&gt;K305,MIN($H305-K305,L305-K305)*INDEX('2018_commission_structure'!$A$5:$J$8,MATCH(Calculations!$E305,'2018_commission_structure'!$A$5:$A$8,0),MATCH(Calculations!Y$1,'2018_commission_structure'!$A$5:$J$5,0)),0)</f>
        <v>0</v>
      </c>
      <c r="Z305" s="2">
        <f xml:space="preserve"> IF(H305&gt;L305,(H305-L305)*INDEX('2018_commission_structure'!$A$11:$I$14,MATCH(Calculations!$E305,'2018_commission_structure'!$A$11:$A$14,0),MATCH(Calculations!Z$1,'2018_commission_structure'!$A$11:$I$11,0)),0)</f>
        <v>0</v>
      </c>
      <c r="AA305" s="7">
        <f t="shared" si="43"/>
        <v>81024.3</v>
      </c>
      <c r="AB305" s="7">
        <f t="shared" si="44"/>
        <v>165084.29999999999</v>
      </c>
    </row>
    <row r="306" spans="1:28" x14ac:dyDescent="0.25">
      <c r="A306">
        <v>4786629839</v>
      </c>
      <c r="B306" t="s">
        <v>107</v>
      </c>
      <c r="C306" t="s">
        <v>108</v>
      </c>
      <c r="D306" t="str">
        <f>B306&amp;" "&amp;C306</f>
        <v>Carmen Ferrick</v>
      </c>
      <c r="E306" t="s">
        <v>7</v>
      </c>
      <c r="F306">
        <v>47140</v>
      </c>
      <c r="G306">
        <f>COUNTIF(deals_closed!D:D,Calculations!A306)</f>
        <v>26</v>
      </c>
      <c r="H306" s="2">
        <f>SUMIF(deals_closed!D:D,Calculations!A306,deals_closed!C:C)</f>
        <v>968216</v>
      </c>
      <c r="I306" s="2">
        <f>VLOOKUP(E306,'2018_commission_structure'!$A$11:$I$14,9,FALSE)</f>
        <v>500000</v>
      </c>
      <c r="J306" s="2">
        <f t="shared" si="36"/>
        <v>625000</v>
      </c>
      <c r="K306" s="2">
        <f t="shared" si="37"/>
        <v>750000</v>
      </c>
      <c r="L306" s="2">
        <f t="shared" si="38"/>
        <v>1000000</v>
      </c>
      <c r="M306" s="6">
        <f t="shared" si="39"/>
        <v>1.9364319999999999</v>
      </c>
      <c r="N306" t="str">
        <f t="shared" si="40"/>
        <v>150-200%</v>
      </c>
      <c r="O306" s="7">
        <f>MIN(I306,H306)*INDEX('2018_commission_structure'!$A$11:$I$14,MATCH(Calculations!$E306,'2018_commission_structure'!$A$11:$A$14,0),MATCH(Calculations!O$1,'2018_commission_structure'!$A$11:$I$11,0))</f>
        <v>50000</v>
      </c>
      <c r="P306" s="7">
        <f>IF($H306&gt;I306,MIN($H306-I306,J306-I306)*INDEX('2018_commission_structure'!$A$11:$I$14,MATCH(Calculations!$E306,'2018_commission_structure'!$A$11:$A$14,0), MATCH(Calculations!P$1,'2018_commission_structure'!$A$11:$I$11,0)),0)</f>
        <v>18750</v>
      </c>
      <c r="Q306" s="7">
        <f>IF($H306&gt;J306,MIN($H306-J306,K306-J306)*INDEX('2018_commission_structure'!$A$11:$I$14,MATCH(Calculations!$E306,'2018_commission_structure'!$A$11:$A$14,0), MATCH(Calculations!Q$1,'2018_commission_structure'!$A$11:$I$11,0)),0)</f>
        <v>22500</v>
      </c>
      <c r="R306" s="7">
        <f>IF($H306&gt;K306,MIN($H306-K306,L306-K306)*INDEX('2018_commission_structure'!$A$11:$I$14,MATCH(Calculations!$E306,'2018_commission_structure'!$A$11:$A$14,0), MATCH(Calculations!R$1,'2018_commission_structure'!$A$11:$I$11,0)),0)</f>
        <v>48007.519999999997</v>
      </c>
      <c r="S306" s="7">
        <f>IF(H306&gt;L306,(H306-L306)*INDEX('2018_commission_structure'!$A$11:$I$14,MATCH(Calculations!$E306,'2018_commission_structure'!$A$11:$A$14,0),MATCH(Calculations!S$1,'2018_commission_structure'!$A$11:$I$11,0)),0)</f>
        <v>0</v>
      </c>
      <c r="T306" s="7">
        <f t="shared" si="41"/>
        <v>139257.51999999999</v>
      </c>
      <c r="U306" s="7">
        <f t="shared" si="42"/>
        <v>186397.52</v>
      </c>
      <c r="V306" s="7">
        <f>MIN(H306,I306)*INDEX('2018_commission_structure'!$A$5:$J$8,MATCH(Calculations!$E306,'2018_commission_structure'!$A$5:$A$8,0),MATCH(Calculations!V$1,'2018_commission_structure'!$A$5:$J$5,0))</f>
        <v>60000</v>
      </c>
      <c r="W306" s="2">
        <f>IF($H306&gt;I306,MIN($H306-I306,J306-I306)*INDEX('2018_commission_structure'!$A$5:$J$8,MATCH(Calculations!$E306,'2018_commission_structure'!$A$5:$A$8,0),MATCH(Calculations!W$1,'2018_commission_structure'!$A$5:$J$5,0)),0)</f>
        <v>21250</v>
      </c>
      <c r="X306" s="2">
        <f>IF($H306&gt;J306,MIN($H306-J306,K306-J306)*INDEX('2018_commission_structure'!$A$5:$J$8,MATCH(Calculations!$E306,'2018_commission_structure'!$A$5:$A$8,0),MATCH(Calculations!X$1,'2018_commission_structure'!$A$5:$J$5,0)),0)</f>
        <v>25000</v>
      </c>
      <c r="Y306" s="2">
        <f>IF($H306&gt;K306,MIN($H306-K306,L306-K306)*INDEX('2018_commission_structure'!$A$5:$J$8,MATCH(Calculations!$E306,'2018_commission_structure'!$A$5:$A$8,0),MATCH(Calculations!Y$1,'2018_commission_structure'!$A$5:$J$5,0)),0)</f>
        <v>48007.519999999997</v>
      </c>
      <c r="Z306" s="2">
        <f xml:space="preserve"> IF(H306&gt;L306,(H306-L306)*INDEX('2018_commission_structure'!$A$11:$I$14,MATCH(Calculations!$E306,'2018_commission_structure'!$A$11:$A$14,0),MATCH(Calculations!Z$1,'2018_commission_structure'!$A$11:$I$11,0)),0)</f>
        <v>0</v>
      </c>
      <c r="AA306" s="7">
        <f t="shared" si="43"/>
        <v>154257.51999999999</v>
      </c>
      <c r="AB306" s="7">
        <f t="shared" si="44"/>
        <v>201397.52</v>
      </c>
    </row>
    <row r="307" spans="1:28" x14ac:dyDescent="0.25">
      <c r="A307">
        <v>8157157730</v>
      </c>
      <c r="B307" t="s">
        <v>606</v>
      </c>
      <c r="C307" t="s">
        <v>607</v>
      </c>
      <c r="D307" t="str">
        <f>B307&amp;" "&amp;C307</f>
        <v>Norris Ferrillio</v>
      </c>
      <c r="E307" t="s">
        <v>29</v>
      </c>
      <c r="F307">
        <v>73567</v>
      </c>
      <c r="G307">
        <f>COUNTIF(deals_closed!D:D,Calculations!A307)</f>
        <v>22</v>
      </c>
      <c r="H307" s="2">
        <f>SUMIF(deals_closed!D:D,Calculations!A307,deals_closed!C:C)</f>
        <v>716671</v>
      </c>
      <c r="I307" s="2">
        <f>VLOOKUP(E307,'2018_commission_structure'!$A$11:$I$14,9,FALSE)</f>
        <v>600000</v>
      </c>
      <c r="J307" s="2">
        <f t="shared" si="36"/>
        <v>750000</v>
      </c>
      <c r="K307" s="2">
        <f t="shared" si="37"/>
        <v>900000</v>
      </c>
      <c r="L307" s="2">
        <f t="shared" si="38"/>
        <v>1200000</v>
      </c>
      <c r="M307" s="6">
        <f t="shared" si="39"/>
        <v>1.1944516666666667</v>
      </c>
      <c r="N307" t="str">
        <f t="shared" si="40"/>
        <v>100-125%</v>
      </c>
      <c r="O307" s="7">
        <f>MIN(I307,H307)*INDEX('2018_commission_structure'!$A$11:$I$14,MATCH(Calculations!$E307,'2018_commission_structure'!$A$11:$A$14,0),MATCH(Calculations!O$1,'2018_commission_structure'!$A$11:$I$11,0))</f>
        <v>78000</v>
      </c>
      <c r="P307" s="7">
        <f>IF($H307&gt;I307,MIN($H307-I307,J307-I307)*INDEX('2018_commission_structure'!$A$11:$I$14,MATCH(Calculations!$E307,'2018_commission_structure'!$A$11:$A$14,0), MATCH(Calculations!P$1,'2018_commission_structure'!$A$11:$I$11,0)),0)</f>
        <v>19834.07</v>
      </c>
      <c r="Q307" s="7">
        <f>IF($H307&gt;J307,MIN($H307-J307,K307-J307)*INDEX('2018_commission_structure'!$A$11:$I$14,MATCH(Calculations!$E307,'2018_commission_structure'!$A$11:$A$14,0), MATCH(Calculations!Q$1,'2018_commission_structure'!$A$11:$I$11,0)),0)</f>
        <v>0</v>
      </c>
      <c r="R307" s="7">
        <f>IF($H307&gt;K307,MIN($H307-K307,L307-K307)*INDEX('2018_commission_structure'!$A$11:$I$14,MATCH(Calculations!$E307,'2018_commission_structure'!$A$11:$A$14,0), MATCH(Calculations!R$1,'2018_commission_structure'!$A$11:$I$11,0)),0)</f>
        <v>0</v>
      </c>
      <c r="S307" s="7">
        <f>IF(H307&gt;L307,(H307-L307)*INDEX('2018_commission_structure'!$A$11:$I$14,MATCH(Calculations!$E307,'2018_commission_structure'!$A$11:$A$14,0),MATCH(Calculations!S$1,'2018_commission_structure'!$A$11:$I$11,0)),0)</f>
        <v>0</v>
      </c>
      <c r="T307" s="7">
        <f t="shared" si="41"/>
        <v>97834.07</v>
      </c>
      <c r="U307" s="7">
        <f t="shared" si="42"/>
        <v>171401.07</v>
      </c>
      <c r="V307" s="7">
        <f>MIN(H307,I307)*INDEX('2018_commission_structure'!$A$5:$J$8,MATCH(Calculations!$E307,'2018_commission_structure'!$A$5:$A$8,0),MATCH(Calculations!V$1,'2018_commission_structure'!$A$5:$J$5,0))</f>
        <v>90000</v>
      </c>
      <c r="W307" s="2">
        <f>IF($H307&gt;I307,MIN($H307-I307,J307-I307)*INDEX('2018_commission_structure'!$A$5:$J$8,MATCH(Calculations!$E307,'2018_commission_structure'!$A$5:$A$8,0),MATCH(Calculations!W$1,'2018_commission_structure'!$A$5:$J$5,0)),0)</f>
        <v>21000.78</v>
      </c>
      <c r="X307" s="2">
        <f>IF($H307&gt;J307,MIN($H307-J307,K307-J307)*INDEX('2018_commission_structure'!$A$5:$J$8,MATCH(Calculations!$E307,'2018_commission_structure'!$A$5:$A$8,0),MATCH(Calculations!X$1,'2018_commission_structure'!$A$5:$J$5,0)),0)</f>
        <v>0</v>
      </c>
      <c r="Y307" s="2">
        <f>IF($H307&gt;K307,MIN($H307-K307,L307-K307)*INDEX('2018_commission_structure'!$A$5:$J$8,MATCH(Calculations!$E307,'2018_commission_structure'!$A$5:$A$8,0),MATCH(Calculations!Y$1,'2018_commission_structure'!$A$5:$J$5,0)),0)</f>
        <v>0</v>
      </c>
      <c r="Z307" s="2">
        <f xml:space="preserve"> IF(H307&gt;L307,(H307-L307)*INDEX('2018_commission_structure'!$A$11:$I$14,MATCH(Calculations!$E307,'2018_commission_structure'!$A$11:$A$14,0),MATCH(Calculations!Z$1,'2018_commission_structure'!$A$11:$I$11,0)),0)</f>
        <v>0</v>
      </c>
      <c r="AA307" s="7">
        <f t="shared" si="43"/>
        <v>111000.78</v>
      </c>
      <c r="AB307" s="7">
        <f t="shared" si="44"/>
        <v>184567.78</v>
      </c>
    </row>
    <row r="308" spans="1:28" x14ac:dyDescent="0.25">
      <c r="A308">
        <v>5974179625</v>
      </c>
      <c r="B308" t="s">
        <v>1574</v>
      </c>
      <c r="C308" t="s">
        <v>1575</v>
      </c>
      <c r="D308" t="str">
        <f>B308&amp;" "&amp;C308</f>
        <v>Bride Fidelli</v>
      </c>
      <c r="E308" t="s">
        <v>10</v>
      </c>
      <c r="F308">
        <v>102765</v>
      </c>
      <c r="G308">
        <f>COUNTIF(deals_closed!D:D,Calculations!A308)</f>
        <v>24</v>
      </c>
      <c r="H308" s="2">
        <f>SUMIF(deals_closed!D:D,Calculations!A308,deals_closed!C:C)</f>
        <v>833134</v>
      </c>
      <c r="I308" s="2">
        <f>VLOOKUP(E308,'2018_commission_structure'!$A$11:$I$14,9,FALSE)</f>
        <v>750000</v>
      </c>
      <c r="J308" s="2">
        <f t="shared" si="36"/>
        <v>937500</v>
      </c>
      <c r="K308" s="2">
        <f t="shared" si="37"/>
        <v>1125000</v>
      </c>
      <c r="L308" s="2">
        <f t="shared" si="38"/>
        <v>1500000</v>
      </c>
      <c r="M308" s="6">
        <f t="shared" si="39"/>
        <v>1.1108453333333332</v>
      </c>
      <c r="N308" t="str">
        <f t="shared" si="40"/>
        <v>100-125%</v>
      </c>
      <c r="O308" s="7">
        <f>MIN(I308,H308)*INDEX('2018_commission_structure'!$A$11:$I$14,MATCH(Calculations!$E308,'2018_commission_structure'!$A$11:$A$14,0),MATCH(Calculations!O$1,'2018_commission_structure'!$A$11:$I$11,0))</f>
        <v>112500</v>
      </c>
      <c r="P308" s="7">
        <f>IF($H308&gt;I308,MIN($H308-I308,J308-I308)*INDEX('2018_commission_structure'!$A$11:$I$14,MATCH(Calculations!$E308,'2018_commission_structure'!$A$11:$A$14,0), MATCH(Calculations!P$1,'2018_commission_structure'!$A$11:$I$11,0)),0)</f>
        <v>15795.460000000001</v>
      </c>
      <c r="Q308" s="7">
        <f>IF($H308&gt;J308,MIN($H308-J308,K308-J308)*INDEX('2018_commission_structure'!$A$11:$I$14,MATCH(Calculations!$E308,'2018_commission_structure'!$A$11:$A$14,0), MATCH(Calculations!Q$1,'2018_commission_structure'!$A$11:$I$11,0)),0)</f>
        <v>0</v>
      </c>
      <c r="R308" s="7">
        <f>IF($H308&gt;K308,MIN($H308-K308,L308-K308)*INDEX('2018_commission_structure'!$A$11:$I$14,MATCH(Calculations!$E308,'2018_commission_structure'!$A$11:$A$14,0), MATCH(Calculations!R$1,'2018_commission_structure'!$A$11:$I$11,0)),0)</f>
        <v>0</v>
      </c>
      <c r="S308" s="7">
        <f>IF(H308&gt;L308,(H308-L308)*INDEX('2018_commission_structure'!$A$11:$I$14,MATCH(Calculations!$E308,'2018_commission_structure'!$A$11:$A$14,0),MATCH(Calculations!S$1,'2018_commission_structure'!$A$11:$I$11,0)),0)</f>
        <v>0</v>
      </c>
      <c r="T308" s="7">
        <f t="shared" si="41"/>
        <v>128295.46</v>
      </c>
      <c r="U308" s="7">
        <f t="shared" si="42"/>
        <v>231060.46000000002</v>
      </c>
      <c r="V308" s="7">
        <f>MIN(H308,I308)*INDEX('2018_commission_structure'!$A$5:$J$8,MATCH(Calculations!$E308,'2018_commission_structure'!$A$5:$A$8,0),MATCH(Calculations!V$1,'2018_commission_structure'!$A$5:$J$5,0))</f>
        <v>112500</v>
      </c>
      <c r="W308" s="2">
        <f>IF($H308&gt;I308,MIN($H308-I308,J308-I308)*INDEX('2018_commission_structure'!$A$5:$J$8,MATCH(Calculations!$E308,'2018_commission_structure'!$A$5:$A$8,0),MATCH(Calculations!W$1,'2018_commission_structure'!$A$5:$J$5,0)),0)</f>
        <v>18289.48</v>
      </c>
      <c r="X308" s="2">
        <f>IF($H308&gt;J308,MIN($H308-J308,K308-J308)*INDEX('2018_commission_structure'!$A$5:$J$8,MATCH(Calculations!$E308,'2018_commission_structure'!$A$5:$A$8,0),MATCH(Calculations!X$1,'2018_commission_structure'!$A$5:$J$5,0)),0)</f>
        <v>0</v>
      </c>
      <c r="Y308" s="2">
        <f>IF($H308&gt;K308,MIN($H308-K308,L308-K308)*INDEX('2018_commission_structure'!$A$5:$J$8,MATCH(Calculations!$E308,'2018_commission_structure'!$A$5:$A$8,0),MATCH(Calculations!Y$1,'2018_commission_structure'!$A$5:$J$5,0)),0)</f>
        <v>0</v>
      </c>
      <c r="Z308" s="2">
        <f xml:space="preserve"> IF(H308&gt;L308,(H308-L308)*INDEX('2018_commission_structure'!$A$11:$I$14,MATCH(Calculations!$E308,'2018_commission_structure'!$A$11:$A$14,0),MATCH(Calculations!Z$1,'2018_commission_structure'!$A$11:$I$11,0)),0)</f>
        <v>0</v>
      </c>
      <c r="AA308" s="7">
        <f t="shared" si="43"/>
        <v>130789.48</v>
      </c>
      <c r="AB308" s="7">
        <f t="shared" si="44"/>
        <v>233554.47999999998</v>
      </c>
    </row>
    <row r="309" spans="1:28" x14ac:dyDescent="0.25">
      <c r="A309">
        <v>8264394108</v>
      </c>
      <c r="B309" t="s">
        <v>470</v>
      </c>
      <c r="C309" t="s">
        <v>471</v>
      </c>
      <c r="D309" t="str">
        <f>B309&amp;" "&amp;C309</f>
        <v>Myriam Filby</v>
      </c>
      <c r="E309" t="s">
        <v>10</v>
      </c>
      <c r="F309">
        <v>113062</v>
      </c>
      <c r="G309">
        <f>COUNTIF(deals_closed!D:D,Calculations!A309)</f>
        <v>20</v>
      </c>
      <c r="H309" s="2">
        <f>SUMIF(deals_closed!D:D,Calculations!A309,deals_closed!C:C)</f>
        <v>637004</v>
      </c>
      <c r="I309" s="2">
        <f>VLOOKUP(E309,'2018_commission_structure'!$A$11:$I$14,9,FALSE)</f>
        <v>750000</v>
      </c>
      <c r="J309" s="2">
        <f t="shared" si="36"/>
        <v>937500</v>
      </c>
      <c r="K309" s="2">
        <f t="shared" si="37"/>
        <v>1125000</v>
      </c>
      <c r="L309" s="2">
        <f t="shared" si="38"/>
        <v>1500000</v>
      </c>
      <c r="M309" s="6">
        <f t="shared" si="39"/>
        <v>0.84933866666666669</v>
      </c>
      <c r="N309" t="str">
        <f t="shared" si="40"/>
        <v>0-100%</v>
      </c>
      <c r="O309" s="7">
        <f>MIN(I309,H309)*INDEX('2018_commission_structure'!$A$11:$I$14,MATCH(Calculations!$E309,'2018_commission_structure'!$A$11:$A$14,0),MATCH(Calculations!O$1,'2018_commission_structure'!$A$11:$I$11,0))</f>
        <v>95550.599999999991</v>
      </c>
      <c r="P309" s="7">
        <f>IF($H309&gt;I309,MIN($H309-I309,J309-I309)*INDEX('2018_commission_structure'!$A$11:$I$14,MATCH(Calculations!$E309,'2018_commission_structure'!$A$11:$A$14,0), MATCH(Calculations!P$1,'2018_commission_structure'!$A$11:$I$11,0)),0)</f>
        <v>0</v>
      </c>
      <c r="Q309" s="7">
        <f>IF($H309&gt;J309,MIN($H309-J309,K309-J309)*INDEX('2018_commission_structure'!$A$11:$I$14,MATCH(Calculations!$E309,'2018_commission_structure'!$A$11:$A$14,0), MATCH(Calculations!Q$1,'2018_commission_structure'!$A$11:$I$11,0)),0)</f>
        <v>0</v>
      </c>
      <c r="R309" s="7">
        <f>IF($H309&gt;K309,MIN($H309-K309,L309-K309)*INDEX('2018_commission_structure'!$A$11:$I$14,MATCH(Calculations!$E309,'2018_commission_structure'!$A$11:$A$14,0), MATCH(Calculations!R$1,'2018_commission_structure'!$A$11:$I$11,0)),0)</f>
        <v>0</v>
      </c>
      <c r="S309" s="7">
        <f>IF(H309&gt;L309,(H309-L309)*INDEX('2018_commission_structure'!$A$11:$I$14,MATCH(Calculations!$E309,'2018_commission_structure'!$A$11:$A$14,0),MATCH(Calculations!S$1,'2018_commission_structure'!$A$11:$I$11,0)),0)</f>
        <v>0</v>
      </c>
      <c r="T309" s="7">
        <f t="shared" si="41"/>
        <v>95550.599999999991</v>
      </c>
      <c r="U309" s="7">
        <f t="shared" si="42"/>
        <v>208612.59999999998</v>
      </c>
      <c r="V309" s="7">
        <f>MIN(H309,I309)*INDEX('2018_commission_structure'!$A$5:$J$8,MATCH(Calculations!$E309,'2018_commission_structure'!$A$5:$A$8,0),MATCH(Calculations!V$1,'2018_commission_structure'!$A$5:$J$5,0))</f>
        <v>95550.599999999991</v>
      </c>
      <c r="W309" s="2">
        <f>IF($H309&gt;I309,MIN($H309-I309,J309-I309)*INDEX('2018_commission_structure'!$A$5:$J$8,MATCH(Calculations!$E309,'2018_commission_structure'!$A$5:$A$8,0),MATCH(Calculations!W$1,'2018_commission_structure'!$A$5:$J$5,0)),0)</f>
        <v>0</v>
      </c>
      <c r="X309" s="2">
        <f>IF($H309&gt;J309,MIN($H309-J309,K309-J309)*INDEX('2018_commission_structure'!$A$5:$J$8,MATCH(Calculations!$E309,'2018_commission_structure'!$A$5:$A$8,0),MATCH(Calculations!X$1,'2018_commission_structure'!$A$5:$J$5,0)),0)</f>
        <v>0</v>
      </c>
      <c r="Y309" s="2">
        <f>IF($H309&gt;K309,MIN($H309-K309,L309-K309)*INDEX('2018_commission_structure'!$A$5:$J$8,MATCH(Calculations!$E309,'2018_commission_structure'!$A$5:$A$8,0),MATCH(Calculations!Y$1,'2018_commission_structure'!$A$5:$J$5,0)),0)</f>
        <v>0</v>
      </c>
      <c r="Z309" s="2">
        <f xml:space="preserve"> IF(H309&gt;L309,(H309-L309)*INDEX('2018_commission_structure'!$A$11:$I$14,MATCH(Calculations!$E309,'2018_commission_structure'!$A$11:$A$14,0),MATCH(Calculations!Z$1,'2018_commission_structure'!$A$11:$I$11,0)),0)</f>
        <v>0</v>
      </c>
      <c r="AA309" s="7">
        <f t="shared" si="43"/>
        <v>95550.599999999991</v>
      </c>
      <c r="AB309" s="7">
        <f t="shared" si="44"/>
        <v>208612.59999999998</v>
      </c>
    </row>
    <row r="310" spans="1:28" x14ac:dyDescent="0.25">
      <c r="A310">
        <v>4967603564</v>
      </c>
      <c r="B310" t="s">
        <v>771</v>
      </c>
      <c r="C310" t="s">
        <v>772</v>
      </c>
      <c r="D310" t="str">
        <f>B310&amp;" "&amp;C310</f>
        <v>Ferdinand Filippucci</v>
      </c>
      <c r="E310" t="s">
        <v>10</v>
      </c>
      <c r="F310">
        <v>78019</v>
      </c>
      <c r="G310">
        <f>COUNTIF(deals_closed!D:D,Calculations!A310)</f>
        <v>20</v>
      </c>
      <c r="H310" s="2">
        <f>SUMIF(deals_closed!D:D,Calculations!A310,deals_closed!C:C)</f>
        <v>785519</v>
      </c>
      <c r="I310" s="2">
        <f>VLOOKUP(E310,'2018_commission_structure'!$A$11:$I$14,9,FALSE)</f>
        <v>750000</v>
      </c>
      <c r="J310" s="2">
        <f t="shared" si="36"/>
        <v>937500</v>
      </c>
      <c r="K310" s="2">
        <f t="shared" si="37"/>
        <v>1125000</v>
      </c>
      <c r="L310" s="2">
        <f t="shared" si="38"/>
        <v>1500000</v>
      </c>
      <c r="M310" s="6">
        <f t="shared" si="39"/>
        <v>1.0473586666666668</v>
      </c>
      <c r="N310" t="str">
        <f t="shared" si="40"/>
        <v>100-125%</v>
      </c>
      <c r="O310" s="7">
        <f>MIN(I310,H310)*INDEX('2018_commission_structure'!$A$11:$I$14,MATCH(Calculations!$E310,'2018_commission_structure'!$A$11:$A$14,0),MATCH(Calculations!O$1,'2018_commission_structure'!$A$11:$I$11,0))</f>
        <v>112500</v>
      </c>
      <c r="P310" s="7">
        <f>IF($H310&gt;I310,MIN($H310-I310,J310-I310)*INDEX('2018_commission_structure'!$A$11:$I$14,MATCH(Calculations!$E310,'2018_commission_structure'!$A$11:$A$14,0), MATCH(Calculations!P$1,'2018_commission_structure'!$A$11:$I$11,0)),0)</f>
        <v>6748.61</v>
      </c>
      <c r="Q310" s="7">
        <f>IF($H310&gt;J310,MIN($H310-J310,K310-J310)*INDEX('2018_commission_structure'!$A$11:$I$14,MATCH(Calculations!$E310,'2018_commission_structure'!$A$11:$A$14,0), MATCH(Calculations!Q$1,'2018_commission_structure'!$A$11:$I$11,0)),0)</f>
        <v>0</v>
      </c>
      <c r="R310" s="7">
        <f>IF($H310&gt;K310,MIN($H310-K310,L310-K310)*INDEX('2018_commission_structure'!$A$11:$I$14,MATCH(Calculations!$E310,'2018_commission_structure'!$A$11:$A$14,0), MATCH(Calculations!R$1,'2018_commission_structure'!$A$11:$I$11,0)),0)</f>
        <v>0</v>
      </c>
      <c r="S310" s="7">
        <f>IF(H310&gt;L310,(H310-L310)*INDEX('2018_commission_structure'!$A$11:$I$14,MATCH(Calculations!$E310,'2018_commission_structure'!$A$11:$A$14,0),MATCH(Calculations!S$1,'2018_commission_structure'!$A$11:$I$11,0)),0)</f>
        <v>0</v>
      </c>
      <c r="T310" s="7">
        <f t="shared" si="41"/>
        <v>119248.61</v>
      </c>
      <c r="U310" s="7">
        <f t="shared" si="42"/>
        <v>197267.61</v>
      </c>
      <c r="V310" s="7">
        <f>MIN(H310,I310)*INDEX('2018_commission_structure'!$A$5:$J$8,MATCH(Calculations!$E310,'2018_commission_structure'!$A$5:$A$8,0),MATCH(Calculations!V$1,'2018_commission_structure'!$A$5:$J$5,0))</f>
        <v>112500</v>
      </c>
      <c r="W310" s="2">
        <f>IF($H310&gt;I310,MIN($H310-I310,J310-I310)*INDEX('2018_commission_structure'!$A$5:$J$8,MATCH(Calculations!$E310,'2018_commission_structure'!$A$5:$A$8,0),MATCH(Calculations!W$1,'2018_commission_structure'!$A$5:$J$5,0)),0)</f>
        <v>7814.18</v>
      </c>
      <c r="X310" s="2">
        <f>IF($H310&gt;J310,MIN($H310-J310,K310-J310)*INDEX('2018_commission_structure'!$A$5:$J$8,MATCH(Calculations!$E310,'2018_commission_structure'!$A$5:$A$8,0),MATCH(Calculations!X$1,'2018_commission_structure'!$A$5:$J$5,0)),0)</f>
        <v>0</v>
      </c>
      <c r="Y310" s="2">
        <f>IF($H310&gt;K310,MIN($H310-K310,L310-K310)*INDEX('2018_commission_structure'!$A$5:$J$8,MATCH(Calculations!$E310,'2018_commission_structure'!$A$5:$A$8,0),MATCH(Calculations!Y$1,'2018_commission_structure'!$A$5:$J$5,0)),0)</f>
        <v>0</v>
      </c>
      <c r="Z310" s="2">
        <f xml:space="preserve"> IF(H310&gt;L310,(H310-L310)*INDEX('2018_commission_structure'!$A$11:$I$14,MATCH(Calculations!$E310,'2018_commission_structure'!$A$11:$A$14,0),MATCH(Calculations!Z$1,'2018_commission_structure'!$A$11:$I$11,0)),0)</f>
        <v>0</v>
      </c>
      <c r="AA310" s="7">
        <f t="shared" si="43"/>
        <v>120314.18</v>
      </c>
      <c r="AB310" s="7">
        <f t="shared" si="44"/>
        <v>198333.18</v>
      </c>
    </row>
    <row r="311" spans="1:28" x14ac:dyDescent="0.25">
      <c r="A311">
        <v>278558984</v>
      </c>
      <c r="B311" t="s">
        <v>1542</v>
      </c>
      <c r="C311" t="s">
        <v>1543</v>
      </c>
      <c r="D311" t="str">
        <f>B311&amp;" "&amp;C311</f>
        <v>Rodrique Filon</v>
      </c>
      <c r="E311" t="s">
        <v>29</v>
      </c>
      <c r="F311">
        <v>62792</v>
      </c>
      <c r="G311">
        <f>COUNTIF(deals_closed!D:D,Calculations!A311)</f>
        <v>12</v>
      </c>
      <c r="H311" s="2">
        <f>SUMIF(deals_closed!D:D,Calculations!A311,deals_closed!C:C)</f>
        <v>435921</v>
      </c>
      <c r="I311" s="2">
        <f>VLOOKUP(E311,'2018_commission_structure'!$A$11:$I$14,9,FALSE)</f>
        <v>600000</v>
      </c>
      <c r="J311" s="2">
        <f t="shared" si="36"/>
        <v>750000</v>
      </c>
      <c r="K311" s="2">
        <f t="shared" si="37"/>
        <v>900000</v>
      </c>
      <c r="L311" s="2">
        <f t="shared" si="38"/>
        <v>1200000</v>
      </c>
      <c r="M311" s="6">
        <f t="shared" si="39"/>
        <v>0.72653500000000004</v>
      </c>
      <c r="N311" t="str">
        <f t="shared" si="40"/>
        <v>0-100%</v>
      </c>
      <c r="O311" s="7">
        <f>MIN(I311,H311)*INDEX('2018_commission_structure'!$A$11:$I$14,MATCH(Calculations!$E311,'2018_commission_structure'!$A$11:$A$14,0),MATCH(Calculations!O$1,'2018_commission_structure'!$A$11:$I$11,0))</f>
        <v>56669.73</v>
      </c>
      <c r="P311" s="7">
        <f>IF($H311&gt;I311,MIN($H311-I311,J311-I311)*INDEX('2018_commission_structure'!$A$11:$I$14,MATCH(Calculations!$E311,'2018_commission_structure'!$A$11:$A$14,0), MATCH(Calculations!P$1,'2018_commission_structure'!$A$11:$I$11,0)),0)</f>
        <v>0</v>
      </c>
      <c r="Q311" s="7">
        <f>IF($H311&gt;J311,MIN($H311-J311,K311-J311)*INDEX('2018_commission_structure'!$A$11:$I$14,MATCH(Calculations!$E311,'2018_commission_structure'!$A$11:$A$14,0), MATCH(Calculations!Q$1,'2018_commission_structure'!$A$11:$I$11,0)),0)</f>
        <v>0</v>
      </c>
      <c r="R311" s="7">
        <f>IF($H311&gt;K311,MIN($H311-K311,L311-K311)*INDEX('2018_commission_structure'!$A$11:$I$14,MATCH(Calculations!$E311,'2018_commission_structure'!$A$11:$A$14,0), MATCH(Calculations!R$1,'2018_commission_structure'!$A$11:$I$11,0)),0)</f>
        <v>0</v>
      </c>
      <c r="S311" s="7">
        <f>IF(H311&gt;L311,(H311-L311)*INDEX('2018_commission_structure'!$A$11:$I$14,MATCH(Calculations!$E311,'2018_commission_structure'!$A$11:$A$14,0),MATCH(Calculations!S$1,'2018_commission_structure'!$A$11:$I$11,0)),0)</f>
        <v>0</v>
      </c>
      <c r="T311" s="7">
        <f t="shared" si="41"/>
        <v>56669.73</v>
      </c>
      <c r="U311" s="7">
        <f t="shared" si="42"/>
        <v>119461.73000000001</v>
      </c>
      <c r="V311" s="7">
        <f>MIN(H311,I311)*INDEX('2018_commission_structure'!$A$5:$J$8,MATCH(Calculations!$E311,'2018_commission_structure'!$A$5:$A$8,0),MATCH(Calculations!V$1,'2018_commission_structure'!$A$5:$J$5,0))</f>
        <v>65388.149999999994</v>
      </c>
      <c r="W311" s="2">
        <f>IF($H311&gt;I311,MIN($H311-I311,J311-I311)*INDEX('2018_commission_structure'!$A$5:$J$8,MATCH(Calculations!$E311,'2018_commission_structure'!$A$5:$A$8,0),MATCH(Calculations!W$1,'2018_commission_structure'!$A$5:$J$5,0)),0)</f>
        <v>0</v>
      </c>
      <c r="X311" s="2">
        <f>IF($H311&gt;J311,MIN($H311-J311,K311-J311)*INDEX('2018_commission_structure'!$A$5:$J$8,MATCH(Calculations!$E311,'2018_commission_structure'!$A$5:$A$8,0),MATCH(Calculations!X$1,'2018_commission_structure'!$A$5:$J$5,0)),0)</f>
        <v>0</v>
      </c>
      <c r="Y311" s="2">
        <f>IF($H311&gt;K311,MIN($H311-K311,L311-K311)*INDEX('2018_commission_structure'!$A$5:$J$8,MATCH(Calculations!$E311,'2018_commission_structure'!$A$5:$A$8,0),MATCH(Calculations!Y$1,'2018_commission_structure'!$A$5:$J$5,0)),0)</f>
        <v>0</v>
      </c>
      <c r="Z311" s="2">
        <f xml:space="preserve"> IF(H311&gt;L311,(H311-L311)*INDEX('2018_commission_structure'!$A$11:$I$14,MATCH(Calculations!$E311,'2018_commission_structure'!$A$11:$A$14,0),MATCH(Calculations!Z$1,'2018_commission_structure'!$A$11:$I$11,0)),0)</f>
        <v>0</v>
      </c>
      <c r="AA311" s="7">
        <f t="shared" si="43"/>
        <v>65388.149999999994</v>
      </c>
      <c r="AB311" s="7">
        <f t="shared" si="44"/>
        <v>128180.15</v>
      </c>
    </row>
    <row r="312" spans="1:28" x14ac:dyDescent="0.25">
      <c r="A312">
        <v>1411873114</v>
      </c>
      <c r="B312" t="s">
        <v>1557</v>
      </c>
      <c r="C312" t="s">
        <v>1558</v>
      </c>
      <c r="D312" t="str">
        <f>B312&amp;" "&amp;C312</f>
        <v>Costa Fincke</v>
      </c>
      <c r="E312" t="s">
        <v>10</v>
      </c>
      <c r="F312">
        <v>90585</v>
      </c>
      <c r="G312">
        <f>COUNTIF(deals_closed!D:D,Calculations!A312)</f>
        <v>13</v>
      </c>
      <c r="H312" s="2">
        <f>SUMIF(deals_closed!D:D,Calculations!A312,deals_closed!C:C)</f>
        <v>437303</v>
      </c>
      <c r="I312" s="2">
        <f>VLOOKUP(E312,'2018_commission_structure'!$A$11:$I$14,9,FALSE)</f>
        <v>750000</v>
      </c>
      <c r="J312" s="2">
        <f t="shared" si="36"/>
        <v>937500</v>
      </c>
      <c r="K312" s="2">
        <f t="shared" si="37"/>
        <v>1125000</v>
      </c>
      <c r="L312" s="2">
        <f t="shared" si="38"/>
        <v>1500000</v>
      </c>
      <c r="M312" s="6">
        <f t="shared" si="39"/>
        <v>0.58307066666666663</v>
      </c>
      <c r="N312" t="str">
        <f t="shared" si="40"/>
        <v>0-100%</v>
      </c>
      <c r="O312" s="7">
        <f>MIN(I312,H312)*INDEX('2018_commission_structure'!$A$11:$I$14,MATCH(Calculations!$E312,'2018_commission_structure'!$A$11:$A$14,0),MATCH(Calculations!O$1,'2018_commission_structure'!$A$11:$I$11,0))</f>
        <v>65595.45</v>
      </c>
      <c r="P312" s="7">
        <f>IF($H312&gt;I312,MIN($H312-I312,J312-I312)*INDEX('2018_commission_structure'!$A$11:$I$14,MATCH(Calculations!$E312,'2018_commission_structure'!$A$11:$A$14,0), MATCH(Calculations!P$1,'2018_commission_structure'!$A$11:$I$11,0)),0)</f>
        <v>0</v>
      </c>
      <c r="Q312" s="7">
        <f>IF($H312&gt;J312,MIN($H312-J312,K312-J312)*INDEX('2018_commission_structure'!$A$11:$I$14,MATCH(Calculations!$E312,'2018_commission_structure'!$A$11:$A$14,0), MATCH(Calculations!Q$1,'2018_commission_structure'!$A$11:$I$11,0)),0)</f>
        <v>0</v>
      </c>
      <c r="R312" s="7">
        <f>IF($H312&gt;K312,MIN($H312-K312,L312-K312)*INDEX('2018_commission_structure'!$A$11:$I$14,MATCH(Calculations!$E312,'2018_commission_structure'!$A$11:$A$14,0), MATCH(Calculations!R$1,'2018_commission_structure'!$A$11:$I$11,0)),0)</f>
        <v>0</v>
      </c>
      <c r="S312" s="7">
        <f>IF(H312&gt;L312,(H312-L312)*INDEX('2018_commission_structure'!$A$11:$I$14,MATCH(Calculations!$E312,'2018_commission_structure'!$A$11:$A$14,0),MATCH(Calculations!S$1,'2018_commission_structure'!$A$11:$I$11,0)),0)</f>
        <v>0</v>
      </c>
      <c r="T312" s="7">
        <f t="shared" si="41"/>
        <v>65595.45</v>
      </c>
      <c r="U312" s="7">
        <f t="shared" si="42"/>
        <v>156180.45000000001</v>
      </c>
      <c r="V312" s="7">
        <f>MIN(H312,I312)*INDEX('2018_commission_structure'!$A$5:$J$8,MATCH(Calculations!$E312,'2018_commission_structure'!$A$5:$A$8,0),MATCH(Calculations!V$1,'2018_commission_structure'!$A$5:$J$5,0))</f>
        <v>65595.45</v>
      </c>
      <c r="W312" s="2">
        <f>IF($H312&gt;I312,MIN($H312-I312,J312-I312)*INDEX('2018_commission_structure'!$A$5:$J$8,MATCH(Calculations!$E312,'2018_commission_structure'!$A$5:$A$8,0),MATCH(Calculations!W$1,'2018_commission_structure'!$A$5:$J$5,0)),0)</f>
        <v>0</v>
      </c>
      <c r="X312" s="2">
        <f>IF($H312&gt;J312,MIN($H312-J312,K312-J312)*INDEX('2018_commission_structure'!$A$5:$J$8,MATCH(Calculations!$E312,'2018_commission_structure'!$A$5:$A$8,0),MATCH(Calculations!X$1,'2018_commission_structure'!$A$5:$J$5,0)),0)</f>
        <v>0</v>
      </c>
      <c r="Y312" s="2">
        <f>IF($H312&gt;K312,MIN($H312-K312,L312-K312)*INDEX('2018_commission_structure'!$A$5:$J$8,MATCH(Calculations!$E312,'2018_commission_structure'!$A$5:$A$8,0),MATCH(Calculations!Y$1,'2018_commission_structure'!$A$5:$J$5,0)),0)</f>
        <v>0</v>
      </c>
      <c r="Z312" s="2">
        <f xml:space="preserve"> IF(H312&gt;L312,(H312-L312)*INDEX('2018_commission_structure'!$A$11:$I$14,MATCH(Calculations!$E312,'2018_commission_structure'!$A$11:$A$14,0),MATCH(Calculations!Z$1,'2018_commission_structure'!$A$11:$I$11,0)),0)</f>
        <v>0</v>
      </c>
      <c r="AA312" s="7">
        <f t="shared" si="43"/>
        <v>65595.45</v>
      </c>
      <c r="AB312" s="7">
        <f t="shared" si="44"/>
        <v>156180.45000000001</v>
      </c>
    </row>
    <row r="313" spans="1:28" x14ac:dyDescent="0.25">
      <c r="A313">
        <v>4359854056</v>
      </c>
      <c r="B313" t="s">
        <v>545</v>
      </c>
      <c r="C313" t="s">
        <v>546</v>
      </c>
      <c r="D313" t="str">
        <f>B313&amp;" "&amp;C313</f>
        <v>Bernardina Fisbey</v>
      </c>
      <c r="E313" t="s">
        <v>29</v>
      </c>
      <c r="F313">
        <v>77185</v>
      </c>
      <c r="G313">
        <f>COUNTIF(deals_closed!D:D,Calculations!A313)</f>
        <v>33</v>
      </c>
      <c r="H313" s="2">
        <f>SUMIF(deals_closed!D:D,Calculations!A313,deals_closed!C:C)</f>
        <v>1259829</v>
      </c>
      <c r="I313" s="2">
        <f>VLOOKUP(E313,'2018_commission_structure'!$A$11:$I$14,9,FALSE)</f>
        <v>600000</v>
      </c>
      <c r="J313" s="2">
        <f t="shared" si="36"/>
        <v>750000</v>
      </c>
      <c r="K313" s="2">
        <f t="shared" si="37"/>
        <v>900000</v>
      </c>
      <c r="L313" s="2">
        <f t="shared" si="38"/>
        <v>1200000</v>
      </c>
      <c r="M313" s="6">
        <f t="shared" si="39"/>
        <v>2.0997150000000002</v>
      </c>
      <c r="N313" t="str">
        <f t="shared" si="40"/>
        <v>&gt;200%</v>
      </c>
      <c r="O313" s="7">
        <f>MIN(I313,H313)*INDEX('2018_commission_structure'!$A$11:$I$14,MATCH(Calculations!$E313,'2018_commission_structure'!$A$11:$A$14,0),MATCH(Calculations!O$1,'2018_commission_structure'!$A$11:$I$11,0))</f>
        <v>78000</v>
      </c>
      <c r="P313" s="7">
        <f>IF($H313&gt;I313,MIN($H313-I313,J313-I313)*INDEX('2018_commission_structure'!$A$11:$I$14,MATCH(Calculations!$E313,'2018_commission_structure'!$A$11:$A$14,0), MATCH(Calculations!P$1,'2018_commission_structure'!$A$11:$I$11,0)),0)</f>
        <v>25500.000000000004</v>
      </c>
      <c r="Q313" s="7">
        <f>IF($H313&gt;J313,MIN($H313-J313,K313-J313)*INDEX('2018_commission_structure'!$A$11:$I$14,MATCH(Calculations!$E313,'2018_commission_structure'!$A$11:$A$14,0), MATCH(Calculations!Q$1,'2018_commission_structure'!$A$11:$I$11,0)),0)</f>
        <v>31500</v>
      </c>
      <c r="R313" s="7">
        <f>IF($H313&gt;K313,MIN($H313-K313,L313-K313)*INDEX('2018_commission_structure'!$A$11:$I$14,MATCH(Calculations!$E313,'2018_commission_structure'!$A$11:$A$14,0), MATCH(Calculations!R$1,'2018_commission_structure'!$A$11:$I$11,0)),0)</f>
        <v>78000</v>
      </c>
      <c r="S313" s="7">
        <f>IF(H313&gt;L313,(H313-L313)*INDEX('2018_commission_structure'!$A$11:$I$14,MATCH(Calculations!$E313,'2018_commission_structure'!$A$11:$A$14,0),MATCH(Calculations!S$1,'2018_commission_structure'!$A$11:$I$11,0)),0)</f>
        <v>7777.77</v>
      </c>
      <c r="T313" s="7">
        <f t="shared" si="41"/>
        <v>220777.77</v>
      </c>
      <c r="U313" s="7">
        <f t="shared" si="42"/>
        <v>297962.77</v>
      </c>
      <c r="V313" s="7">
        <f>MIN(H313,I313)*INDEX('2018_commission_structure'!$A$5:$J$8,MATCH(Calculations!$E313,'2018_commission_structure'!$A$5:$A$8,0),MATCH(Calculations!V$1,'2018_commission_structure'!$A$5:$J$5,0))</f>
        <v>90000</v>
      </c>
      <c r="W313" s="2">
        <f>IF($H313&gt;I313,MIN($H313-I313,J313-I313)*INDEX('2018_commission_structure'!$A$5:$J$8,MATCH(Calculations!$E313,'2018_commission_structure'!$A$5:$A$8,0),MATCH(Calculations!W$1,'2018_commission_structure'!$A$5:$J$5,0)),0)</f>
        <v>27000</v>
      </c>
      <c r="X313" s="2">
        <f>IF($H313&gt;J313,MIN($H313-J313,K313-J313)*INDEX('2018_commission_structure'!$A$5:$J$8,MATCH(Calculations!$E313,'2018_commission_structure'!$A$5:$A$8,0),MATCH(Calculations!X$1,'2018_commission_structure'!$A$5:$J$5,0)),0)</f>
        <v>37500</v>
      </c>
      <c r="Y313" s="2">
        <f>IF($H313&gt;K313,MIN($H313-K313,L313-K313)*INDEX('2018_commission_structure'!$A$5:$J$8,MATCH(Calculations!$E313,'2018_commission_structure'!$A$5:$A$8,0),MATCH(Calculations!Y$1,'2018_commission_structure'!$A$5:$J$5,0)),0)</f>
        <v>90000</v>
      </c>
      <c r="Z313" s="2">
        <f xml:space="preserve"> IF(H313&gt;L313,(H313-L313)*INDEX('2018_commission_structure'!$A$11:$I$14,MATCH(Calculations!$E313,'2018_commission_structure'!$A$11:$A$14,0),MATCH(Calculations!Z$1,'2018_commission_structure'!$A$11:$I$11,0)),0)</f>
        <v>7777.77</v>
      </c>
      <c r="AA313" s="7">
        <f t="shared" si="43"/>
        <v>252277.77</v>
      </c>
      <c r="AB313" s="7">
        <f t="shared" si="44"/>
        <v>329462.77</v>
      </c>
    </row>
    <row r="314" spans="1:28" x14ac:dyDescent="0.25">
      <c r="A314">
        <v>7962906979</v>
      </c>
      <c r="B314" t="s">
        <v>484</v>
      </c>
      <c r="C314" t="s">
        <v>485</v>
      </c>
      <c r="D314" t="str">
        <f>B314&amp;" "&amp;C314</f>
        <v>Carmela Fliege</v>
      </c>
      <c r="E314" t="s">
        <v>29</v>
      </c>
      <c r="F314">
        <v>65149</v>
      </c>
      <c r="G314">
        <f>COUNTIF(deals_closed!D:D,Calculations!A314)</f>
        <v>15</v>
      </c>
      <c r="H314" s="2">
        <f>SUMIF(deals_closed!D:D,Calculations!A314,deals_closed!C:C)</f>
        <v>503488</v>
      </c>
      <c r="I314" s="2">
        <f>VLOOKUP(E314,'2018_commission_structure'!$A$11:$I$14,9,FALSE)</f>
        <v>600000</v>
      </c>
      <c r="J314" s="2">
        <f t="shared" si="36"/>
        <v>750000</v>
      </c>
      <c r="K314" s="2">
        <f t="shared" si="37"/>
        <v>900000</v>
      </c>
      <c r="L314" s="2">
        <f t="shared" si="38"/>
        <v>1200000</v>
      </c>
      <c r="M314" s="6">
        <f t="shared" si="39"/>
        <v>0.83914666666666671</v>
      </c>
      <c r="N314" t="str">
        <f t="shared" si="40"/>
        <v>0-100%</v>
      </c>
      <c r="O314" s="7">
        <f>MIN(I314,H314)*INDEX('2018_commission_structure'!$A$11:$I$14,MATCH(Calculations!$E314,'2018_commission_structure'!$A$11:$A$14,0),MATCH(Calculations!O$1,'2018_commission_structure'!$A$11:$I$11,0))</f>
        <v>65453.440000000002</v>
      </c>
      <c r="P314" s="7">
        <f>IF($H314&gt;I314,MIN($H314-I314,J314-I314)*INDEX('2018_commission_structure'!$A$11:$I$14,MATCH(Calculations!$E314,'2018_commission_structure'!$A$11:$A$14,0), MATCH(Calculations!P$1,'2018_commission_structure'!$A$11:$I$11,0)),0)</f>
        <v>0</v>
      </c>
      <c r="Q314" s="7">
        <f>IF($H314&gt;J314,MIN($H314-J314,K314-J314)*INDEX('2018_commission_structure'!$A$11:$I$14,MATCH(Calculations!$E314,'2018_commission_structure'!$A$11:$A$14,0), MATCH(Calculations!Q$1,'2018_commission_structure'!$A$11:$I$11,0)),0)</f>
        <v>0</v>
      </c>
      <c r="R314" s="7">
        <f>IF($H314&gt;K314,MIN($H314-K314,L314-K314)*INDEX('2018_commission_structure'!$A$11:$I$14,MATCH(Calculations!$E314,'2018_commission_structure'!$A$11:$A$14,0), MATCH(Calculations!R$1,'2018_commission_structure'!$A$11:$I$11,0)),0)</f>
        <v>0</v>
      </c>
      <c r="S314" s="7">
        <f>IF(H314&gt;L314,(H314-L314)*INDEX('2018_commission_structure'!$A$11:$I$14,MATCH(Calculations!$E314,'2018_commission_structure'!$A$11:$A$14,0),MATCH(Calculations!S$1,'2018_commission_structure'!$A$11:$I$11,0)),0)</f>
        <v>0</v>
      </c>
      <c r="T314" s="7">
        <f t="shared" si="41"/>
        <v>65453.440000000002</v>
      </c>
      <c r="U314" s="7">
        <f t="shared" si="42"/>
        <v>130602.44</v>
      </c>
      <c r="V314" s="7">
        <f>MIN(H314,I314)*INDEX('2018_commission_structure'!$A$5:$J$8,MATCH(Calculations!$E314,'2018_commission_structure'!$A$5:$A$8,0),MATCH(Calculations!V$1,'2018_commission_structure'!$A$5:$J$5,0))</f>
        <v>75523.199999999997</v>
      </c>
      <c r="W314" s="2">
        <f>IF($H314&gt;I314,MIN($H314-I314,J314-I314)*INDEX('2018_commission_structure'!$A$5:$J$8,MATCH(Calculations!$E314,'2018_commission_structure'!$A$5:$A$8,0),MATCH(Calculations!W$1,'2018_commission_structure'!$A$5:$J$5,0)),0)</f>
        <v>0</v>
      </c>
      <c r="X314" s="2">
        <f>IF($H314&gt;J314,MIN($H314-J314,K314-J314)*INDEX('2018_commission_structure'!$A$5:$J$8,MATCH(Calculations!$E314,'2018_commission_structure'!$A$5:$A$8,0),MATCH(Calculations!X$1,'2018_commission_structure'!$A$5:$J$5,0)),0)</f>
        <v>0</v>
      </c>
      <c r="Y314" s="2">
        <f>IF($H314&gt;K314,MIN($H314-K314,L314-K314)*INDEX('2018_commission_structure'!$A$5:$J$8,MATCH(Calculations!$E314,'2018_commission_structure'!$A$5:$A$8,0),MATCH(Calculations!Y$1,'2018_commission_structure'!$A$5:$J$5,0)),0)</f>
        <v>0</v>
      </c>
      <c r="Z314" s="2">
        <f xml:space="preserve"> IF(H314&gt;L314,(H314-L314)*INDEX('2018_commission_structure'!$A$11:$I$14,MATCH(Calculations!$E314,'2018_commission_structure'!$A$11:$A$14,0),MATCH(Calculations!Z$1,'2018_commission_structure'!$A$11:$I$11,0)),0)</f>
        <v>0</v>
      </c>
      <c r="AA314" s="7">
        <f t="shared" si="43"/>
        <v>75523.199999999997</v>
      </c>
      <c r="AB314" s="7">
        <f t="shared" si="44"/>
        <v>140672.20000000001</v>
      </c>
    </row>
    <row r="315" spans="1:28" x14ac:dyDescent="0.25">
      <c r="A315">
        <v>5422052862</v>
      </c>
      <c r="B315" t="s">
        <v>662</v>
      </c>
      <c r="C315" t="s">
        <v>663</v>
      </c>
      <c r="D315" t="str">
        <f>B315&amp;" "&amp;C315</f>
        <v>Tamqrah Flowerden</v>
      </c>
      <c r="E315" t="s">
        <v>29</v>
      </c>
      <c r="F315">
        <v>63500</v>
      </c>
      <c r="G315">
        <f>COUNTIF(deals_closed!D:D,Calculations!A315)</f>
        <v>19</v>
      </c>
      <c r="H315" s="2">
        <f>SUMIF(deals_closed!D:D,Calculations!A315,deals_closed!C:C)</f>
        <v>613625</v>
      </c>
      <c r="I315" s="2">
        <f>VLOOKUP(E315,'2018_commission_structure'!$A$11:$I$14,9,FALSE)</f>
        <v>600000</v>
      </c>
      <c r="J315" s="2">
        <f t="shared" si="36"/>
        <v>750000</v>
      </c>
      <c r="K315" s="2">
        <f t="shared" si="37"/>
        <v>900000</v>
      </c>
      <c r="L315" s="2">
        <f t="shared" si="38"/>
        <v>1200000</v>
      </c>
      <c r="M315" s="6">
        <f t="shared" si="39"/>
        <v>1.0227083333333333</v>
      </c>
      <c r="N315" t="str">
        <f t="shared" si="40"/>
        <v>100-125%</v>
      </c>
      <c r="O315" s="7">
        <f>MIN(I315,H315)*INDEX('2018_commission_structure'!$A$11:$I$14,MATCH(Calculations!$E315,'2018_commission_structure'!$A$11:$A$14,0),MATCH(Calculations!O$1,'2018_commission_structure'!$A$11:$I$11,0))</f>
        <v>78000</v>
      </c>
      <c r="P315" s="7">
        <f>IF($H315&gt;I315,MIN($H315-I315,J315-I315)*INDEX('2018_commission_structure'!$A$11:$I$14,MATCH(Calculations!$E315,'2018_commission_structure'!$A$11:$A$14,0), MATCH(Calculations!P$1,'2018_commission_structure'!$A$11:$I$11,0)),0)</f>
        <v>2316.25</v>
      </c>
      <c r="Q315" s="7">
        <f>IF($H315&gt;J315,MIN($H315-J315,K315-J315)*INDEX('2018_commission_structure'!$A$11:$I$14,MATCH(Calculations!$E315,'2018_commission_structure'!$A$11:$A$14,0), MATCH(Calculations!Q$1,'2018_commission_structure'!$A$11:$I$11,0)),0)</f>
        <v>0</v>
      </c>
      <c r="R315" s="7">
        <f>IF($H315&gt;K315,MIN($H315-K315,L315-K315)*INDEX('2018_commission_structure'!$A$11:$I$14,MATCH(Calculations!$E315,'2018_commission_structure'!$A$11:$A$14,0), MATCH(Calculations!R$1,'2018_commission_structure'!$A$11:$I$11,0)),0)</f>
        <v>0</v>
      </c>
      <c r="S315" s="7">
        <f>IF(H315&gt;L315,(H315-L315)*INDEX('2018_commission_structure'!$A$11:$I$14,MATCH(Calculations!$E315,'2018_commission_structure'!$A$11:$A$14,0),MATCH(Calculations!S$1,'2018_commission_structure'!$A$11:$I$11,0)),0)</f>
        <v>0</v>
      </c>
      <c r="T315" s="7">
        <f t="shared" si="41"/>
        <v>80316.25</v>
      </c>
      <c r="U315" s="7">
        <f t="shared" si="42"/>
        <v>143816.25</v>
      </c>
      <c r="V315" s="7">
        <f>MIN(H315,I315)*INDEX('2018_commission_structure'!$A$5:$J$8,MATCH(Calculations!$E315,'2018_commission_structure'!$A$5:$A$8,0),MATCH(Calculations!V$1,'2018_commission_structure'!$A$5:$J$5,0))</f>
        <v>90000</v>
      </c>
      <c r="W315" s="2">
        <f>IF($H315&gt;I315,MIN($H315-I315,J315-I315)*INDEX('2018_commission_structure'!$A$5:$J$8,MATCH(Calculations!$E315,'2018_commission_structure'!$A$5:$A$8,0),MATCH(Calculations!W$1,'2018_commission_structure'!$A$5:$J$5,0)),0)</f>
        <v>2452.5</v>
      </c>
      <c r="X315" s="2">
        <f>IF($H315&gt;J315,MIN($H315-J315,K315-J315)*INDEX('2018_commission_structure'!$A$5:$J$8,MATCH(Calculations!$E315,'2018_commission_structure'!$A$5:$A$8,0),MATCH(Calculations!X$1,'2018_commission_structure'!$A$5:$J$5,0)),0)</f>
        <v>0</v>
      </c>
      <c r="Y315" s="2">
        <f>IF($H315&gt;K315,MIN($H315-K315,L315-K315)*INDEX('2018_commission_structure'!$A$5:$J$8,MATCH(Calculations!$E315,'2018_commission_structure'!$A$5:$A$8,0),MATCH(Calculations!Y$1,'2018_commission_structure'!$A$5:$J$5,0)),0)</f>
        <v>0</v>
      </c>
      <c r="Z315" s="2">
        <f xml:space="preserve"> IF(H315&gt;L315,(H315-L315)*INDEX('2018_commission_structure'!$A$11:$I$14,MATCH(Calculations!$E315,'2018_commission_structure'!$A$11:$A$14,0),MATCH(Calculations!Z$1,'2018_commission_structure'!$A$11:$I$11,0)),0)</f>
        <v>0</v>
      </c>
      <c r="AA315" s="7">
        <f t="shared" si="43"/>
        <v>92452.5</v>
      </c>
      <c r="AB315" s="7">
        <f t="shared" si="44"/>
        <v>155952.5</v>
      </c>
    </row>
    <row r="316" spans="1:28" x14ac:dyDescent="0.25">
      <c r="A316">
        <v>6446166575</v>
      </c>
      <c r="B316" t="s">
        <v>927</v>
      </c>
      <c r="C316" t="s">
        <v>928</v>
      </c>
      <c r="D316" t="str">
        <f>B316&amp;" "&amp;C316</f>
        <v>Blanche Folliott</v>
      </c>
      <c r="E316" t="s">
        <v>7</v>
      </c>
      <c r="F316">
        <v>54878</v>
      </c>
      <c r="G316">
        <f>COUNTIF(deals_closed!D:D,Calculations!A316)</f>
        <v>19</v>
      </c>
      <c r="H316" s="2">
        <f>SUMIF(deals_closed!D:D,Calculations!A316,deals_closed!C:C)</f>
        <v>578752</v>
      </c>
      <c r="I316" s="2">
        <f>VLOOKUP(E316,'2018_commission_structure'!$A$11:$I$14,9,FALSE)</f>
        <v>500000</v>
      </c>
      <c r="J316" s="2">
        <f t="shared" si="36"/>
        <v>625000</v>
      </c>
      <c r="K316" s="2">
        <f t="shared" si="37"/>
        <v>750000</v>
      </c>
      <c r="L316" s="2">
        <f t="shared" si="38"/>
        <v>1000000</v>
      </c>
      <c r="M316" s="6">
        <f t="shared" si="39"/>
        <v>1.1575040000000001</v>
      </c>
      <c r="N316" t="str">
        <f t="shared" si="40"/>
        <v>100-125%</v>
      </c>
      <c r="O316" s="7">
        <f>MIN(I316,H316)*INDEX('2018_commission_structure'!$A$11:$I$14,MATCH(Calculations!$E316,'2018_commission_structure'!$A$11:$A$14,0),MATCH(Calculations!O$1,'2018_commission_structure'!$A$11:$I$11,0))</f>
        <v>50000</v>
      </c>
      <c r="P316" s="7">
        <f>IF($H316&gt;I316,MIN($H316-I316,J316-I316)*INDEX('2018_commission_structure'!$A$11:$I$14,MATCH(Calculations!$E316,'2018_commission_structure'!$A$11:$A$14,0), MATCH(Calculations!P$1,'2018_commission_structure'!$A$11:$I$11,0)),0)</f>
        <v>11812.8</v>
      </c>
      <c r="Q316" s="7">
        <f>IF($H316&gt;J316,MIN($H316-J316,K316-J316)*INDEX('2018_commission_structure'!$A$11:$I$14,MATCH(Calculations!$E316,'2018_commission_structure'!$A$11:$A$14,0), MATCH(Calculations!Q$1,'2018_commission_structure'!$A$11:$I$11,0)),0)</f>
        <v>0</v>
      </c>
      <c r="R316" s="7">
        <f>IF($H316&gt;K316,MIN($H316-K316,L316-K316)*INDEX('2018_commission_structure'!$A$11:$I$14,MATCH(Calculations!$E316,'2018_commission_structure'!$A$11:$A$14,0), MATCH(Calculations!R$1,'2018_commission_structure'!$A$11:$I$11,0)),0)</f>
        <v>0</v>
      </c>
      <c r="S316" s="7">
        <f>IF(H316&gt;L316,(H316-L316)*INDEX('2018_commission_structure'!$A$11:$I$14,MATCH(Calculations!$E316,'2018_commission_structure'!$A$11:$A$14,0),MATCH(Calculations!S$1,'2018_commission_structure'!$A$11:$I$11,0)),0)</f>
        <v>0</v>
      </c>
      <c r="T316" s="7">
        <f t="shared" si="41"/>
        <v>61812.800000000003</v>
      </c>
      <c r="U316" s="7">
        <f t="shared" si="42"/>
        <v>116690.8</v>
      </c>
      <c r="V316" s="7">
        <f>MIN(H316,I316)*INDEX('2018_commission_structure'!$A$5:$J$8,MATCH(Calculations!$E316,'2018_commission_structure'!$A$5:$A$8,0),MATCH(Calculations!V$1,'2018_commission_structure'!$A$5:$J$5,0))</f>
        <v>60000</v>
      </c>
      <c r="W316" s="2">
        <f>IF($H316&gt;I316,MIN($H316-I316,J316-I316)*INDEX('2018_commission_structure'!$A$5:$J$8,MATCH(Calculations!$E316,'2018_commission_structure'!$A$5:$A$8,0),MATCH(Calculations!W$1,'2018_commission_structure'!$A$5:$J$5,0)),0)</f>
        <v>13387.84</v>
      </c>
      <c r="X316" s="2">
        <f>IF($H316&gt;J316,MIN($H316-J316,K316-J316)*INDEX('2018_commission_structure'!$A$5:$J$8,MATCH(Calculations!$E316,'2018_commission_structure'!$A$5:$A$8,0),MATCH(Calculations!X$1,'2018_commission_structure'!$A$5:$J$5,0)),0)</f>
        <v>0</v>
      </c>
      <c r="Y316" s="2">
        <f>IF($H316&gt;K316,MIN($H316-K316,L316-K316)*INDEX('2018_commission_structure'!$A$5:$J$8,MATCH(Calculations!$E316,'2018_commission_structure'!$A$5:$A$8,0),MATCH(Calculations!Y$1,'2018_commission_structure'!$A$5:$J$5,0)),0)</f>
        <v>0</v>
      </c>
      <c r="Z316" s="2">
        <f xml:space="preserve"> IF(H316&gt;L316,(H316-L316)*INDEX('2018_commission_structure'!$A$11:$I$14,MATCH(Calculations!$E316,'2018_commission_structure'!$A$11:$A$14,0),MATCH(Calculations!Z$1,'2018_commission_structure'!$A$11:$I$11,0)),0)</f>
        <v>0</v>
      </c>
      <c r="AA316" s="7">
        <f t="shared" si="43"/>
        <v>73387.839999999997</v>
      </c>
      <c r="AB316" s="7">
        <f t="shared" si="44"/>
        <v>128265.84</v>
      </c>
    </row>
    <row r="317" spans="1:28" x14ac:dyDescent="0.25">
      <c r="A317">
        <v>9518260397</v>
      </c>
      <c r="B317" t="s">
        <v>1624</v>
      </c>
      <c r="C317" t="s">
        <v>1625</v>
      </c>
      <c r="D317" t="str">
        <f>B317&amp;" "&amp;C317</f>
        <v>Elfrida Fone</v>
      </c>
      <c r="E317" t="s">
        <v>29</v>
      </c>
      <c r="F317">
        <v>63471</v>
      </c>
      <c r="G317">
        <f>COUNTIF(deals_closed!D:D,Calculations!A317)</f>
        <v>18</v>
      </c>
      <c r="H317" s="2">
        <f>SUMIF(deals_closed!D:D,Calculations!A317,deals_closed!C:C)</f>
        <v>652900</v>
      </c>
      <c r="I317" s="2">
        <f>VLOOKUP(E317,'2018_commission_structure'!$A$11:$I$14,9,FALSE)</f>
        <v>600000</v>
      </c>
      <c r="J317" s="2">
        <f t="shared" si="36"/>
        <v>750000</v>
      </c>
      <c r="K317" s="2">
        <f t="shared" si="37"/>
        <v>900000</v>
      </c>
      <c r="L317" s="2">
        <f t="shared" si="38"/>
        <v>1200000</v>
      </c>
      <c r="M317" s="6">
        <f t="shared" si="39"/>
        <v>1.0881666666666667</v>
      </c>
      <c r="N317" t="str">
        <f t="shared" si="40"/>
        <v>100-125%</v>
      </c>
      <c r="O317" s="7">
        <f>MIN(I317,H317)*INDEX('2018_commission_structure'!$A$11:$I$14,MATCH(Calculations!$E317,'2018_commission_structure'!$A$11:$A$14,0),MATCH(Calculations!O$1,'2018_commission_structure'!$A$11:$I$11,0))</f>
        <v>78000</v>
      </c>
      <c r="P317" s="7">
        <f>IF($H317&gt;I317,MIN($H317-I317,J317-I317)*INDEX('2018_commission_structure'!$A$11:$I$14,MATCH(Calculations!$E317,'2018_commission_structure'!$A$11:$A$14,0), MATCH(Calculations!P$1,'2018_commission_structure'!$A$11:$I$11,0)),0)</f>
        <v>8993</v>
      </c>
      <c r="Q317" s="7">
        <f>IF($H317&gt;J317,MIN($H317-J317,K317-J317)*INDEX('2018_commission_structure'!$A$11:$I$14,MATCH(Calculations!$E317,'2018_commission_structure'!$A$11:$A$14,0), MATCH(Calculations!Q$1,'2018_commission_structure'!$A$11:$I$11,0)),0)</f>
        <v>0</v>
      </c>
      <c r="R317" s="7">
        <f>IF($H317&gt;K317,MIN($H317-K317,L317-K317)*INDEX('2018_commission_structure'!$A$11:$I$14,MATCH(Calculations!$E317,'2018_commission_structure'!$A$11:$A$14,0), MATCH(Calculations!R$1,'2018_commission_structure'!$A$11:$I$11,0)),0)</f>
        <v>0</v>
      </c>
      <c r="S317" s="7">
        <f>IF(H317&gt;L317,(H317-L317)*INDEX('2018_commission_structure'!$A$11:$I$14,MATCH(Calculations!$E317,'2018_commission_structure'!$A$11:$A$14,0),MATCH(Calculations!S$1,'2018_commission_structure'!$A$11:$I$11,0)),0)</f>
        <v>0</v>
      </c>
      <c r="T317" s="7">
        <f t="shared" si="41"/>
        <v>86993</v>
      </c>
      <c r="U317" s="7">
        <f t="shared" si="42"/>
        <v>150464</v>
      </c>
      <c r="V317" s="7">
        <f>MIN(H317,I317)*INDEX('2018_commission_structure'!$A$5:$J$8,MATCH(Calculations!$E317,'2018_commission_structure'!$A$5:$A$8,0),MATCH(Calculations!V$1,'2018_commission_structure'!$A$5:$J$5,0))</f>
        <v>90000</v>
      </c>
      <c r="W317" s="2">
        <f>IF($H317&gt;I317,MIN($H317-I317,J317-I317)*INDEX('2018_commission_structure'!$A$5:$J$8,MATCH(Calculations!$E317,'2018_commission_structure'!$A$5:$A$8,0),MATCH(Calculations!W$1,'2018_commission_structure'!$A$5:$J$5,0)),0)</f>
        <v>9522</v>
      </c>
      <c r="X317" s="2">
        <f>IF($H317&gt;J317,MIN($H317-J317,K317-J317)*INDEX('2018_commission_structure'!$A$5:$J$8,MATCH(Calculations!$E317,'2018_commission_structure'!$A$5:$A$8,0),MATCH(Calculations!X$1,'2018_commission_structure'!$A$5:$J$5,0)),0)</f>
        <v>0</v>
      </c>
      <c r="Y317" s="2">
        <f>IF($H317&gt;K317,MIN($H317-K317,L317-K317)*INDEX('2018_commission_structure'!$A$5:$J$8,MATCH(Calculations!$E317,'2018_commission_structure'!$A$5:$A$8,0),MATCH(Calculations!Y$1,'2018_commission_structure'!$A$5:$J$5,0)),0)</f>
        <v>0</v>
      </c>
      <c r="Z317" s="2">
        <f xml:space="preserve"> IF(H317&gt;L317,(H317-L317)*INDEX('2018_commission_structure'!$A$11:$I$14,MATCH(Calculations!$E317,'2018_commission_structure'!$A$11:$A$14,0),MATCH(Calculations!Z$1,'2018_commission_structure'!$A$11:$I$11,0)),0)</f>
        <v>0</v>
      </c>
      <c r="AA317" s="7">
        <f t="shared" si="43"/>
        <v>99522</v>
      </c>
      <c r="AB317" s="7">
        <f t="shared" si="44"/>
        <v>162993</v>
      </c>
    </row>
    <row r="318" spans="1:28" x14ac:dyDescent="0.25">
      <c r="A318">
        <v>844376051</v>
      </c>
      <c r="B318" t="s">
        <v>1108</v>
      </c>
      <c r="C318" t="s">
        <v>1109</v>
      </c>
      <c r="D318" t="str">
        <f>B318&amp;" "&amp;C318</f>
        <v>Erika Forsaith</v>
      </c>
      <c r="E318" t="s">
        <v>7</v>
      </c>
      <c r="F318">
        <v>45096</v>
      </c>
      <c r="G318">
        <f>COUNTIF(deals_closed!D:D,Calculations!A318)</f>
        <v>19</v>
      </c>
      <c r="H318" s="2">
        <f>SUMIF(deals_closed!D:D,Calculations!A318,deals_closed!C:C)</f>
        <v>607396</v>
      </c>
      <c r="I318" s="2">
        <f>VLOOKUP(E318,'2018_commission_structure'!$A$11:$I$14,9,FALSE)</f>
        <v>500000</v>
      </c>
      <c r="J318" s="2">
        <f t="shared" si="36"/>
        <v>625000</v>
      </c>
      <c r="K318" s="2">
        <f t="shared" si="37"/>
        <v>750000</v>
      </c>
      <c r="L318" s="2">
        <f t="shared" si="38"/>
        <v>1000000</v>
      </c>
      <c r="M318" s="6">
        <f t="shared" si="39"/>
        <v>1.2147920000000001</v>
      </c>
      <c r="N318" t="str">
        <f t="shared" si="40"/>
        <v>100-125%</v>
      </c>
      <c r="O318" s="7">
        <f>MIN(I318,H318)*INDEX('2018_commission_structure'!$A$11:$I$14,MATCH(Calculations!$E318,'2018_commission_structure'!$A$11:$A$14,0),MATCH(Calculations!O$1,'2018_commission_structure'!$A$11:$I$11,0))</f>
        <v>50000</v>
      </c>
      <c r="P318" s="7">
        <f>IF($H318&gt;I318,MIN($H318-I318,J318-I318)*INDEX('2018_commission_structure'!$A$11:$I$14,MATCH(Calculations!$E318,'2018_commission_structure'!$A$11:$A$14,0), MATCH(Calculations!P$1,'2018_commission_structure'!$A$11:$I$11,0)),0)</f>
        <v>16109.4</v>
      </c>
      <c r="Q318" s="7">
        <f>IF($H318&gt;J318,MIN($H318-J318,K318-J318)*INDEX('2018_commission_structure'!$A$11:$I$14,MATCH(Calculations!$E318,'2018_commission_structure'!$A$11:$A$14,0), MATCH(Calculations!Q$1,'2018_commission_structure'!$A$11:$I$11,0)),0)</f>
        <v>0</v>
      </c>
      <c r="R318" s="7">
        <f>IF($H318&gt;K318,MIN($H318-K318,L318-K318)*INDEX('2018_commission_structure'!$A$11:$I$14,MATCH(Calculations!$E318,'2018_commission_structure'!$A$11:$A$14,0), MATCH(Calculations!R$1,'2018_commission_structure'!$A$11:$I$11,0)),0)</f>
        <v>0</v>
      </c>
      <c r="S318" s="7">
        <f>IF(H318&gt;L318,(H318-L318)*INDEX('2018_commission_structure'!$A$11:$I$14,MATCH(Calculations!$E318,'2018_commission_structure'!$A$11:$A$14,0),MATCH(Calculations!S$1,'2018_commission_structure'!$A$11:$I$11,0)),0)</f>
        <v>0</v>
      </c>
      <c r="T318" s="7">
        <f t="shared" si="41"/>
        <v>66109.399999999994</v>
      </c>
      <c r="U318" s="7">
        <f t="shared" si="42"/>
        <v>111205.4</v>
      </c>
      <c r="V318" s="7">
        <f>MIN(H318,I318)*INDEX('2018_commission_structure'!$A$5:$J$8,MATCH(Calculations!$E318,'2018_commission_structure'!$A$5:$A$8,0),MATCH(Calculations!V$1,'2018_commission_structure'!$A$5:$J$5,0))</f>
        <v>60000</v>
      </c>
      <c r="W318" s="2">
        <f>IF($H318&gt;I318,MIN($H318-I318,J318-I318)*INDEX('2018_commission_structure'!$A$5:$J$8,MATCH(Calculations!$E318,'2018_commission_structure'!$A$5:$A$8,0),MATCH(Calculations!W$1,'2018_commission_structure'!$A$5:$J$5,0)),0)</f>
        <v>18257.32</v>
      </c>
      <c r="X318" s="2">
        <f>IF($H318&gt;J318,MIN($H318-J318,K318-J318)*INDEX('2018_commission_structure'!$A$5:$J$8,MATCH(Calculations!$E318,'2018_commission_structure'!$A$5:$A$8,0),MATCH(Calculations!X$1,'2018_commission_structure'!$A$5:$J$5,0)),0)</f>
        <v>0</v>
      </c>
      <c r="Y318" s="2">
        <f>IF($H318&gt;K318,MIN($H318-K318,L318-K318)*INDEX('2018_commission_structure'!$A$5:$J$8,MATCH(Calculations!$E318,'2018_commission_structure'!$A$5:$A$8,0),MATCH(Calculations!Y$1,'2018_commission_structure'!$A$5:$J$5,0)),0)</f>
        <v>0</v>
      </c>
      <c r="Z318" s="2">
        <f xml:space="preserve"> IF(H318&gt;L318,(H318-L318)*INDEX('2018_commission_structure'!$A$11:$I$14,MATCH(Calculations!$E318,'2018_commission_structure'!$A$11:$A$14,0),MATCH(Calculations!Z$1,'2018_commission_structure'!$A$11:$I$11,0)),0)</f>
        <v>0</v>
      </c>
      <c r="AA318" s="7">
        <f t="shared" si="43"/>
        <v>78257.320000000007</v>
      </c>
      <c r="AB318" s="7">
        <f t="shared" si="44"/>
        <v>123353.32</v>
      </c>
    </row>
    <row r="319" spans="1:28" x14ac:dyDescent="0.25">
      <c r="A319">
        <v>9095573850</v>
      </c>
      <c r="B319" t="s">
        <v>1227</v>
      </c>
      <c r="C319" t="s">
        <v>1228</v>
      </c>
      <c r="D319" t="str">
        <f>B319&amp;" "&amp;C319</f>
        <v>Alyssa Forsyth</v>
      </c>
      <c r="E319" t="s">
        <v>7</v>
      </c>
      <c r="F319">
        <v>48251</v>
      </c>
      <c r="G319">
        <f>COUNTIF(deals_closed!D:D,Calculations!A319)</f>
        <v>13</v>
      </c>
      <c r="H319" s="2">
        <f>SUMIF(deals_closed!D:D,Calculations!A319,deals_closed!C:C)</f>
        <v>436976</v>
      </c>
      <c r="I319" s="2">
        <f>VLOOKUP(E319,'2018_commission_structure'!$A$11:$I$14,9,FALSE)</f>
        <v>500000</v>
      </c>
      <c r="J319" s="2">
        <f t="shared" si="36"/>
        <v>625000</v>
      </c>
      <c r="K319" s="2">
        <f t="shared" si="37"/>
        <v>750000</v>
      </c>
      <c r="L319" s="2">
        <f t="shared" si="38"/>
        <v>1000000</v>
      </c>
      <c r="M319" s="6">
        <f t="shared" si="39"/>
        <v>0.87395199999999995</v>
      </c>
      <c r="N319" t="str">
        <f t="shared" si="40"/>
        <v>0-100%</v>
      </c>
      <c r="O319" s="7">
        <f>MIN(I319,H319)*INDEX('2018_commission_structure'!$A$11:$I$14,MATCH(Calculations!$E319,'2018_commission_structure'!$A$11:$A$14,0),MATCH(Calculations!O$1,'2018_commission_structure'!$A$11:$I$11,0))</f>
        <v>43697.600000000006</v>
      </c>
      <c r="P319" s="7">
        <f>IF($H319&gt;I319,MIN($H319-I319,J319-I319)*INDEX('2018_commission_structure'!$A$11:$I$14,MATCH(Calculations!$E319,'2018_commission_structure'!$A$11:$A$14,0), MATCH(Calculations!P$1,'2018_commission_structure'!$A$11:$I$11,0)),0)</f>
        <v>0</v>
      </c>
      <c r="Q319" s="7">
        <f>IF($H319&gt;J319,MIN($H319-J319,K319-J319)*INDEX('2018_commission_structure'!$A$11:$I$14,MATCH(Calculations!$E319,'2018_commission_structure'!$A$11:$A$14,0), MATCH(Calculations!Q$1,'2018_commission_structure'!$A$11:$I$11,0)),0)</f>
        <v>0</v>
      </c>
      <c r="R319" s="7">
        <f>IF($H319&gt;K319,MIN($H319-K319,L319-K319)*INDEX('2018_commission_structure'!$A$11:$I$14,MATCH(Calculations!$E319,'2018_commission_structure'!$A$11:$A$14,0), MATCH(Calculations!R$1,'2018_commission_structure'!$A$11:$I$11,0)),0)</f>
        <v>0</v>
      </c>
      <c r="S319" s="7">
        <f>IF(H319&gt;L319,(H319-L319)*INDEX('2018_commission_structure'!$A$11:$I$14,MATCH(Calculations!$E319,'2018_commission_structure'!$A$11:$A$14,0),MATCH(Calculations!S$1,'2018_commission_structure'!$A$11:$I$11,0)),0)</f>
        <v>0</v>
      </c>
      <c r="T319" s="7">
        <f t="shared" si="41"/>
        <v>43697.600000000006</v>
      </c>
      <c r="U319" s="7">
        <f t="shared" si="42"/>
        <v>91948.6</v>
      </c>
      <c r="V319" s="7">
        <f>MIN(H319,I319)*INDEX('2018_commission_structure'!$A$5:$J$8,MATCH(Calculations!$E319,'2018_commission_structure'!$A$5:$A$8,0),MATCH(Calculations!V$1,'2018_commission_structure'!$A$5:$J$5,0))</f>
        <v>52437.119999999995</v>
      </c>
      <c r="W319" s="2">
        <f>IF($H319&gt;I319,MIN($H319-I319,J319-I319)*INDEX('2018_commission_structure'!$A$5:$J$8,MATCH(Calculations!$E319,'2018_commission_structure'!$A$5:$A$8,0),MATCH(Calculations!W$1,'2018_commission_structure'!$A$5:$J$5,0)),0)</f>
        <v>0</v>
      </c>
      <c r="X319" s="2">
        <f>IF($H319&gt;J319,MIN($H319-J319,K319-J319)*INDEX('2018_commission_structure'!$A$5:$J$8,MATCH(Calculations!$E319,'2018_commission_structure'!$A$5:$A$8,0),MATCH(Calculations!X$1,'2018_commission_structure'!$A$5:$J$5,0)),0)</f>
        <v>0</v>
      </c>
      <c r="Y319" s="2">
        <f>IF($H319&gt;K319,MIN($H319-K319,L319-K319)*INDEX('2018_commission_structure'!$A$5:$J$8,MATCH(Calculations!$E319,'2018_commission_structure'!$A$5:$A$8,0),MATCH(Calculations!Y$1,'2018_commission_structure'!$A$5:$J$5,0)),0)</f>
        <v>0</v>
      </c>
      <c r="Z319" s="2">
        <f xml:space="preserve"> IF(H319&gt;L319,(H319-L319)*INDEX('2018_commission_structure'!$A$11:$I$14,MATCH(Calculations!$E319,'2018_commission_structure'!$A$11:$A$14,0),MATCH(Calculations!Z$1,'2018_commission_structure'!$A$11:$I$11,0)),0)</f>
        <v>0</v>
      </c>
      <c r="AA319" s="7">
        <f t="shared" si="43"/>
        <v>52437.119999999995</v>
      </c>
      <c r="AB319" s="7">
        <f t="shared" si="44"/>
        <v>100688.12</v>
      </c>
    </row>
    <row r="320" spans="1:28" x14ac:dyDescent="0.25">
      <c r="A320">
        <v>9651729414</v>
      </c>
      <c r="B320" t="s">
        <v>1371</v>
      </c>
      <c r="C320" t="s">
        <v>1372</v>
      </c>
      <c r="D320" t="str">
        <f>B320&amp;" "&amp;C320</f>
        <v>May Fortesquieu</v>
      </c>
      <c r="E320" t="s">
        <v>7</v>
      </c>
      <c r="F320">
        <v>35803</v>
      </c>
      <c r="G320">
        <f>COUNTIF(deals_closed!D:D,Calculations!A320)</f>
        <v>18</v>
      </c>
      <c r="H320" s="2">
        <f>SUMIF(deals_closed!D:D,Calculations!A320,deals_closed!C:C)</f>
        <v>741656</v>
      </c>
      <c r="I320" s="2">
        <f>VLOOKUP(E320,'2018_commission_structure'!$A$11:$I$14,9,FALSE)</f>
        <v>500000</v>
      </c>
      <c r="J320" s="2">
        <f t="shared" si="36"/>
        <v>625000</v>
      </c>
      <c r="K320" s="2">
        <f t="shared" si="37"/>
        <v>750000</v>
      </c>
      <c r="L320" s="2">
        <f t="shared" si="38"/>
        <v>1000000</v>
      </c>
      <c r="M320" s="6">
        <f t="shared" si="39"/>
        <v>1.483312</v>
      </c>
      <c r="N320" t="str">
        <f t="shared" si="40"/>
        <v>125-150%</v>
      </c>
      <c r="O320" s="7">
        <f>MIN(I320,H320)*INDEX('2018_commission_structure'!$A$11:$I$14,MATCH(Calculations!$E320,'2018_commission_structure'!$A$11:$A$14,0),MATCH(Calculations!O$1,'2018_commission_structure'!$A$11:$I$11,0))</f>
        <v>50000</v>
      </c>
      <c r="P320" s="7">
        <f>IF($H320&gt;I320,MIN($H320-I320,J320-I320)*INDEX('2018_commission_structure'!$A$11:$I$14,MATCH(Calculations!$E320,'2018_commission_structure'!$A$11:$A$14,0), MATCH(Calculations!P$1,'2018_commission_structure'!$A$11:$I$11,0)),0)</f>
        <v>18750</v>
      </c>
      <c r="Q320" s="7">
        <f>IF($H320&gt;J320,MIN($H320-J320,K320-J320)*INDEX('2018_commission_structure'!$A$11:$I$14,MATCH(Calculations!$E320,'2018_commission_structure'!$A$11:$A$14,0), MATCH(Calculations!Q$1,'2018_commission_structure'!$A$11:$I$11,0)),0)</f>
        <v>20998.079999999998</v>
      </c>
      <c r="R320" s="7">
        <f>IF($H320&gt;K320,MIN($H320-K320,L320-K320)*INDEX('2018_commission_structure'!$A$11:$I$14,MATCH(Calculations!$E320,'2018_commission_structure'!$A$11:$A$14,0), MATCH(Calculations!R$1,'2018_commission_structure'!$A$11:$I$11,0)),0)</f>
        <v>0</v>
      </c>
      <c r="S320" s="7">
        <f>IF(H320&gt;L320,(H320-L320)*INDEX('2018_commission_structure'!$A$11:$I$14,MATCH(Calculations!$E320,'2018_commission_structure'!$A$11:$A$14,0),MATCH(Calculations!S$1,'2018_commission_structure'!$A$11:$I$11,0)),0)</f>
        <v>0</v>
      </c>
      <c r="T320" s="7">
        <f t="shared" si="41"/>
        <v>89748.08</v>
      </c>
      <c r="U320" s="7">
        <f t="shared" si="42"/>
        <v>125551.08</v>
      </c>
      <c r="V320" s="7">
        <f>MIN(H320,I320)*INDEX('2018_commission_structure'!$A$5:$J$8,MATCH(Calculations!$E320,'2018_commission_structure'!$A$5:$A$8,0),MATCH(Calculations!V$1,'2018_commission_structure'!$A$5:$J$5,0))</f>
        <v>60000</v>
      </c>
      <c r="W320" s="2">
        <f>IF($H320&gt;I320,MIN($H320-I320,J320-I320)*INDEX('2018_commission_structure'!$A$5:$J$8,MATCH(Calculations!$E320,'2018_commission_structure'!$A$5:$A$8,0),MATCH(Calculations!W$1,'2018_commission_structure'!$A$5:$J$5,0)),0)</f>
        <v>21250</v>
      </c>
      <c r="X320" s="2">
        <f>IF($H320&gt;J320,MIN($H320-J320,K320-J320)*INDEX('2018_commission_structure'!$A$5:$J$8,MATCH(Calculations!$E320,'2018_commission_structure'!$A$5:$A$8,0),MATCH(Calculations!X$1,'2018_commission_structure'!$A$5:$J$5,0)),0)</f>
        <v>23331.200000000001</v>
      </c>
      <c r="Y320" s="2">
        <f>IF($H320&gt;K320,MIN($H320-K320,L320-K320)*INDEX('2018_commission_structure'!$A$5:$J$8,MATCH(Calculations!$E320,'2018_commission_structure'!$A$5:$A$8,0),MATCH(Calculations!Y$1,'2018_commission_structure'!$A$5:$J$5,0)),0)</f>
        <v>0</v>
      </c>
      <c r="Z320" s="2">
        <f xml:space="preserve"> IF(H320&gt;L320,(H320-L320)*INDEX('2018_commission_structure'!$A$11:$I$14,MATCH(Calculations!$E320,'2018_commission_structure'!$A$11:$A$14,0),MATCH(Calculations!Z$1,'2018_commission_structure'!$A$11:$I$11,0)),0)</f>
        <v>0</v>
      </c>
      <c r="AA320" s="7">
        <f t="shared" si="43"/>
        <v>104581.2</v>
      </c>
      <c r="AB320" s="7">
        <f t="shared" si="44"/>
        <v>140384.20000000001</v>
      </c>
    </row>
    <row r="321" spans="1:28" x14ac:dyDescent="0.25">
      <c r="A321">
        <v>6732216945</v>
      </c>
      <c r="B321" t="s">
        <v>1239</v>
      </c>
      <c r="C321" t="s">
        <v>1240</v>
      </c>
      <c r="D321" t="str">
        <f>B321&amp;" "&amp;C321</f>
        <v>Lucila Fosh</v>
      </c>
      <c r="E321" t="s">
        <v>7</v>
      </c>
      <c r="F321">
        <v>35593</v>
      </c>
      <c r="G321">
        <f>COUNTIF(deals_closed!D:D,Calculations!A321)</f>
        <v>24</v>
      </c>
      <c r="H321" s="2">
        <f>SUMIF(deals_closed!D:D,Calculations!A321,deals_closed!C:C)</f>
        <v>818243</v>
      </c>
      <c r="I321" s="2">
        <f>VLOOKUP(E321,'2018_commission_structure'!$A$11:$I$14,9,FALSE)</f>
        <v>500000</v>
      </c>
      <c r="J321" s="2">
        <f t="shared" si="36"/>
        <v>625000</v>
      </c>
      <c r="K321" s="2">
        <f t="shared" si="37"/>
        <v>750000</v>
      </c>
      <c r="L321" s="2">
        <f t="shared" si="38"/>
        <v>1000000</v>
      </c>
      <c r="M321" s="6">
        <f t="shared" si="39"/>
        <v>1.6364860000000001</v>
      </c>
      <c r="N321" t="str">
        <f t="shared" si="40"/>
        <v>150-200%</v>
      </c>
      <c r="O321" s="7">
        <f>MIN(I321,H321)*INDEX('2018_commission_structure'!$A$11:$I$14,MATCH(Calculations!$E321,'2018_commission_structure'!$A$11:$A$14,0),MATCH(Calculations!O$1,'2018_commission_structure'!$A$11:$I$11,0))</f>
        <v>50000</v>
      </c>
      <c r="P321" s="7">
        <f>IF($H321&gt;I321,MIN($H321-I321,J321-I321)*INDEX('2018_commission_structure'!$A$11:$I$14,MATCH(Calculations!$E321,'2018_commission_structure'!$A$11:$A$14,0), MATCH(Calculations!P$1,'2018_commission_structure'!$A$11:$I$11,0)),0)</f>
        <v>18750</v>
      </c>
      <c r="Q321" s="7">
        <f>IF($H321&gt;J321,MIN($H321-J321,K321-J321)*INDEX('2018_commission_structure'!$A$11:$I$14,MATCH(Calculations!$E321,'2018_commission_structure'!$A$11:$A$14,0), MATCH(Calculations!Q$1,'2018_commission_structure'!$A$11:$I$11,0)),0)</f>
        <v>22500</v>
      </c>
      <c r="R321" s="7">
        <f>IF($H321&gt;K321,MIN($H321-K321,L321-K321)*INDEX('2018_commission_structure'!$A$11:$I$14,MATCH(Calculations!$E321,'2018_commission_structure'!$A$11:$A$14,0), MATCH(Calculations!R$1,'2018_commission_structure'!$A$11:$I$11,0)),0)</f>
        <v>15013.460000000001</v>
      </c>
      <c r="S321" s="7">
        <f>IF(H321&gt;L321,(H321-L321)*INDEX('2018_commission_structure'!$A$11:$I$14,MATCH(Calculations!$E321,'2018_commission_structure'!$A$11:$A$14,0),MATCH(Calculations!S$1,'2018_commission_structure'!$A$11:$I$11,0)),0)</f>
        <v>0</v>
      </c>
      <c r="T321" s="7">
        <f t="shared" si="41"/>
        <v>106263.46</v>
      </c>
      <c r="U321" s="7">
        <f t="shared" si="42"/>
        <v>141856.46000000002</v>
      </c>
      <c r="V321" s="7">
        <f>MIN(H321,I321)*INDEX('2018_commission_structure'!$A$5:$J$8,MATCH(Calculations!$E321,'2018_commission_structure'!$A$5:$A$8,0),MATCH(Calculations!V$1,'2018_commission_structure'!$A$5:$J$5,0))</f>
        <v>60000</v>
      </c>
      <c r="W321" s="2">
        <f>IF($H321&gt;I321,MIN($H321-I321,J321-I321)*INDEX('2018_commission_structure'!$A$5:$J$8,MATCH(Calculations!$E321,'2018_commission_structure'!$A$5:$A$8,0),MATCH(Calculations!W$1,'2018_commission_structure'!$A$5:$J$5,0)),0)</f>
        <v>21250</v>
      </c>
      <c r="X321" s="2">
        <f>IF($H321&gt;J321,MIN($H321-J321,K321-J321)*INDEX('2018_commission_structure'!$A$5:$J$8,MATCH(Calculations!$E321,'2018_commission_structure'!$A$5:$A$8,0),MATCH(Calculations!X$1,'2018_commission_structure'!$A$5:$J$5,0)),0)</f>
        <v>25000</v>
      </c>
      <c r="Y321" s="2">
        <f>IF($H321&gt;K321,MIN($H321-K321,L321-K321)*INDEX('2018_commission_structure'!$A$5:$J$8,MATCH(Calculations!$E321,'2018_commission_structure'!$A$5:$A$8,0),MATCH(Calculations!Y$1,'2018_commission_structure'!$A$5:$J$5,0)),0)</f>
        <v>15013.460000000001</v>
      </c>
      <c r="Z321" s="2">
        <f xml:space="preserve"> IF(H321&gt;L321,(H321-L321)*INDEX('2018_commission_structure'!$A$11:$I$14,MATCH(Calculations!$E321,'2018_commission_structure'!$A$11:$A$14,0),MATCH(Calculations!Z$1,'2018_commission_structure'!$A$11:$I$11,0)),0)</f>
        <v>0</v>
      </c>
      <c r="AA321" s="7">
        <f t="shared" si="43"/>
        <v>121263.46</v>
      </c>
      <c r="AB321" s="7">
        <f t="shared" si="44"/>
        <v>156856.46000000002</v>
      </c>
    </row>
    <row r="322" spans="1:28" x14ac:dyDescent="0.25">
      <c r="A322">
        <v>3469413983</v>
      </c>
      <c r="B322" t="s">
        <v>34</v>
      </c>
      <c r="C322" t="s">
        <v>35</v>
      </c>
      <c r="D322" t="str">
        <f>B322&amp;" "&amp;C322</f>
        <v>Danit Fosserd</v>
      </c>
      <c r="E322" t="s">
        <v>7</v>
      </c>
      <c r="F322">
        <v>38104</v>
      </c>
      <c r="G322">
        <f>COUNTIF(deals_closed!D:D,Calculations!A322)</f>
        <v>20</v>
      </c>
      <c r="H322" s="2">
        <f>SUMIF(deals_closed!D:D,Calculations!A322,deals_closed!C:C)</f>
        <v>665862</v>
      </c>
      <c r="I322" s="2">
        <f>VLOOKUP(E322,'2018_commission_structure'!$A$11:$I$14,9,FALSE)</f>
        <v>500000</v>
      </c>
      <c r="J322" s="2">
        <f t="shared" ref="J322:J385" si="45">I322*1.25</f>
        <v>625000</v>
      </c>
      <c r="K322" s="2">
        <f t="shared" ref="K322:K385" si="46">I322*1.5</f>
        <v>750000</v>
      </c>
      <c r="L322" s="2">
        <f t="shared" ref="L322:L385" si="47">I322*2</f>
        <v>1000000</v>
      </c>
      <c r="M322" s="6">
        <f t="shared" ref="M322:M385" si="48">H322/I322</f>
        <v>1.3317239999999999</v>
      </c>
      <c r="N322" t="str">
        <f t="shared" ref="N322:N385" si="49">IF(M322&lt;=1, "0-100%", IF(M322&lt;=1.25, "100-125%", IF(M322&lt;=1.5, "125-150%", IF(M322&lt;=2, "150-200%", "&gt;200%"))))</f>
        <v>125-150%</v>
      </c>
      <c r="O322" s="7">
        <f>MIN(I322,H322)*INDEX('2018_commission_structure'!$A$11:$I$14,MATCH(Calculations!$E322,'2018_commission_structure'!$A$11:$A$14,0),MATCH(Calculations!O$1,'2018_commission_structure'!$A$11:$I$11,0))</f>
        <v>50000</v>
      </c>
      <c r="P322" s="7">
        <f>IF($H322&gt;I322,MIN($H322-I322,J322-I322)*INDEX('2018_commission_structure'!$A$11:$I$14,MATCH(Calculations!$E322,'2018_commission_structure'!$A$11:$A$14,0), MATCH(Calculations!P$1,'2018_commission_structure'!$A$11:$I$11,0)),0)</f>
        <v>18750</v>
      </c>
      <c r="Q322" s="7">
        <f>IF($H322&gt;J322,MIN($H322-J322,K322-J322)*INDEX('2018_commission_structure'!$A$11:$I$14,MATCH(Calculations!$E322,'2018_commission_structure'!$A$11:$A$14,0), MATCH(Calculations!Q$1,'2018_commission_structure'!$A$11:$I$11,0)),0)</f>
        <v>7355.16</v>
      </c>
      <c r="R322" s="7">
        <f>IF($H322&gt;K322,MIN($H322-K322,L322-K322)*INDEX('2018_commission_structure'!$A$11:$I$14,MATCH(Calculations!$E322,'2018_commission_structure'!$A$11:$A$14,0), MATCH(Calculations!R$1,'2018_commission_structure'!$A$11:$I$11,0)),0)</f>
        <v>0</v>
      </c>
      <c r="S322" s="7">
        <f>IF(H322&gt;L322,(H322-L322)*INDEX('2018_commission_structure'!$A$11:$I$14,MATCH(Calculations!$E322,'2018_commission_structure'!$A$11:$A$14,0),MATCH(Calculations!S$1,'2018_commission_structure'!$A$11:$I$11,0)),0)</f>
        <v>0</v>
      </c>
      <c r="T322" s="7">
        <f t="shared" ref="T322:T385" si="50">SUM(O322:S322)</f>
        <v>76105.16</v>
      </c>
      <c r="U322" s="7">
        <f t="shared" ref="U322:U385" si="51">T322+F322</f>
        <v>114209.16</v>
      </c>
      <c r="V322" s="7">
        <f>MIN(H322,I322)*INDEX('2018_commission_structure'!$A$5:$J$8,MATCH(Calculations!$E322,'2018_commission_structure'!$A$5:$A$8,0),MATCH(Calculations!V$1,'2018_commission_structure'!$A$5:$J$5,0))</f>
        <v>60000</v>
      </c>
      <c r="W322" s="2">
        <f>IF($H322&gt;I322,MIN($H322-I322,J322-I322)*INDEX('2018_commission_structure'!$A$5:$J$8,MATCH(Calculations!$E322,'2018_commission_structure'!$A$5:$A$8,0),MATCH(Calculations!W$1,'2018_commission_structure'!$A$5:$J$5,0)),0)</f>
        <v>21250</v>
      </c>
      <c r="X322" s="2">
        <f>IF($H322&gt;J322,MIN($H322-J322,K322-J322)*INDEX('2018_commission_structure'!$A$5:$J$8,MATCH(Calculations!$E322,'2018_commission_structure'!$A$5:$A$8,0),MATCH(Calculations!X$1,'2018_commission_structure'!$A$5:$J$5,0)),0)</f>
        <v>8172.4000000000005</v>
      </c>
      <c r="Y322" s="2">
        <f>IF($H322&gt;K322,MIN($H322-K322,L322-K322)*INDEX('2018_commission_structure'!$A$5:$J$8,MATCH(Calculations!$E322,'2018_commission_structure'!$A$5:$A$8,0),MATCH(Calculations!Y$1,'2018_commission_structure'!$A$5:$J$5,0)),0)</f>
        <v>0</v>
      </c>
      <c r="Z322" s="2">
        <f xml:space="preserve"> IF(H322&gt;L322,(H322-L322)*INDEX('2018_commission_structure'!$A$11:$I$14,MATCH(Calculations!$E322,'2018_commission_structure'!$A$11:$A$14,0),MATCH(Calculations!Z$1,'2018_commission_structure'!$A$11:$I$11,0)),0)</f>
        <v>0</v>
      </c>
      <c r="AA322" s="7">
        <f t="shared" si="43"/>
        <v>89422.399999999994</v>
      </c>
      <c r="AB322" s="7">
        <f t="shared" si="44"/>
        <v>127526.39999999999</v>
      </c>
    </row>
    <row r="323" spans="1:28" x14ac:dyDescent="0.25">
      <c r="A323">
        <v>8189289020</v>
      </c>
      <c r="B323" t="s">
        <v>699</v>
      </c>
      <c r="C323" t="s">
        <v>700</v>
      </c>
      <c r="D323" t="str">
        <f>B323&amp;" "&amp;C323</f>
        <v>Lotty Foxall</v>
      </c>
      <c r="E323" t="s">
        <v>10</v>
      </c>
      <c r="F323">
        <v>112300</v>
      </c>
      <c r="G323">
        <f>COUNTIF(deals_closed!D:D,Calculations!A323)</f>
        <v>22</v>
      </c>
      <c r="H323" s="2">
        <f>SUMIF(deals_closed!D:D,Calculations!A323,deals_closed!C:C)</f>
        <v>780989</v>
      </c>
      <c r="I323" s="2">
        <f>VLOOKUP(E323,'2018_commission_structure'!$A$11:$I$14,9,FALSE)</f>
        <v>750000</v>
      </c>
      <c r="J323" s="2">
        <f t="shared" si="45"/>
        <v>937500</v>
      </c>
      <c r="K323" s="2">
        <f t="shared" si="46"/>
        <v>1125000</v>
      </c>
      <c r="L323" s="2">
        <f t="shared" si="47"/>
        <v>1500000</v>
      </c>
      <c r="M323" s="6">
        <f t="shared" si="48"/>
        <v>1.0413186666666667</v>
      </c>
      <c r="N323" t="str">
        <f t="shared" si="49"/>
        <v>100-125%</v>
      </c>
      <c r="O323" s="7">
        <f>MIN(I323,H323)*INDEX('2018_commission_structure'!$A$11:$I$14,MATCH(Calculations!$E323,'2018_commission_structure'!$A$11:$A$14,0),MATCH(Calculations!O$1,'2018_commission_structure'!$A$11:$I$11,0))</f>
        <v>112500</v>
      </c>
      <c r="P323" s="7">
        <f>IF($H323&gt;I323,MIN($H323-I323,J323-I323)*INDEX('2018_commission_structure'!$A$11:$I$14,MATCH(Calculations!$E323,'2018_commission_structure'!$A$11:$A$14,0), MATCH(Calculations!P$1,'2018_commission_structure'!$A$11:$I$11,0)),0)</f>
        <v>5887.91</v>
      </c>
      <c r="Q323" s="7">
        <f>IF($H323&gt;J323,MIN($H323-J323,K323-J323)*INDEX('2018_commission_structure'!$A$11:$I$14,MATCH(Calculations!$E323,'2018_commission_structure'!$A$11:$A$14,0), MATCH(Calculations!Q$1,'2018_commission_structure'!$A$11:$I$11,0)),0)</f>
        <v>0</v>
      </c>
      <c r="R323" s="7">
        <f>IF($H323&gt;K323,MIN($H323-K323,L323-K323)*INDEX('2018_commission_structure'!$A$11:$I$14,MATCH(Calculations!$E323,'2018_commission_structure'!$A$11:$A$14,0), MATCH(Calculations!R$1,'2018_commission_structure'!$A$11:$I$11,0)),0)</f>
        <v>0</v>
      </c>
      <c r="S323" s="7">
        <f>IF(H323&gt;L323,(H323-L323)*INDEX('2018_commission_structure'!$A$11:$I$14,MATCH(Calculations!$E323,'2018_commission_structure'!$A$11:$A$14,0),MATCH(Calculations!S$1,'2018_commission_structure'!$A$11:$I$11,0)),0)</f>
        <v>0</v>
      </c>
      <c r="T323" s="7">
        <f t="shared" si="50"/>
        <v>118387.91</v>
      </c>
      <c r="U323" s="7">
        <f t="shared" si="51"/>
        <v>230687.91</v>
      </c>
      <c r="V323" s="7">
        <f>MIN(H323,I323)*INDEX('2018_commission_structure'!$A$5:$J$8,MATCH(Calculations!$E323,'2018_commission_structure'!$A$5:$A$8,0),MATCH(Calculations!V$1,'2018_commission_structure'!$A$5:$J$5,0))</f>
        <v>112500</v>
      </c>
      <c r="W323" s="2">
        <f>IF($H323&gt;I323,MIN($H323-I323,J323-I323)*INDEX('2018_commission_structure'!$A$5:$J$8,MATCH(Calculations!$E323,'2018_commission_structure'!$A$5:$A$8,0),MATCH(Calculations!W$1,'2018_commission_structure'!$A$5:$J$5,0)),0)</f>
        <v>6817.58</v>
      </c>
      <c r="X323" s="2">
        <f>IF($H323&gt;J323,MIN($H323-J323,K323-J323)*INDEX('2018_commission_structure'!$A$5:$J$8,MATCH(Calculations!$E323,'2018_commission_structure'!$A$5:$A$8,0),MATCH(Calculations!X$1,'2018_commission_structure'!$A$5:$J$5,0)),0)</f>
        <v>0</v>
      </c>
      <c r="Y323" s="2">
        <f>IF($H323&gt;K323,MIN($H323-K323,L323-K323)*INDEX('2018_commission_structure'!$A$5:$J$8,MATCH(Calculations!$E323,'2018_commission_structure'!$A$5:$A$8,0),MATCH(Calculations!Y$1,'2018_commission_structure'!$A$5:$J$5,0)),0)</f>
        <v>0</v>
      </c>
      <c r="Z323" s="2">
        <f xml:space="preserve"> IF(H323&gt;L323,(H323-L323)*INDEX('2018_commission_structure'!$A$11:$I$14,MATCH(Calculations!$E323,'2018_commission_structure'!$A$11:$A$14,0),MATCH(Calculations!Z$1,'2018_commission_structure'!$A$11:$I$11,0)),0)</f>
        <v>0</v>
      </c>
      <c r="AA323" s="7">
        <f t="shared" ref="AA323:AA386" si="52">SUM(V323:Z323)</f>
        <v>119317.58</v>
      </c>
      <c r="AB323" s="7">
        <f t="shared" ref="AB323:AB386" si="53">AA323+F323</f>
        <v>231617.58000000002</v>
      </c>
    </row>
    <row r="324" spans="1:28" x14ac:dyDescent="0.25">
      <c r="A324">
        <v>7233077789</v>
      </c>
      <c r="B324" t="s">
        <v>444</v>
      </c>
      <c r="C324" t="s">
        <v>445</v>
      </c>
      <c r="D324" t="str">
        <f>B324&amp;" "&amp;C324</f>
        <v>Horatio Franchyonok</v>
      </c>
      <c r="E324" t="s">
        <v>7</v>
      </c>
      <c r="F324">
        <v>43173</v>
      </c>
      <c r="G324">
        <f>COUNTIF(deals_closed!D:D,Calculations!A324)</f>
        <v>18</v>
      </c>
      <c r="H324" s="2">
        <f>SUMIF(deals_closed!D:D,Calculations!A324,deals_closed!C:C)</f>
        <v>600732</v>
      </c>
      <c r="I324" s="2">
        <f>VLOOKUP(E324,'2018_commission_structure'!$A$11:$I$14,9,FALSE)</f>
        <v>500000</v>
      </c>
      <c r="J324" s="2">
        <f t="shared" si="45"/>
        <v>625000</v>
      </c>
      <c r="K324" s="2">
        <f t="shared" si="46"/>
        <v>750000</v>
      </c>
      <c r="L324" s="2">
        <f t="shared" si="47"/>
        <v>1000000</v>
      </c>
      <c r="M324" s="6">
        <f t="shared" si="48"/>
        <v>1.2014640000000001</v>
      </c>
      <c r="N324" t="str">
        <f t="shared" si="49"/>
        <v>100-125%</v>
      </c>
      <c r="O324" s="7">
        <f>MIN(I324,H324)*INDEX('2018_commission_structure'!$A$11:$I$14,MATCH(Calculations!$E324,'2018_commission_structure'!$A$11:$A$14,0),MATCH(Calculations!O$1,'2018_commission_structure'!$A$11:$I$11,0))</f>
        <v>50000</v>
      </c>
      <c r="P324" s="7">
        <f>IF($H324&gt;I324,MIN($H324-I324,J324-I324)*INDEX('2018_commission_structure'!$A$11:$I$14,MATCH(Calculations!$E324,'2018_commission_structure'!$A$11:$A$14,0), MATCH(Calculations!P$1,'2018_commission_structure'!$A$11:$I$11,0)),0)</f>
        <v>15109.8</v>
      </c>
      <c r="Q324" s="7">
        <f>IF($H324&gt;J324,MIN($H324-J324,K324-J324)*INDEX('2018_commission_structure'!$A$11:$I$14,MATCH(Calculations!$E324,'2018_commission_structure'!$A$11:$A$14,0), MATCH(Calculations!Q$1,'2018_commission_structure'!$A$11:$I$11,0)),0)</f>
        <v>0</v>
      </c>
      <c r="R324" s="7">
        <f>IF($H324&gt;K324,MIN($H324-K324,L324-K324)*INDEX('2018_commission_structure'!$A$11:$I$14,MATCH(Calculations!$E324,'2018_commission_structure'!$A$11:$A$14,0), MATCH(Calculations!R$1,'2018_commission_structure'!$A$11:$I$11,0)),0)</f>
        <v>0</v>
      </c>
      <c r="S324" s="7">
        <f>IF(H324&gt;L324,(H324-L324)*INDEX('2018_commission_structure'!$A$11:$I$14,MATCH(Calculations!$E324,'2018_commission_structure'!$A$11:$A$14,0),MATCH(Calculations!S$1,'2018_commission_structure'!$A$11:$I$11,0)),0)</f>
        <v>0</v>
      </c>
      <c r="T324" s="7">
        <f t="shared" si="50"/>
        <v>65109.8</v>
      </c>
      <c r="U324" s="7">
        <f t="shared" si="51"/>
        <v>108282.8</v>
      </c>
      <c r="V324" s="7">
        <f>MIN(H324,I324)*INDEX('2018_commission_structure'!$A$5:$J$8,MATCH(Calculations!$E324,'2018_commission_structure'!$A$5:$A$8,0),MATCH(Calculations!V$1,'2018_commission_structure'!$A$5:$J$5,0))</f>
        <v>60000</v>
      </c>
      <c r="W324" s="2">
        <f>IF($H324&gt;I324,MIN($H324-I324,J324-I324)*INDEX('2018_commission_structure'!$A$5:$J$8,MATCH(Calculations!$E324,'2018_commission_structure'!$A$5:$A$8,0),MATCH(Calculations!W$1,'2018_commission_structure'!$A$5:$J$5,0)),0)</f>
        <v>17124.440000000002</v>
      </c>
      <c r="X324" s="2">
        <f>IF($H324&gt;J324,MIN($H324-J324,K324-J324)*INDEX('2018_commission_structure'!$A$5:$J$8,MATCH(Calculations!$E324,'2018_commission_structure'!$A$5:$A$8,0),MATCH(Calculations!X$1,'2018_commission_structure'!$A$5:$J$5,0)),0)</f>
        <v>0</v>
      </c>
      <c r="Y324" s="2">
        <f>IF($H324&gt;K324,MIN($H324-K324,L324-K324)*INDEX('2018_commission_structure'!$A$5:$J$8,MATCH(Calculations!$E324,'2018_commission_structure'!$A$5:$A$8,0),MATCH(Calculations!Y$1,'2018_commission_structure'!$A$5:$J$5,0)),0)</f>
        <v>0</v>
      </c>
      <c r="Z324" s="2">
        <f xml:space="preserve"> IF(H324&gt;L324,(H324-L324)*INDEX('2018_commission_structure'!$A$11:$I$14,MATCH(Calculations!$E324,'2018_commission_structure'!$A$11:$A$14,0),MATCH(Calculations!Z$1,'2018_commission_structure'!$A$11:$I$11,0)),0)</f>
        <v>0</v>
      </c>
      <c r="AA324" s="7">
        <f t="shared" si="52"/>
        <v>77124.44</v>
      </c>
      <c r="AB324" s="7">
        <f t="shared" si="53"/>
        <v>120297.44</v>
      </c>
    </row>
    <row r="325" spans="1:28" x14ac:dyDescent="0.25">
      <c r="A325">
        <v>8545135858</v>
      </c>
      <c r="B325" t="s">
        <v>876</v>
      </c>
      <c r="C325" t="s">
        <v>877</v>
      </c>
      <c r="D325" t="str">
        <f>B325&amp;" "&amp;C325</f>
        <v>Annis Francomb</v>
      </c>
      <c r="E325" t="s">
        <v>7</v>
      </c>
      <c r="F325">
        <v>41563</v>
      </c>
      <c r="G325">
        <f>COUNTIF(deals_closed!D:D,Calculations!A325)</f>
        <v>20</v>
      </c>
      <c r="H325" s="2">
        <f>SUMIF(deals_closed!D:D,Calculations!A325,deals_closed!C:C)</f>
        <v>734794</v>
      </c>
      <c r="I325" s="2">
        <f>VLOOKUP(E325,'2018_commission_structure'!$A$11:$I$14,9,FALSE)</f>
        <v>500000</v>
      </c>
      <c r="J325" s="2">
        <f t="shared" si="45"/>
        <v>625000</v>
      </c>
      <c r="K325" s="2">
        <f t="shared" si="46"/>
        <v>750000</v>
      </c>
      <c r="L325" s="2">
        <f t="shared" si="47"/>
        <v>1000000</v>
      </c>
      <c r="M325" s="6">
        <f t="shared" si="48"/>
        <v>1.4695879999999999</v>
      </c>
      <c r="N325" t="str">
        <f t="shared" si="49"/>
        <v>125-150%</v>
      </c>
      <c r="O325" s="7">
        <f>MIN(I325,H325)*INDEX('2018_commission_structure'!$A$11:$I$14,MATCH(Calculations!$E325,'2018_commission_structure'!$A$11:$A$14,0),MATCH(Calculations!O$1,'2018_commission_structure'!$A$11:$I$11,0))</f>
        <v>50000</v>
      </c>
      <c r="P325" s="7">
        <f>IF($H325&gt;I325,MIN($H325-I325,J325-I325)*INDEX('2018_commission_structure'!$A$11:$I$14,MATCH(Calculations!$E325,'2018_commission_structure'!$A$11:$A$14,0), MATCH(Calculations!P$1,'2018_commission_structure'!$A$11:$I$11,0)),0)</f>
        <v>18750</v>
      </c>
      <c r="Q325" s="7">
        <f>IF($H325&gt;J325,MIN($H325-J325,K325-J325)*INDEX('2018_commission_structure'!$A$11:$I$14,MATCH(Calculations!$E325,'2018_commission_structure'!$A$11:$A$14,0), MATCH(Calculations!Q$1,'2018_commission_structure'!$A$11:$I$11,0)),0)</f>
        <v>19762.919999999998</v>
      </c>
      <c r="R325" s="7">
        <f>IF($H325&gt;K325,MIN($H325-K325,L325-K325)*INDEX('2018_commission_structure'!$A$11:$I$14,MATCH(Calculations!$E325,'2018_commission_structure'!$A$11:$A$14,0), MATCH(Calculations!R$1,'2018_commission_structure'!$A$11:$I$11,0)),0)</f>
        <v>0</v>
      </c>
      <c r="S325" s="7">
        <f>IF(H325&gt;L325,(H325-L325)*INDEX('2018_commission_structure'!$A$11:$I$14,MATCH(Calculations!$E325,'2018_commission_structure'!$A$11:$A$14,0),MATCH(Calculations!S$1,'2018_commission_structure'!$A$11:$I$11,0)),0)</f>
        <v>0</v>
      </c>
      <c r="T325" s="7">
        <f t="shared" si="50"/>
        <v>88512.92</v>
      </c>
      <c r="U325" s="7">
        <f t="shared" si="51"/>
        <v>130075.92</v>
      </c>
      <c r="V325" s="7">
        <f>MIN(H325,I325)*INDEX('2018_commission_structure'!$A$5:$J$8,MATCH(Calculations!$E325,'2018_commission_structure'!$A$5:$A$8,0),MATCH(Calculations!V$1,'2018_commission_structure'!$A$5:$J$5,0))</f>
        <v>60000</v>
      </c>
      <c r="W325" s="2">
        <f>IF($H325&gt;I325,MIN($H325-I325,J325-I325)*INDEX('2018_commission_structure'!$A$5:$J$8,MATCH(Calculations!$E325,'2018_commission_structure'!$A$5:$A$8,0),MATCH(Calculations!W$1,'2018_commission_structure'!$A$5:$J$5,0)),0)</f>
        <v>21250</v>
      </c>
      <c r="X325" s="2">
        <f>IF($H325&gt;J325,MIN($H325-J325,K325-J325)*INDEX('2018_commission_structure'!$A$5:$J$8,MATCH(Calculations!$E325,'2018_commission_structure'!$A$5:$A$8,0),MATCH(Calculations!X$1,'2018_commission_structure'!$A$5:$J$5,0)),0)</f>
        <v>21958.800000000003</v>
      </c>
      <c r="Y325" s="2">
        <f>IF($H325&gt;K325,MIN($H325-K325,L325-K325)*INDEX('2018_commission_structure'!$A$5:$J$8,MATCH(Calculations!$E325,'2018_commission_structure'!$A$5:$A$8,0),MATCH(Calculations!Y$1,'2018_commission_structure'!$A$5:$J$5,0)),0)</f>
        <v>0</v>
      </c>
      <c r="Z325" s="2">
        <f xml:space="preserve"> IF(H325&gt;L325,(H325-L325)*INDEX('2018_commission_structure'!$A$11:$I$14,MATCH(Calculations!$E325,'2018_commission_structure'!$A$11:$A$14,0),MATCH(Calculations!Z$1,'2018_commission_structure'!$A$11:$I$11,0)),0)</f>
        <v>0</v>
      </c>
      <c r="AA325" s="7">
        <f t="shared" si="52"/>
        <v>103208.8</v>
      </c>
      <c r="AB325" s="7">
        <f t="shared" si="53"/>
        <v>144771.79999999999</v>
      </c>
    </row>
    <row r="326" spans="1:28" x14ac:dyDescent="0.25">
      <c r="A326">
        <v>8445779583</v>
      </c>
      <c r="B326" t="s">
        <v>1488</v>
      </c>
      <c r="C326" t="s">
        <v>1489</v>
      </c>
      <c r="D326" t="str">
        <f>B326&amp;" "&amp;C326</f>
        <v>Cyndia Fratson</v>
      </c>
      <c r="E326" t="s">
        <v>29</v>
      </c>
      <c r="F326">
        <v>61293</v>
      </c>
      <c r="G326">
        <f>COUNTIF(deals_closed!D:D,Calculations!A326)</f>
        <v>16</v>
      </c>
      <c r="H326" s="2">
        <f>SUMIF(deals_closed!D:D,Calculations!A326,deals_closed!C:C)</f>
        <v>569297</v>
      </c>
      <c r="I326" s="2">
        <f>VLOOKUP(E326,'2018_commission_structure'!$A$11:$I$14,9,FALSE)</f>
        <v>600000</v>
      </c>
      <c r="J326" s="2">
        <f t="shared" si="45"/>
        <v>750000</v>
      </c>
      <c r="K326" s="2">
        <f t="shared" si="46"/>
        <v>900000</v>
      </c>
      <c r="L326" s="2">
        <f t="shared" si="47"/>
        <v>1200000</v>
      </c>
      <c r="M326" s="6">
        <f t="shared" si="48"/>
        <v>0.94882833333333338</v>
      </c>
      <c r="N326" t="str">
        <f t="shared" si="49"/>
        <v>0-100%</v>
      </c>
      <c r="O326" s="7">
        <f>MIN(I326,H326)*INDEX('2018_commission_structure'!$A$11:$I$14,MATCH(Calculations!$E326,'2018_commission_structure'!$A$11:$A$14,0),MATCH(Calculations!O$1,'2018_commission_structure'!$A$11:$I$11,0))</f>
        <v>74008.61</v>
      </c>
      <c r="P326" s="7">
        <f>IF($H326&gt;I326,MIN($H326-I326,J326-I326)*INDEX('2018_commission_structure'!$A$11:$I$14,MATCH(Calculations!$E326,'2018_commission_structure'!$A$11:$A$14,0), MATCH(Calculations!P$1,'2018_commission_structure'!$A$11:$I$11,0)),0)</f>
        <v>0</v>
      </c>
      <c r="Q326" s="7">
        <f>IF($H326&gt;J326,MIN($H326-J326,K326-J326)*INDEX('2018_commission_structure'!$A$11:$I$14,MATCH(Calculations!$E326,'2018_commission_structure'!$A$11:$A$14,0), MATCH(Calculations!Q$1,'2018_commission_structure'!$A$11:$I$11,0)),0)</f>
        <v>0</v>
      </c>
      <c r="R326" s="7">
        <f>IF($H326&gt;K326,MIN($H326-K326,L326-K326)*INDEX('2018_commission_structure'!$A$11:$I$14,MATCH(Calculations!$E326,'2018_commission_structure'!$A$11:$A$14,0), MATCH(Calculations!R$1,'2018_commission_structure'!$A$11:$I$11,0)),0)</f>
        <v>0</v>
      </c>
      <c r="S326" s="7">
        <f>IF(H326&gt;L326,(H326-L326)*INDEX('2018_commission_structure'!$A$11:$I$14,MATCH(Calculations!$E326,'2018_commission_structure'!$A$11:$A$14,0),MATCH(Calculations!S$1,'2018_commission_structure'!$A$11:$I$11,0)),0)</f>
        <v>0</v>
      </c>
      <c r="T326" s="7">
        <f t="shared" si="50"/>
        <v>74008.61</v>
      </c>
      <c r="U326" s="7">
        <f t="shared" si="51"/>
        <v>135301.60999999999</v>
      </c>
      <c r="V326" s="7">
        <f>MIN(H326,I326)*INDEX('2018_commission_structure'!$A$5:$J$8,MATCH(Calculations!$E326,'2018_commission_structure'!$A$5:$A$8,0),MATCH(Calculations!V$1,'2018_commission_structure'!$A$5:$J$5,0))</f>
        <v>85394.55</v>
      </c>
      <c r="W326" s="2">
        <f>IF($H326&gt;I326,MIN($H326-I326,J326-I326)*INDEX('2018_commission_structure'!$A$5:$J$8,MATCH(Calculations!$E326,'2018_commission_structure'!$A$5:$A$8,0),MATCH(Calculations!W$1,'2018_commission_structure'!$A$5:$J$5,0)),0)</f>
        <v>0</v>
      </c>
      <c r="X326" s="2">
        <f>IF($H326&gt;J326,MIN($H326-J326,K326-J326)*INDEX('2018_commission_structure'!$A$5:$J$8,MATCH(Calculations!$E326,'2018_commission_structure'!$A$5:$A$8,0),MATCH(Calculations!X$1,'2018_commission_structure'!$A$5:$J$5,0)),0)</f>
        <v>0</v>
      </c>
      <c r="Y326" s="2">
        <f>IF($H326&gt;K326,MIN($H326-K326,L326-K326)*INDEX('2018_commission_structure'!$A$5:$J$8,MATCH(Calculations!$E326,'2018_commission_structure'!$A$5:$A$8,0),MATCH(Calculations!Y$1,'2018_commission_structure'!$A$5:$J$5,0)),0)</f>
        <v>0</v>
      </c>
      <c r="Z326" s="2">
        <f xml:space="preserve"> IF(H326&gt;L326,(H326-L326)*INDEX('2018_commission_structure'!$A$11:$I$14,MATCH(Calculations!$E326,'2018_commission_structure'!$A$11:$A$14,0),MATCH(Calculations!Z$1,'2018_commission_structure'!$A$11:$I$11,0)),0)</f>
        <v>0</v>
      </c>
      <c r="AA326" s="7">
        <f t="shared" si="52"/>
        <v>85394.55</v>
      </c>
      <c r="AB326" s="7">
        <f t="shared" si="53"/>
        <v>146687.54999999999</v>
      </c>
    </row>
    <row r="327" spans="1:28" x14ac:dyDescent="0.25">
      <c r="A327">
        <v>4472356473</v>
      </c>
      <c r="B327" t="s">
        <v>254</v>
      </c>
      <c r="C327" t="s">
        <v>255</v>
      </c>
      <c r="D327" t="str">
        <f>B327&amp;" "&amp;C327</f>
        <v>Gradey Frazier</v>
      </c>
      <c r="E327" t="s">
        <v>10</v>
      </c>
      <c r="F327">
        <v>79672</v>
      </c>
      <c r="G327">
        <f>COUNTIF(deals_closed!D:D,Calculations!A327)</f>
        <v>17</v>
      </c>
      <c r="H327" s="2">
        <f>SUMIF(deals_closed!D:D,Calculations!A327,deals_closed!C:C)</f>
        <v>609192</v>
      </c>
      <c r="I327" s="2">
        <f>VLOOKUP(E327,'2018_commission_structure'!$A$11:$I$14,9,FALSE)</f>
        <v>750000</v>
      </c>
      <c r="J327" s="2">
        <f t="shared" si="45"/>
        <v>937500</v>
      </c>
      <c r="K327" s="2">
        <f t="shared" si="46"/>
        <v>1125000</v>
      </c>
      <c r="L327" s="2">
        <f t="shared" si="47"/>
        <v>1500000</v>
      </c>
      <c r="M327" s="6">
        <f t="shared" si="48"/>
        <v>0.81225599999999998</v>
      </c>
      <c r="N327" t="str">
        <f t="shared" si="49"/>
        <v>0-100%</v>
      </c>
      <c r="O327" s="7">
        <f>MIN(I327,H327)*INDEX('2018_commission_structure'!$A$11:$I$14,MATCH(Calculations!$E327,'2018_commission_structure'!$A$11:$A$14,0),MATCH(Calculations!O$1,'2018_commission_structure'!$A$11:$I$11,0))</f>
        <v>91378.8</v>
      </c>
      <c r="P327" s="7">
        <f>IF($H327&gt;I327,MIN($H327-I327,J327-I327)*INDEX('2018_commission_structure'!$A$11:$I$14,MATCH(Calculations!$E327,'2018_commission_structure'!$A$11:$A$14,0), MATCH(Calculations!P$1,'2018_commission_structure'!$A$11:$I$11,0)),0)</f>
        <v>0</v>
      </c>
      <c r="Q327" s="7">
        <f>IF($H327&gt;J327,MIN($H327-J327,K327-J327)*INDEX('2018_commission_structure'!$A$11:$I$14,MATCH(Calculations!$E327,'2018_commission_structure'!$A$11:$A$14,0), MATCH(Calculations!Q$1,'2018_commission_structure'!$A$11:$I$11,0)),0)</f>
        <v>0</v>
      </c>
      <c r="R327" s="7">
        <f>IF($H327&gt;K327,MIN($H327-K327,L327-K327)*INDEX('2018_commission_structure'!$A$11:$I$14,MATCH(Calculations!$E327,'2018_commission_structure'!$A$11:$A$14,0), MATCH(Calculations!R$1,'2018_commission_structure'!$A$11:$I$11,0)),0)</f>
        <v>0</v>
      </c>
      <c r="S327" s="7">
        <f>IF(H327&gt;L327,(H327-L327)*INDEX('2018_commission_structure'!$A$11:$I$14,MATCH(Calculations!$E327,'2018_commission_structure'!$A$11:$A$14,0),MATCH(Calculations!S$1,'2018_commission_structure'!$A$11:$I$11,0)),0)</f>
        <v>0</v>
      </c>
      <c r="T327" s="7">
        <f t="shared" si="50"/>
        <v>91378.8</v>
      </c>
      <c r="U327" s="7">
        <f t="shared" si="51"/>
        <v>171050.8</v>
      </c>
      <c r="V327" s="7">
        <f>MIN(H327,I327)*INDEX('2018_commission_structure'!$A$5:$J$8,MATCH(Calculations!$E327,'2018_commission_structure'!$A$5:$A$8,0),MATCH(Calculations!V$1,'2018_commission_structure'!$A$5:$J$5,0))</f>
        <v>91378.8</v>
      </c>
      <c r="W327" s="2">
        <f>IF($H327&gt;I327,MIN($H327-I327,J327-I327)*INDEX('2018_commission_structure'!$A$5:$J$8,MATCH(Calculations!$E327,'2018_commission_structure'!$A$5:$A$8,0),MATCH(Calculations!W$1,'2018_commission_structure'!$A$5:$J$5,0)),0)</f>
        <v>0</v>
      </c>
      <c r="X327" s="2">
        <f>IF($H327&gt;J327,MIN($H327-J327,K327-J327)*INDEX('2018_commission_structure'!$A$5:$J$8,MATCH(Calculations!$E327,'2018_commission_structure'!$A$5:$A$8,0),MATCH(Calculations!X$1,'2018_commission_structure'!$A$5:$J$5,0)),0)</f>
        <v>0</v>
      </c>
      <c r="Y327" s="2">
        <f>IF($H327&gt;K327,MIN($H327-K327,L327-K327)*INDEX('2018_commission_structure'!$A$5:$J$8,MATCH(Calculations!$E327,'2018_commission_structure'!$A$5:$A$8,0),MATCH(Calculations!Y$1,'2018_commission_structure'!$A$5:$J$5,0)),0)</f>
        <v>0</v>
      </c>
      <c r="Z327" s="2">
        <f xml:space="preserve"> IF(H327&gt;L327,(H327-L327)*INDEX('2018_commission_structure'!$A$11:$I$14,MATCH(Calculations!$E327,'2018_commission_structure'!$A$11:$A$14,0),MATCH(Calculations!Z$1,'2018_commission_structure'!$A$11:$I$11,0)),0)</f>
        <v>0</v>
      </c>
      <c r="AA327" s="7">
        <f t="shared" si="52"/>
        <v>91378.8</v>
      </c>
      <c r="AB327" s="7">
        <f t="shared" si="53"/>
        <v>171050.8</v>
      </c>
    </row>
    <row r="328" spans="1:28" x14ac:dyDescent="0.25">
      <c r="A328">
        <v>8154943166</v>
      </c>
      <c r="B328" t="s">
        <v>1914</v>
      </c>
      <c r="C328" t="s">
        <v>1915</v>
      </c>
      <c r="D328" t="str">
        <f>B328&amp;" "&amp;C328</f>
        <v>Arleen Freezor</v>
      </c>
      <c r="E328" t="s">
        <v>7</v>
      </c>
      <c r="F328">
        <v>38259</v>
      </c>
      <c r="G328">
        <f>COUNTIF(deals_closed!D:D,Calculations!A328)</f>
        <v>14</v>
      </c>
      <c r="H328" s="2">
        <f>SUMIF(deals_closed!D:D,Calculations!A328,deals_closed!C:C)</f>
        <v>518943</v>
      </c>
      <c r="I328" s="2">
        <f>VLOOKUP(E328,'2018_commission_structure'!$A$11:$I$14,9,FALSE)</f>
        <v>500000</v>
      </c>
      <c r="J328" s="2">
        <f t="shared" si="45"/>
        <v>625000</v>
      </c>
      <c r="K328" s="2">
        <f t="shared" si="46"/>
        <v>750000</v>
      </c>
      <c r="L328" s="2">
        <f t="shared" si="47"/>
        <v>1000000</v>
      </c>
      <c r="M328" s="6">
        <f t="shared" si="48"/>
        <v>1.0378860000000001</v>
      </c>
      <c r="N328" t="str">
        <f t="shared" si="49"/>
        <v>100-125%</v>
      </c>
      <c r="O328" s="7">
        <f>MIN(I328,H328)*INDEX('2018_commission_structure'!$A$11:$I$14,MATCH(Calculations!$E328,'2018_commission_structure'!$A$11:$A$14,0),MATCH(Calculations!O$1,'2018_commission_structure'!$A$11:$I$11,0))</f>
        <v>50000</v>
      </c>
      <c r="P328" s="7">
        <f>IF($H328&gt;I328,MIN($H328-I328,J328-I328)*INDEX('2018_commission_structure'!$A$11:$I$14,MATCH(Calculations!$E328,'2018_commission_structure'!$A$11:$A$14,0), MATCH(Calculations!P$1,'2018_commission_structure'!$A$11:$I$11,0)),0)</f>
        <v>2841.45</v>
      </c>
      <c r="Q328" s="7">
        <f>IF($H328&gt;J328,MIN($H328-J328,K328-J328)*INDEX('2018_commission_structure'!$A$11:$I$14,MATCH(Calculations!$E328,'2018_commission_structure'!$A$11:$A$14,0), MATCH(Calculations!Q$1,'2018_commission_structure'!$A$11:$I$11,0)),0)</f>
        <v>0</v>
      </c>
      <c r="R328" s="7">
        <f>IF($H328&gt;K328,MIN($H328-K328,L328-K328)*INDEX('2018_commission_structure'!$A$11:$I$14,MATCH(Calculations!$E328,'2018_commission_structure'!$A$11:$A$14,0), MATCH(Calculations!R$1,'2018_commission_structure'!$A$11:$I$11,0)),0)</f>
        <v>0</v>
      </c>
      <c r="S328" s="7">
        <f>IF(H328&gt;L328,(H328-L328)*INDEX('2018_commission_structure'!$A$11:$I$14,MATCH(Calculations!$E328,'2018_commission_structure'!$A$11:$A$14,0),MATCH(Calculations!S$1,'2018_commission_structure'!$A$11:$I$11,0)),0)</f>
        <v>0</v>
      </c>
      <c r="T328" s="7">
        <f t="shared" si="50"/>
        <v>52841.45</v>
      </c>
      <c r="U328" s="7">
        <f t="shared" si="51"/>
        <v>91100.45</v>
      </c>
      <c r="V328" s="7">
        <f>MIN(H328,I328)*INDEX('2018_commission_structure'!$A$5:$J$8,MATCH(Calculations!$E328,'2018_commission_structure'!$A$5:$A$8,0),MATCH(Calculations!V$1,'2018_commission_structure'!$A$5:$J$5,0))</f>
        <v>60000</v>
      </c>
      <c r="W328" s="2">
        <f>IF($H328&gt;I328,MIN($H328-I328,J328-I328)*INDEX('2018_commission_structure'!$A$5:$J$8,MATCH(Calculations!$E328,'2018_commission_structure'!$A$5:$A$8,0),MATCH(Calculations!W$1,'2018_commission_structure'!$A$5:$J$5,0)),0)</f>
        <v>3220.3100000000004</v>
      </c>
      <c r="X328" s="2">
        <f>IF($H328&gt;J328,MIN($H328-J328,K328-J328)*INDEX('2018_commission_structure'!$A$5:$J$8,MATCH(Calculations!$E328,'2018_commission_structure'!$A$5:$A$8,0),MATCH(Calculations!X$1,'2018_commission_structure'!$A$5:$J$5,0)),0)</f>
        <v>0</v>
      </c>
      <c r="Y328" s="2">
        <f>IF($H328&gt;K328,MIN($H328-K328,L328-K328)*INDEX('2018_commission_structure'!$A$5:$J$8,MATCH(Calculations!$E328,'2018_commission_structure'!$A$5:$A$8,0),MATCH(Calculations!Y$1,'2018_commission_structure'!$A$5:$J$5,0)),0)</f>
        <v>0</v>
      </c>
      <c r="Z328" s="2">
        <f xml:space="preserve"> IF(H328&gt;L328,(H328-L328)*INDEX('2018_commission_structure'!$A$11:$I$14,MATCH(Calculations!$E328,'2018_commission_structure'!$A$11:$A$14,0),MATCH(Calculations!Z$1,'2018_commission_structure'!$A$11:$I$11,0)),0)</f>
        <v>0</v>
      </c>
      <c r="AA328" s="7">
        <f t="shared" si="52"/>
        <v>63220.31</v>
      </c>
      <c r="AB328" s="7">
        <f t="shared" si="53"/>
        <v>101479.31</v>
      </c>
    </row>
    <row r="329" spans="1:28" x14ac:dyDescent="0.25">
      <c r="A329">
        <v>9207464802</v>
      </c>
      <c r="B329" t="s">
        <v>1745</v>
      </c>
      <c r="C329" t="s">
        <v>1746</v>
      </c>
      <c r="D329" t="str">
        <f>B329&amp;" "&amp;C329</f>
        <v>Arvin Friar</v>
      </c>
      <c r="E329" t="s">
        <v>10</v>
      </c>
      <c r="F329">
        <v>109300</v>
      </c>
      <c r="G329">
        <f>COUNTIF(deals_closed!D:D,Calculations!A329)</f>
        <v>14</v>
      </c>
      <c r="H329" s="2">
        <f>SUMIF(deals_closed!D:D,Calculations!A329,deals_closed!C:C)</f>
        <v>459709</v>
      </c>
      <c r="I329" s="2">
        <f>VLOOKUP(E329,'2018_commission_structure'!$A$11:$I$14,9,FALSE)</f>
        <v>750000</v>
      </c>
      <c r="J329" s="2">
        <f t="shared" si="45"/>
        <v>937500</v>
      </c>
      <c r="K329" s="2">
        <f t="shared" si="46"/>
        <v>1125000</v>
      </c>
      <c r="L329" s="2">
        <f t="shared" si="47"/>
        <v>1500000</v>
      </c>
      <c r="M329" s="6">
        <f t="shared" si="48"/>
        <v>0.61294533333333334</v>
      </c>
      <c r="N329" t="str">
        <f t="shared" si="49"/>
        <v>0-100%</v>
      </c>
      <c r="O329" s="7">
        <f>MIN(I329,H329)*INDEX('2018_commission_structure'!$A$11:$I$14,MATCH(Calculations!$E329,'2018_commission_structure'!$A$11:$A$14,0),MATCH(Calculations!O$1,'2018_commission_structure'!$A$11:$I$11,0))</f>
        <v>68956.349999999991</v>
      </c>
      <c r="P329" s="7">
        <f>IF($H329&gt;I329,MIN($H329-I329,J329-I329)*INDEX('2018_commission_structure'!$A$11:$I$14,MATCH(Calculations!$E329,'2018_commission_structure'!$A$11:$A$14,0), MATCH(Calculations!P$1,'2018_commission_structure'!$A$11:$I$11,0)),0)</f>
        <v>0</v>
      </c>
      <c r="Q329" s="7">
        <f>IF($H329&gt;J329,MIN($H329-J329,K329-J329)*INDEX('2018_commission_structure'!$A$11:$I$14,MATCH(Calculations!$E329,'2018_commission_structure'!$A$11:$A$14,0), MATCH(Calculations!Q$1,'2018_commission_structure'!$A$11:$I$11,0)),0)</f>
        <v>0</v>
      </c>
      <c r="R329" s="7">
        <f>IF($H329&gt;K329,MIN($H329-K329,L329-K329)*INDEX('2018_commission_structure'!$A$11:$I$14,MATCH(Calculations!$E329,'2018_commission_structure'!$A$11:$A$14,0), MATCH(Calculations!R$1,'2018_commission_structure'!$A$11:$I$11,0)),0)</f>
        <v>0</v>
      </c>
      <c r="S329" s="7">
        <f>IF(H329&gt;L329,(H329-L329)*INDEX('2018_commission_structure'!$A$11:$I$14,MATCH(Calculations!$E329,'2018_commission_structure'!$A$11:$A$14,0),MATCH(Calculations!S$1,'2018_commission_structure'!$A$11:$I$11,0)),0)</f>
        <v>0</v>
      </c>
      <c r="T329" s="7">
        <f t="shared" si="50"/>
        <v>68956.349999999991</v>
      </c>
      <c r="U329" s="7">
        <f t="shared" si="51"/>
        <v>178256.34999999998</v>
      </c>
      <c r="V329" s="7">
        <f>MIN(H329,I329)*INDEX('2018_commission_structure'!$A$5:$J$8,MATCH(Calculations!$E329,'2018_commission_structure'!$A$5:$A$8,0),MATCH(Calculations!V$1,'2018_commission_structure'!$A$5:$J$5,0))</f>
        <v>68956.349999999991</v>
      </c>
      <c r="W329" s="2">
        <f>IF($H329&gt;I329,MIN($H329-I329,J329-I329)*INDEX('2018_commission_structure'!$A$5:$J$8,MATCH(Calculations!$E329,'2018_commission_structure'!$A$5:$A$8,0),MATCH(Calculations!W$1,'2018_commission_structure'!$A$5:$J$5,0)),0)</f>
        <v>0</v>
      </c>
      <c r="X329" s="2">
        <f>IF($H329&gt;J329,MIN($H329-J329,K329-J329)*INDEX('2018_commission_structure'!$A$5:$J$8,MATCH(Calculations!$E329,'2018_commission_structure'!$A$5:$A$8,0),MATCH(Calculations!X$1,'2018_commission_structure'!$A$5:$J$5,0)),0)</f>
        <v>0</v>
      </c>
      <c r="Y329" s="2">
        <f>IF($H329&gt;K329,MIN($H329-K329,L329-K329)*INDEX('2018_commission_structure'!$A$5:$J$8,MATCH(Calculations!$E329,'2018_commission_structure'!$A$5:$A$8,0),MATCH(Calculations!Y$1,'2018_commission_structure'!$A$5:$J$5,0)),0)</f>
        <v>0</v>
      </c>
      <c r="Z329" s="2">
        <f xml:space="preserve"> IF(H329&gt;L329,(H329-L329)*INDEX('2018_commission_structure'!$A$11:$I$14,MATCH(Calculations!$E329,'2018_commission_structure'!$A$11:$A$14,0),MATCH(Calculations!Z$1,'2018_commission_structure'!$A$11:$I$11,0)),0)</f>
        <v>0</v>
      </c>
      <c r="AA329" s="7">
        <f t="shared" si="52"/>
        <v>68956.349999999991</v>
      </c>
      <c r="AB329" s="7">
        <f t="shared" si="53"/>
        <v>178256.34999999998</v>
      </c>
    </row>
    <row r="330" spans="1:28" x14ac:dyDescent="0.25">
      <c r="A330">
        <v>959209328</v>
      </c>
      <c r="B330" t="s">
        <v>1549</v>
      </c>
      <c r="C330" t="s">
        <v>1640</v>
      </c>
      <c r="D330" t="str">
        <f>B330&amp;" "&amp;C330</f>
        <v>Rodd Froggatt</v>
      </c>
      <c r="E330" t="s">
        <v>7</v>
      </c>
      <c r="F330">
        <v>48352</v>
      </c>
      <c r="G330">
        <f>COUNTIF(deals_closed!D:D,Calculations!A330)</f>
        <v>11</v>
      </c>
      <c r="H330" s="2">
        <f>SUMIF(deals_closed!D:D,Calculations!A330,deals_closed!C:C)</f>
        <v>408387</v>
      </c>
      <c r="I330" s="2">
        <f>VLOOKUP(E330,'2018_commission_structure'!$A$11:$I$14,9,FALSE)</f>
        <v>500000</v>
      </c>
      <c r="J330" s="2">
        <f t="shared" si="45"/>
        <v>625000</v>
      </c>
      <c r="K330" s="2">
        <f t="shared" si="46"/>
        <v>750000</v>
      </c>
      <c r="L330" s="2">
        <f t="shared" si="47"/>
        <v>1000000</v>
      </c>
      <c r="M330" s="6">
        <f t="shared" si="48"/>
        <v>0.816774</v>
      </c>
      <c r="N330" t="str">
        <f t="shared" si="49"/>
        <v>0-100%</v>
      </c>
      <c r="O330" s="7">
        <f>MIN(I330,H330)*INDEX('2018_commission_structure'!$A$11:$I$14,MATCH(Calculations!$E330,'2018_commission_structure'!$A$11:$A$14,0),MATCH(Calculations!O$1,'2018_commission_structure'!$A$11:$I$11,0))</f>
        <v>40838.700000000004</v>
      </c>
      <c r="P330" s="7">
        <f>IF($H330&gt;I330,MIN($H330-I330,J330-I330)*INDEX('2018_commission_structure'!$A$11:$I$14,MATCH(Calculations!$E330,'2018_commission_structure'!$A$11:$A$14,0), MATCH(Calculations!P$1,'2018_commission_structure'!$A$11:$I$11,0)),0)</f>
        <v>0</v>
      </c>
      <c r="Q330" s="7">
        <f>IF($H330&gt;J330,MIN($H330-J330,K330-J330)*INDEX('2018_commission_structure'!$A$11:$I$14,MATCH(Calculations!$E330,'2018_commission_structure'!$A$11:$A$14,0), MATCH(Calculations!Q$1,'2018_commission_structure'!$A$11:$I$11,0)),0)</f>
        <v>0</v>
      </c>
      <c r="R330" s="7">
        <f>IF($H330&gt;K330,MIN($H330-K330,L330-K330)*INDEX('2018_commission_structure'!$A$11:$I$14,MATCH(Calculations!$E330,'2018_commission_structure'!$A$11:$A$14,0), MATCH(Calculations!R$1,'2018_commission_structure'!$A$11:$I$11,0)),0)</f>
        <v>0</v>
      </c>
      <c r="S330" s="7">
        <f>IF(H330&gt;L330,(H330-L330)*INDEX('2018_commission_structure'!$A$11:$I$14,MATCH(Calculations!$E330,'2018_commission_structure'!$A$11:$A$14,0),MATCH(Calculations!S$1,'2018_commission_structure'!$A$11:$I$11,0)),0)</f>
        <v>0</v>
      </c>
      <c r="T330" s="7">
        <f t="shared" si="50"/>
        <v>40838.700000000004</v>
      </c>
      <c r="U330" s="7">
        <f t="shared" si="51"/>
        <v>89190.700000000012</v>
      </c>
      <c r="V330" s="7">
        <f>MIN(H330,I330)*INDEX('2018_commission_structure'!$A$5:$J$8,MATCH(Calculations!$E330,'2018_commission_structure'!$A$5:$A$8,0),MATCH(Calculations!V$1,'2018_commission_structure'!$A$5:$J$5,0))</f>
        <v>49006.439999999995</v>
      </c>
      <c r="W330" s="2">
        <f>IF($H330&gt;I330,MIN($H330-I330,J330-I330)*INDEX('2018_commission_structure'!$A$5:$J$8,MATCH(Calculations!$E330,'2018_commission_structure'!$A$5:$A$8,0),MATCH(Calculations!W$1,'2018_commission_structure'!$A$5:$J$5,0)),0)</f>
        <v>0</v>
      </c>
      <c r="X330" s="2">
        <f>IF($H330&gt;J330,MIN($H330-J330,K330-J330)*INDEX('2018_commission_structure'!$A$5:$J$8,MATCH(Calculations!$E330,'2018_commission_structure'!$A$5:$A$8,0),MATCH(Calculations!X$1,'2018_commission_structure'!$A$5:$J$5,0)),0)</f>
        <v>0</v>
      </c>
      <c r="Y330" s="2">
        <f>IF($H330&gt;K330,MIN($H330-K330,L330-K330)*INDEX('2018_commission_structure'!$A$5:$J$8,MATCH(Calculations!$E330,'2018_commission_structure'!$A$5:$A$8,0),MATCH(Calculations!Y$1,'2018_commission_structure'!$A$5:$J$5,0)),0)</f>
        <v>0</v>
      </c>
      <c r="Z330" s="2">
        <f xml:space="preserve"> IF(H330&gt;L330,(H330-L330)*INDEX('2018_commission_structure'!$A$11:$I$14,MATCH(Calculations!$E330,'2018_commission_structure'!$A$11:$A$14,0),MATCH(Calculations!Z$1,'2018_commission_structure'!$A$11:$I$11,0)),0)</f>
        <v>0</v>
      </c>
      <c r="AA330" s="7">
        <f t="shared" si="52"/>
        <v>49006.439999999995</v>
      </c>
      <c r="AB330" s="7">
        <f t="shared" si="53"/>
        <v>97358.44</v>
      </c>
    </row>
    <row r="331" spans="1:28" x14ac:dyDescent="0.25">
      <c r="A331">
        <v>3435517239</v>
      </c>
      <c r="B331" t="s">
        <v>488</v>
      </c>
      <c r="C331" t="s">
        <v>489</v>
      </c>
      <c r="D331" t="str">
        <f>B331&amp;" "&amp;C331</f>
        <v>Taite Fulk</v>
      </c>
      <c r="E331" t="s">
        <v>7</v>
      </c>
      <c r="F331">
        <v>47873</v>
      </c>
      <c r="G331">
        <f>COUNTIF(deals_closed!D:D,Calculations!A331)</f>
        <v>20</v>
      </c>
      <c r="H331" s="2">
        <f>SUMIF(deals_closed!D:D,Calculations!A331,deals_closed!C:C)</f>
        <v>647076</v>
      </c>
      <c r="I331" s="2">
        <f>VLOOKUP(E331,'2018_commission_structure'!$A$11:$I$14,9,FALSE)</f>
        <v>500000</v>
      </c>
      <c r="J331" s="2">
        <f t="shared" si="45"/>
        <v>625000</v>
      </c>
      <c r="K331" s="2">
        <f t="shared" si="46"/>
        <v>750000</v>
      </c>
      <c r="L331" s="2">
        <f t="shared" si="47"/>
        <v>1000000</v>
      </c>
      <c r="M331" s="6">
        <f t="shared" si="48"/>
        <v>1.294152</v>
      </c>
      <c r="N331" t="str">
        <f t="shared" si="49"/>
        <v>125-150%</v>
      </c>
      <c r="O331" s="7">
        <f>MIN(I331,H331)*INDEX('2018_commission_structure'!$A$11:$I$14,MATCH(Calculations!$E331,'2018_commission_structure'!$A$11:$A$14,0),MATCH(Calculations!O$1,'2018_commission_structure'!$A$11:$I$11,0))</f>
        <v>50000</v>
      </c>
      <c r="P331" s="7">
        <f>IF($H331&gt;I331,MIN($H331-I331,J331-I331)*INDEX('2018_commission_structure'!$A$11:$I$14,MATCH(Calculations!$E331,'2018_commission_structure'!$A$11:$A$14,0), MATCH(Calculations!P$1,'2018_commission_structure'!$A$11:$I$11,0)),0)</f>
        <v>18750</v>
      </c>
      <c r="Q331" s="7">
        <f>IF($H331&gt;J331,MIN($H331-J331,K331-J331)*INDEX('2018_commission_structure'!$A$11:$I$14,MATCH(Calculations!$E331,'2018_commission_structure'!$A$11:$A$14,0), MATCH(Calculations!Q$1,'2018_commission_structure'!$A$11:$I$11,0)),0)</f>
        <v>3973.68</v>
      </c>
      <c r="R331" s="7">
        <f>IF($H331&gt;K331,MIN($H331-K331,L331-K331)*INDEX('2018_commission_structure'!$A$11:$I$14,MATCH(Calculations!$E331,'2018_commission_structure'!$A$11:$A$14,0), MATCH(Calculations!R$1,'2018_commission_structure'!$A$11:$I$11,0)),0)</f>
        <v>0</v>
      </c>
      <c r="S331" s="7">
        <f>IF(H331&gt;L331,(H331-L331)*INDEX('2018_commission_structure'!$A$11:$I$14,MATCH(Calculations!$E331,'2018_commission_structure'!$A$11:$A$14,0),MATCH(Calculations!S$1,'2018_commission_structure'!$A$11:$I$11,0)),0)</f>
        <v>0</v>
      </c>
      <c r="T331" s="7">
        <f t="shared" si="50"/>
        <v>72723.679999999993</v>
      </c>
      <c r="U331" s="7">
        <f t="shared" si="51"/>
        <v>120596.68</v>
      </c>
      <c r="V331" s="7">
        <f>MIN(H331,I331)*INDEX('2018_commission_structure'!$A$5:$J$8,MATCH(Calculations!$E331,'2018_commission_structure'!$A$5:$A$8,0),MATCH(Calculations!V$1,'2018_commission_structure'!$A$5:$J$5,0))</f>
        <v>60000</v>
      </c>
      <c r="W331" s="2">
        <f>IF($H331&gt;I331,MIN($H331-I331,J331-I331)*INDEX('2018_commission_structure'!$A$5:$J$8,MATCH(Calculations!$E331,'2018_commission_structure'!$A$5:$A$8,0),MATCH(Calculations!W$1,'2018_commission_structure'!$A$5:$J$5,0)),0)</f>
        <v>21250</v>
      </c>
      <c r="X331" s="2">
        <f>IF($H331&gt;J331,MIN($H331-J331,K331-J331)*INDEX('2018_commission_structure'!$A$5:$J$8,MATCH(Calculations!$E331,'2018_commission_structure'!$A$5:$A$8,0),MATCH(Calculations!X$1,'2018_commission_structure'!$A$5:$J$5,0)),0)</f>
        <v>4415.2</v>
      </c>
      <c r="Y331" s="2">
        <f>IF($H331&gt;K331,MIN($H331-K331,L331-K331)*INDEX('2018_commission_structure'!$A$5:$J$8,MATCH(Calculations!$E331,'2018_commission_structure'!$A$5:$A$8,0),MATCH(Calculations!Y$1,'2018_commission_structure'!$A$5:$J$5,0)),0)</f>
        <v>0</v>
      </c>
      <c r="Z331" s="2">
        <f xml:space="preserve"> IF(H331&gt;L331,(H331-L331)*INDEX('2018_commission_structure'!$A$11:$I$14,MATCH(Calculations!$E331,'2018_commission_structure'!$A$11:$A$14,0),MATCH(Calculations!Z$1,'2018_commission_structure'!$A$11:$I$11,0)),0)</f>
        <v>0</v>
      </c>
      <c r="AA331" s="7">
        <f t="shared" si="52"/>
        <v>85665.2</v>
      </c>
      <c r="AB331" s="7">
        <f t="shared" si="53"/>
        <v>133538.20000000001</v>
      </c>
    </row>
    <row r="332" spans="1:28" x14ac:dyDescent="0.25">
      <c r="A332">
        <v>3217797337</v>
      </c>
      <c r="B332" t="s">
        <v>1419</v>
      </c>
      <c r="C332" t="s">
        <v>1420</v>
      </c>
      <c r="D332" t="str">
        <f>B332&amp;" "&amp;C332</f>
        <v>Delia Fylan</v>
      </c>
      <c r="E332" t="s">
        <v>7</v>
      </c>
      <c r="F332">
        <v>57960</v>
      </c>
      <c r="G332">
        <f>COUNTIF(deals_closed!D:D,Calculations!A332)</f>
        <v>23</v>
      </c>
      <c r="H332" s="2">
        <f>SUMIF(deals_closed!D:D,Calculations!A332,deals_closed!C:C)</f>
        <v>826017</v>
      </c>
      <c r="I332" s="2">
        <f>VLOOKUP(E332,'2018_commission_structure'!$A$11:$I$14,9,FALSE)</f>
        <v>500000</v>
      </c>
      <c r="J332" s="2">
        <f t="shared" si="45"/>
        <v>625000</v>
      </c>
      <c r="K332" s="2">
        <f t="shared" si="46"/>
        <v>750000</v>
      </c>
      <c r="L332" s="2">
        <f t="shared" si="47"/>
        <v>1000000</v>
      </c>
      <c r="M332" s="6">
        <f t="shared" si="48"/>
        <v>1.652034</v>
      </c>
      <c r="N332" t="str">
        <f t="shared" si="49"/>
        <v>150-200%</v>
      </c>
      <c r="O332" s="7">
        <f>MIN(I332,H332)*INDEX('2018_commission_structure'!$A$11:$I$14,MATCH(Calculations!$E332,'2018_commission_structure'!$A$11:$A$14,0),MATCH(Calculations!O$1,'2018_commission_structure'!$A$11:$I$11,0))</f>
        <v>50000</v>
      </c>
      <c r="P332" s="7">
        <f>IF($H332&gt;I332,MIN($H332-I332,J332-I332)*INDEX('2018_commission_structure'!$A$11:$I$14,MATCH(Calculations!$E332,'2018_commission_structure'!$A$11:$A$14,0), MATCH(Calculations!P$1,'2018_commission_structure'!$A$11:$I$11,0)),0)</f>
        <v>18750</v>
      </c>
      <c r="Q332" s="7">
        <f>IF($H332&gt;J332,MIN($H332-J332,K332-J332)*INDEX('2018_commission_structure'!$A$11:$I$14,MATCH(Calculations!$E332,'2018_commission_structure'!$A$11:$A$14,0), MATCH(Calculations!Q$1,'2018_commission_structure'!$A$11:$I$11,0)),0)</f>
        <v>22500</v>
      </c>
      <c r="R332" s="7">
        <f>IF($H332&gt;K332,MIN($H332-K332,L332-K332)*INDEX('2018_commission_structure'!$A$11:$I$14,MATCH(Calculations!$E332,'2018_commission_structure'!$A$11:$A$14,0), MATCH(Calculations!R$1,'2018_commission_structure'!$A$11:$I$11,0)),0)</f>
        <v>16723.740000000002</v>
      </c>
      <c r="S332" s="7">
        <f>IF(H332&gt;L332,(H332-L332)*INDEX('2018_commission_structure'!$A$11:$I$14,MATCH(Calculations!$E332,'2018_commission_structure'!$A$11:$A$14,0),MATCH(Calculations!S$1,'2018_commission_structure'!$A$11:$I$11,0)),0)</f>
        <v>0</v>
      </c>
      <c r="T332" s="7">
        <f t="shared" si="50"/>
        <v>107973.74</v>
      </c>
      <c r="U332" s="7">
        <f t="shared" si="51"/>
        <v>165933.74</v>
      </c>
      <c r="V332" s="7">
        <f>MIN(H332,I332)*INDEX('2018_commission_structure'!$A$5:$J$8,MATCH(Calculations!$E332,'2018_commission_structure'!$A$5:$A$8,0),MATCH(Calculations!V$1,'2018_commission_structure'!$A$5:$J$5,0))</f>
        <v>60000</v>
      </c>
      <c r="W332" s="2">
        <f>IF($H332&gt;I332,MIN($H332-I332,J332-I332)*INDEX('2018_commission_structure'!$A$5:$J$8,MATCH(Calculations!$E332,'2018_commission_structure'!$A$5:$A$8,0),MATCH(Calculations!W$1,'2018_commission_structure'!$A$5:$J$5,0)),0)</f>
        <v>21250</v>
      </c>
      <c r="X332" s="2">
        <f>IF($H332&gt;J332,MIN($H332-J332,K332-J332)*INDEX('2018_commission_structure'!$A$5:$J$8,MATCH(Calculations!$E332,'2018_commission_structure'!$A$5:$A$8,0),MATCH(Calculations!X$1,'2018_commission_structure'!$A$5:$J$5,0)),0)</f>
        <v>25000</v>
      </c>
      <c r="Y332" s="2">
        <f>IF($H332&gt;K332,MIN($H332-K332,L332-K332)*INDEX('2018_commission_structure'!$A$5:$J$8,MATCH(Calculations!$E332,'2018_commission_structure'!$A$5:$A$8,0),MATCH(Calculations!Y$1,'2018_commission_structure'!$A$5:$J$5,0)),0)</f>
        <v>16723.740000000002</v>
      </c>
      <c r="Z332" s="2">
        <f xml:space="preserve"> IF(H332&gt;L332,(H332-L332)*INDEX('2018_commission_structure'!$A$11:$I$14,MATCH(Calculations!$E332,'2018_commission_structure'!$A$11:$A$14,0),MATCH(Calculations!Z$1,'2018_commission_structure'!$A$11:$I$11,0)),0)</f>
        <v>0</v>
      </c>
      <c r="AA332" s="7">
        <f t="shared" si="52"/>
        <v>122973.74</v>
      </c>
      <c r="AB332" s="7">
        <f t="shared" si="53"/>
        <v>180933.74</v>
      </c>
    </row>
    <row r="333" spans="1:28" x14ac:dyDescent="0.25">
      <c r="A333">
        <v>7462528568</v>
      </c>
      <c r="B333" t="s">
        <v>555</v>
      </c>
      <c r="C333" t="s">
        <v>556</v>
      </c>
      <c r="D333" t="str">
        <f>B333&amp;" "&amp;C333</f>
        <v>Rani Gaffney</v>
      </c>
      <c r="E333" t="s">
        <v>29</v>
      </c>
      <c r="F333">
        <v>50108</v>
      </c>
      <c r="G333">
        <f>COUNTIF(deals_closed!D:D,Calculations!A333)</f>
        <v>20</v>
      </c>
      <c r="H333" s="2">
        <f>SUMIF(deals_closed!D:D,Calculations!A333,deals_closed!C:C)</f>
        <v>752931</v>
      </c>
      <c r="I333" s="2">
        <f>VLOOKUP(E333,'2018_commission_structure'!$A$11:$I$14,9,FALSE)</f>
        <v>600000</v>
      </c>
      <c r="J333" s="2">
        <f t="shared" si="45"/>
        <v>750000</v>
      </c>
      <c r="K333" s="2">
        <f t="shared" si="46"/>
        <v>900000</v>
      </c>
      <c r="L333" s="2">
        <f t="shared" si="47"/>
        <v>1200000</v>
      </c>
      <c r="M333" s="6">
        <f t="shared" si="48"/>
        <v>1.254885</v>
      </c>
      <c r="N333" t="str">
        <f t="shared" si="49"/>
        <v>125-150%</v>
      </c>
      <c r="O333" s="7">
        <f>MIN(I333,H333)*INDEX('2018_commission_structure'!$A$11:$I$14,MATCH(Calculations!$E333,'2018_commission_structure'!$A$11:$A$14,0),MATCH(Calculations!O$1,'2018_commission_structure'!$A$11:$I$11,0))</f>
        <v>78000</v>
      </c>
      <c r="P333" s="7">
        <f>IF($H333&gt;I333,MIN($H333-I333,J333-I333)*INDEX('2018_commission_structure'!$A$11:$I$14,MATCH(Calculations!$E333,'2018_commission_structure'!$A$11:$A$14,0), MATCH(Calculations!P$1,'2018_commission_structure'!$A$11:$I$11,0)),0)</f>
        <v>25500.000000000004</v>
      </c>
      <c r="Q333" s="7">
        <f>IF($H333&gt;J333,MIN($H333-J333,K333-J333)*INDEX('2018_commission_structure'!$A$11:$I$14,MATCH(Calculations!$E333,'2018_commission_structure'!$A$11:$A$14,0), MATCH(Calculations!Q$1,'2018_commission_structure'!$A$11:$I$11,0)),0)</f>
        <v>615.51</v>
      </c>
      <c r="R333" s="7">
        <f>IF($H333&gt;K333,MIN($H333-K333,L333-K333)*INDEX('2018_commission_structure'!$A$11:$I$14,MATCH(Calculations!$E333,'2018_commission_structure'!$A$11:$A$14,0), MATCH(Calculations!R$1,'2018_commission_structure'!$A$11:$I$11,0)),0)</f>
        <v>0</v>
      </c>
      <c r="S333" s="7">
        <f>IF(H333&gt;L333,(H333-L333)*INDEX('2018_commission_structure'!$A$11:$I$14,MATCH(Calculations!$E333,'2018_commission_structure'!$A$11:$A$14,0),MATCH(Calculations!S$1,'2018_commission_structure'!$A$11:$I$11,0)),0)</f>
        <v>0</v>
      </c>
      <c r="T333" s="7">
        <f t="shared" si="50"/>
        <v>104115.51</v>
      </c>
      <c r="U333" s="7">
        <f t="shared" si="51"/>
        <v>154223.51</v>
      </c>
      <c r="V333" s="7">
        <f>MIN(H333,I333)*INDEX('2018_commission_structure'!$A$5:$J$8,MATCH(Calculations!$E333,'2018_commission_structure'!$A$5:$A$8,0),MATCH(Calculations!V$1,'2018_commission_structure'!$A$5:$J$5,0))</f>
        <v>90000</v>
      </c>
      <c r="W333" s="2">
        <f>IF($H333&gt;I333,MIN($H333-I333,J333-I333)*INDEX('2018_commission_structure'!$A$5:$J$8,MATCH(Calculations!$E333,'2018_commission_structure'!$A$5:$A$8,0),MATCH(Calculations!W$1,'2018_commission_structure'!$A$5:$J$5,0)),0)</f>
        <v>27000</v>
      </c>
      <c r="X333" s="2">
        <f>IF($H333&gt;J333,MIN($H333-J333,K333-J333)*INDEX('2018_commission_structure'!$A$5:$J$8,MATCH(Calculations!$E333,'2018_commission_structure'!$A$5:$A$8,0),MATCH(Calculations!X$1,'2018_commission_structure'!$A$5:$J$5,0)),0)</f>
        <v>732.75</v>
      </c>
      <c r="Y333" s="2">
        <f>IF($H333&gt;K333,MIN($H333-K333,L333-K333)*INDEX('2018_commission_structure'!$A$5:$J$8,MATCH(Calculations!$E333,'2018_commission_structure'!$A$5:$A$8,0),MATCH(Calculations!Y$1,'2018_commission_structure'!$A$5:$J$5,0)),0)</f>
        <v>0</v>
      </c>
      <c r="Z333" s="2">
        <f xml:space="preserve"> IF(H333&gt;L333,(H333-L333)*INDEX('2018_commission_structure'!$A$11:$I$14,MATCH(Calculations!$E333,'2018_commission_structure'!$A$11:$A$14,0),MATCH(Calculations!Z$1,'2018_commission_structure'!$A$11:$I$11,0)),0)</f>
        <v>0</v>
      </c>
      <c r="AA333" s="7">
        <f t="shared" si="52"/>
        <v>117732.75</v>
      </c>
      <c r="AB333" s="7">
        <f t="shared" si="53"/>
        <v>167840.75</v>
      </c>
    </row>
    <row r="334" spans="1:28" x14ac:dyDescent="0.25">
      <c r="A334">
        <v>8239612253</v>
      </c>
      <c r="B334" t="s">
        <v>660</v>
      </c>
      <c r="C334" t="s">
        <v>661</v>
      </c>
      <c r="D334" t="str">
        <f>B334&amp;" "&amp;C334</f>
        <v>Ferrel Gainforth</v>
      </c>
      <c r="E334" t="s">
        <v>10</v>
      </c>
      <c r="F334">
        <v>81730</v>
      </c>
      <c r="G334">
        <f>COUNTIF(deals_closed!D:D,Calculations!A334)</f>
        <v>14</v>
      </c>
      <c r="H334" s="2">
        <f>SUMIF(deals_closed!D:D,Calculations!A334,deals_closed!C:C)</f>
        <v>539738</v>
      </c>
      <c r="I334" s="2">
        <f>VLOOKUP(E334,'2018_commission_structure'!$A$11:$I$14,9,FALSE)</f>
        <v>750000</v>
      </c>
      <c r="J334" s="2">
        <f t="shared" si="45"/>
        <v>937500</v>
      </c>
      <c r="K334" s="2">
        <f t="shared" si="46"/>
        <v>1125000</v>
      </c>
      <c r="L334" s="2">
        <f t="shared" si="47"/>
        <v>1500000</v>
      </c>
      <c r="M334" s="6">
        <f t="shared" si="48"/>
        <v>0.71965066666666666</v>
      </c>
      <c r="N334" t="str">
        <f t="shared" si="49"/>
        <v>0-100%</v>
      </c>
      <c r="O334" s="7">
        <f>MIN(I334,H334)*INDEX('2018_commission_structure'!$A$11:$I$14,MATCH(Calculations!$E334,'2018_commission_structure'!$A$11:$A$14,0),MATCH(Calculations!O$1,'2018_commission_structure'!$A$11:$I$11,0))</f>
        <v>80960.7</v>
      </c>
      <c r="P334" s="7">
        <f>IF($H334&gt;I334,MIN($H334-I334,J334-I334)*INDEX('2018_commission_structure'!$A$11:$I$14,MATCH(Calculations!$E334,'2018_commission_structure'!$A$11:$A$14,0), MATCH(Calculations!P$1,'2018_commission_structure'!$A$11:$I$11,0)),0)</f>
        <v>0</v>
      </c>
      <c r="Q334" s="7">
        <f>IF($H334&gt;J334,MIN($H334-J334,K334-J334)*INDEX('2018_commission_structure'!$A$11:$I$14,MATCH(Calculations!$E334,'2018_commission_structure'!$A$11:$A$14,0), MATCH(Calculations!Q$1,'2018_commission_structure'!$A$11:$I$11,0)),0)</f>
        <v>0</v>
      </c>
      <c r="R334" s="7">
        <f>IF($H334&gt;K334,MIN($H334-K334,L334-K334)*INDEX('2018_commission_structure'!$A$11:$I$14,MATCH(Calculations!$E334,'2018_commission_structure'!$A$11:$A$14,0), MATCH(Calculations!R$1,'2018_commission_structure'!$A$11:$I$11,0)),0)</f>
        <v>0</v>
      </c>
      <c r="S334" s="7">
        <f>IF(H334&gt;L334,(H334-L334)*INDEX('2018_commission_structure'!$A$11:$I$14,MATCH(Calculations!$E334,'2018_commission_structure'!$A$11:$A$14,0),MATCH(Calculations!S$1,'2018_commission_structure'!$A$11:$I$11,0)),0)</f>
        <v>0</v>
      </c>
      <c r="T334" s="7">
        <f t="shared" si="50"/>
        <v>80960.7</v>
      </c>
      <c r="U334" s="7">
        <f t="shared" si="51"/>
        <v>162690.70000000001</v>
      </c>
      <c r="V334" s="7">
        <f>MIN(H334,I334)*INDEX('2018_commission_structure'!$A$5:$J$8,MATCH(Calculations!$E334,'2018_commission_structure'!$A$5:$A$8,0),MATCH(Calculations!V$1,'2018_commission_structure'!$A$5:$J$5,0))</f>
        <v>80960.7</v>
      </c>
      <c r="W334" s="2">
        <f>IF($H334&gt;I334,MIN($H334-I334,J334-I334)*INDEX('2018_commission_structure'!$A$5:$J$8,MATCH(Calculations!$E334,'2018_commission_structure'!$A$5:$A$8,0),MATCH(Calculations!W$1,'2018_commission_structure'!$A$5:$J$5,0)),0)</f>
        <v>0</v>
      </c>
      <c r="X334" s="2">
        <f>IF($H334&gt;J334,MIN($H334-J334,K334-J334)*INDEX('2018_commission_structure'!$A$5:$J$8,MATCH(Calculations!$E334,'2018_commission_structure'!$A$5:$A$8,0),MATCH(Calculations!X$1,'2018_commission_structure'!$A$5:$J$5,0)),0)</f>
        <v>0</v>
      </c>
      <c r="Y334" s="2">
        <f>IF($H334&gt;K334,MIN($H334-K334,L334-K334)*INDEX('2018_commission_structure'!$A$5:$J$8,MATCH(Calculations!$E334,'2018_commission_structure'!$A$5:$A$8,0),MATCH(Calculations!Y$1,'2018_commission_structure'!$A$5:$J$5,0)),0)</f>
        <v>0</v>
      </c>
      <c r="Z334" s="2">
        <f xml:space="preserve"> IF(H334&gt;L334,(H334-L334)*INDEX('2018_commission_structure'!$A$11:$I$14,MATCH(Calculations!$E334,'2018_commission_structure'!$A$11:$A$14,0),MATCH(Calculations!Z$1,'2018_commission_structure'!$A$11:$I$11,0)),0)</f>
        <v>0</v>
      </c>
      <c r="AA334" s="7">
        <f t="shared" si="52"/>
        <v>80960.7</v>
      </c>
      <c r="AB334" s="7">
        <f t="shared" si="53"/>
        <v>162690.70000000001</v>
      </c>
    </row>
    <row r="335" spans="1:28" x14ac:dyDescent="0.25">
      <c r="A335">
        <v>7367438190</v>
      </c>
      <c r="B335" t="s">
        <v>129</v>
      </c>
      <c r="C335" t="s">
        <v>130</v>
      </c>
      <c r="D335" t="str">
        <f>B335&amp;" "&amp;C335</f>
        <v>Rochella Galland</v>
      </c>
      <c r="E335" t="s">
        <v>7</v>
      </c>
      <c r="F335">
        <v>47043</v>
      </c>
      <c r="G335">
        <f>COUNTIF(deals_closed!D:D,Calculations!A335)</f>
        <v>24</v>
      </c>
      <c r="H335" s="2">
        <f>SUMIF(deals_closed!D:D,Calculations!A335,deals_closed!C:C)</f>
        <v>758395</v>
      </c>
      <c r="I335" s="2">
        <f>VLOOKUP(E335,'2018_commission_structure'!$A$11:$I$14,9,FALSE)</f>
        <v>500000</v>
      </c>
      <c r="J335" s="2">
        <f t="shared" si="45"/>
        <v>625000</v>
      </c>
      <c r="K335" s="2">
        <f t="shared" si="46"/>
        <v>750000</v>
      </c>
      <c r="L335" s="2">
        <f t="shared" si="47"/>
        <v>1000000</v>
      </c>
      <c r="M335" s="6">
        <f t="shared" si="48"/>
        <v>1.5167900000000001</v>
      </c>
      <c r="N335" t="str">
        <f t="shared" si="49"/>
        <v>150-200%</v>
      </c>
      <c r="O335" s="7">
        <f>MIN(I335,H335)*INDEX('2018_commission_structure'!$A$11:$I$14,MATCH(Calculations!$E335,'2018_commission_structure'!$A$11:$A$14,0),MATCH(Calculations!O$1,'2018_commission_structure'!$A$11:$I$11,0))</f>
        <v>50000</v>
      </c>
      <c r="P335" s="7">
        <f>IF($H335&gt;I335,MIN($H335-I335,J335-I335)*INDEX('2018_commission_structure'!$A$11:$I$14,MATCH(Calculations!$E335,'2018_commission_structure'!$A$11:$A$14,0), MATCH(Calculations!P$1,'2018_commission_structure'!$A$11:$I$11,0)),0)</f>
        <v>18750</v>
      </c>
      <c r="Q335" s="7">
        <f>IF($H335&gt;J335,MIN($H335-J335,K335-J335)*INDEX('2018_commission_structure'!$A$11:$I$14,MATCH(Calculations!$E335,'2018_commission_structure'!$A$11:$A$14,0), MATCH(Calculations!Q$1,'2018_commission_structure'!$A$11:$I$11,0)),0)</f>
        <v>22500</v>
      </c>
      <c r="R335" s="7">
        <f>IF($H335&gt;K335,MIN($H335-K335,L335-K335)*INDEX('2018_commission_structure'!$A$11:$I$14,MATCH(Calculations!$E335,'2018_commission_structure'!$A$11:$A$14,0), MATCH(Calculations!R$1,'2018_commission_structure'!$A$11:$I$11,0)),0)</f>
        <v>1846.9</v>
      </c>
      <c r="S335" s="7">
        <f>IF(H335&gt;L335,(H335-L335)*INDEX('2018_commission_structure'!$A$11:$I$14,MATCH(Calculations!$E335,'2018_commission_structure'!$A$11:$A$14,0),MATCH(Calculations!S$1,'2018_commission_structure'!$A$11:$I$11,0)),0)</f>
        <v>0</v>
      </c>
      <c r="T335" s="7">
        <f t="shared" si="50"/>
        <v>93096.9</v>
      </c>
      <c r="U335" s="7">
        <f t="shared" si="51"/>
        <v>140139.9</v>
      </c>
      <c r="V335" s="7">
        <f>MIN(H335,I335)*INDEX('2018_commission_structure'!$A$5:$J$8,MATCH(Calculations!$E335,'2018_commission_structure'!$A$5:$A$8,0),MATCH(Calculations!V$1,'2018_commission_structure'!$A$5:$J$5,0))</f>
        <v>60000</v>
      </c>
      <c r="W335" s="2">
        <f>IF($H335&gt;I335,MIN($H335-I335,J335-I335)*INDEX('2018_commission_structure'!$A$5:$J$8,MATCH(Calculations!$E335,'2018_commission_structure'!$A$5:$A$8,0),MATCH(Calculations!W$1,'2018_commission_structure'!$A$5:$J$5,0)),0)</f>
        <v>21250</v>
      </c>
      <c r="X335" s="2">
        <f>IF($H335&gt;J335,MIN($H335-J335,K335-J335)*INDEX('2018_commission_structure'!$A$5:$J$8,MATCH(Calculations!$E335,'2018_commission_structure'!$A$5:$A$8,0),MATCH(Calculations!X$1,'2018_commission_structure'!$A$5:$J$5,0)),0)</f>
        <v>25000</v>
      </c>
      <c r="Y335" s="2">
        <f>IF($H335&gt;K335,MIN($H335-K335,L335-K335)*INDEX('2018_commission_structure'!$A$5:$J$8,MATCH(Calculations!$E335,'2018_commission_structure'!$A$5:$A$8,0),MATCH(Calculations!Y$1,'2018_commission_structure'!$A$5:$J$5,0)),0)</f>
        <v>1846.9</v>
      </c>
      <c r="Z335" s="2">
        <f xml:space="preserve"> IF(H335&gt;L335,(H335-L335)*INDEX('2018_commission_structure'!$A$11:$I$14,MATCH(Calculations!$E335,'2018_commission_structure'!$A$11:$A$14,0),MATCH(Calculations!Z$1,'2018_commission_structure'!$A$11:$I$11,0)),0)</f>
        <v>0</v>
      </c>
      <c r="AA335" s="7">
        <f t="shared" si="52"/>
        <v>108096.9</v>
      </c>
      <c r="AB335" s="7">
        <f t="shared" si="53"/>
        <v>155139.9</v>
      </c>
    </row>
    <row r="336" spans="1:28" x14ac:dyDescent="0.25">
      <c r="A336">
        <v>5675852751</v>
      </c>
      <c r="B336" t="s">
        <v>1531</v>
      </c>
      <c r="C336" t="s">
        <v>130</v>
      </c>
      <c r="D336" t="str">
        <f>B336&amp;" "&amp;C336</f>
        <v>Junina Galland</v>
      </c>
      <c r="E336" t="s">
        <v>7</v>
      </c>
      <c r="F336">
        <v>62435</v>
      </c>
      <c r="G336">
        <f>COUNTIF(deals_closed!D:D,Calculations!A336)</f>
        <v>16</v>
      </c>
      <c r="H336" s="2">
        <f>SUMIF(deals_closed!D:D,Calculations!A336,deals_closed!C:C)</f>
        <v>637937</v>
      </c>
      <c r="I336" s="2">
        <f>VLOOKUP(E336,'2018_commission_structure'!$A$11:$I$14,9,FALSE)</f>
        <v>500000</v>
      </c>
      <c r="J336" s="2">
        <f t="shared" si="45"/>
        <v>625000</v>
      </c>
      <c r="K336" s="2">
        <f t="shared" si="46"/>
        <v>750000</v>
      </c>
      <c r="L336" s="2">
        <f t="shared" si="47"/>
        <v>1000000</v>
      </c>
      <c r="M336" s="6">
        <f t="shared" si="48"/>
        <v>1.275874</v>
      </c>
      <c r="N336" t="str">
        <f t="shared" si="49"/>
        <v>125-150%</v>
      </c>
      <c r="O336" s="7">
        <f>MIN(I336,H336)*INDEX('2018_commission_structure'!$A$11:$I$14,MATCH(Calculations!$E336,'2018_commission_structure'!$A$11:$A$14,0),MATCH(Calculations!O$1,'2018_commission_structure'!$A$11:$I$11,0))</f>
        <v>50000</v>
      </c>
      <c r="P336" s="7">
        <f>IF($H336&gt;I336,MIN($H336-I336,J336-I336)*INDEX('2018_commission_structure'!$A$11:$I$14,MATCH(Calculations!$E336,'2018_commission_structure'!$A$11:$A$14,0), MATCH(Calculations!P$1,'2018_commission_structure'!$A$11:$I$11,0)),0)</f>
        <v>18750</v>
      </c>
      <c r="Q336" s="7">
        <f>IF($H336&gt;J336,MIN($H336-J336,K336-J336)*INDEX('2018_commission_structure'!$A$11:$I$14,MATCH(Calculations!$E336,'2018_commission_structure'!$A$11:$A$14,0), MATCH(Calculations!Q$1,'2018_commission_structure'!$A$11:$I$11,0)),0)</f>
        <v>2328.66</v>
      </c>
      <c r="R336" s="7">
        <f>IF($H336&gt;K336,MIN($H336-K336,L336-K336)*INDEX('2018_commission_structure'!$A$11:$I$14,MATCH(Calculations!$E336,'2018_commission_structure'!$A$11:$A$14,0), MATCH(Calculations!R$1,'2018_commission_structure'!$A$11:$I$11,0)),0)</f>
        <v>0</v>
      </c>
      <c r="S336" s="7">
        <f>IF(H336&gt;L336,(H336-L336)*INDEX('2018_commission_structure'!$A$11:$I$14,MATCH(Calculations!$E336,'2018_commission_structure'!$A$11:$A$14,0),MATCH(Calculations!S$1,'2018_commission_structure'!$A$11:$I$11,0)),0)</f>
        <v>0</v>
      </c>
      <c r="T336" s="7">
        <f t="shared" si="50"/>
        <v>71078.66</v>
      </c>
      <c r="U336" s="7">
        <f t="shared" si="51"/>
        <v>133513.66</v>
      </c>
      <c r="V336" s="7">
        <f>MIN(H336,I336)*INDEX('2018_commission_structure'!$A$5:$J$8,MATCH(Calculations!$E336,'2018_commission_structure'!$A$5:$A$8,0),MATCH(Calculations!V$1,'2018_commission_structure'!$A$5:$J$5,0))</f>
        <v>60000</v>
      </c>
      <c r="W336" s="2">
        <f>IF($H336&gt;I336,MIN($H336-I336,J336-I336)*INDEX('2018_commission_structure'!$A$5:$J$8,MATCH(Calculations!$E336,'2018_commission_structure'!$A$5:$A$8,0),MATCH(Calculations!W$1,'2018_commission_structure'!$A$5:$J$5,0)),0)</f>
        <v>21250</v>
      </c>
      <c r="X336" s="2">
        <f>IF($H336&gt;J336,MIN($H336-J336,K336-J336)*INDEX('2018_commission_structure'!$A$5:$J$8,MATCH(Calculations!$E336,'2018_commission_structure'!$A$5:$A$8,0),MATCH(Calculations!X$1,'2018_commission_structure'!$A$5:$J$5,0)),0)</f>
        <v>2587.4</v>
      </c>
      <c r="Y336" s="2">
        <f>IF($H336&gt;K336,MIN($H336-K336,L336-K336)*INDEX('2018_commission_structure'!$A$5:$J$8,MATCH(Calculations!$E336,'2018_commission_structure'!$A$5:$A$8,0),MATCH(Calculations!Y$1,'2018_commission_structure'!$A$5:$J$5,0)),0)</f>
        <v>0</v>
      </c>
      <c r="Z336" s="2">
        <f xml:space="preserve"> IF(H336&gt;L336,(H336-L336)*INDEX('2018_commission_structure'!$A$11:$I$14,MATCH(Calculations!$E336,'2018_commission_structure'!$A$11:$A$14,0),MATCH(Calculations!Z$1,'2018_commission_structure'!$A$11:$I$11,0)),0)</f>
        <v>0</v>
      </c>
      <c r="AA336" s="7">
        <f t="shared" si="52"/>
        <v>83837.399999999994</v>
      </c>
      <c r="AB336" s="7">
        <f t="shared" si="53"/>
        <v>146272.4</v>
      </c>
    </row>
    <row r="337" spans="1:28" x14ac:dyDescent="0.25">
      <c r="A337">
        <v>3560320844</v>
      </c>
      <c r="B337" t="s">
        <v>1791</v>
      </c>
      <c r="C337" t="s">
        <v>1792</v>
      </c>
      <c r="D337" t="str">
        <f>B337&amp;" "&amp;C337</f>
        <v>Packston Gamlin</v>
      </c>
      <c r="E337" t="s">
        <v>29</v>
      </c>
      <c r="F337">
        <v>72341</v>
      </c>
      <c r="G337">
        <f>COUNTIF(deals_closed!D:D,Calculations!A337)</f>
        <v>22</v>
      </c>
      <c r="H337" s="2">
        <f>SUMIF(deals_closed!D:D,Calculations!A337,deals_closed!C:C)</f>
        <v>792767</v>
      </c>
      <c r="I337" s="2">
        <f>VLOOKUP(E337,'2018_commission_structure'!$A$11:$I$14,9,FALSE)</f>
        <v>600000</v>
      </c>
      <c r="J337" s="2">
        <f t="shared" si="45"/>
        <v>750000</v>
      </c>
      <c r="K337" s="2">
        <f t="shared" si="46"/>
        <v>900000</v>
      </c>
      <c r="L337" s="2">
        <f t="shared" si="47"/>
        <v>1200000</v>
      </c>
      <c r="M337" s="6">
        <f t="shared" si="48"/>
        <v>1.3212783333333333</v>
      </c>
      <c r="N337" t="str">
        <f t="shared" si="49"/>
        <v>125-150%</v>
      </c>
      <c r="O337" s="7">
        <f>MIN(I337,H337)*INDEX('2018_commission_structure'!$A$11:$I$14,MATCH(Calculations!$E337,'2018_commission_structure'!$A$11:$A$14,0),MATCH(Calculations!O$1,'2018_commission_structure'!$A$11:$I$11,0))</f>
        <v>78000</v>
      </c>
      <c r="P337" s="7">
        <f>IF($H337&gt;I337,MIN($H337-I337,J337-I337)*INDEX('2018_commission_structure'!$A$11:$I$14,MATCH(Calculations!$E337,'2018_commission_structure'!$A$11:$A$14,0), MATCH(Calculations!P$1,'2018_commission_structure'!$A$11:$I$11,0)),0)</f>
        <v>25500.000000000004</v>
      </c>
      <c r="Q337" s="7">
        <f>IF($H337&gt;J337,MIN($H337-J337,K337-J337)*INDEX('2018_commission_structure'!$A$11:$I$14,MATCH(Calculations!$E337,'2018_commission_structure'!$A$11:$A$14,0), MATCH(Calculations!Q$1,'2018_commission_structure'!$A$11:$I$11,0)),0)</f>
        <v>8981.07</v>
      </c>
      <c r="R337" s="7">
        <f>IF($H337&gt;K337,MIN($H337-K337,L337-K337)*INDEX('2018_commission_structure'!$A$11:$I$14,MATCH(Calculations!$E337,'2018_commission_structure'!$A$11:$A$14,0), MATCH(Calculations!R$1,'2018_commission_structure'!$A$11:$I$11,0)),0)</f>
        <v>0</v>
      </c>
      <c r="S337" s="7">
        <f>IF(H337&gt;L337,(H337-L337)*INDEX('2018_commission_structure'!$A$11:$I$14,MATCH(Calculations!$E337,'2018_commission_structure'!$A$11:$A$14,0),MATCH(Calculations!S$1,'2018_commission_structure'!$A$11:$I$11,0)),0)</f>
        <v>0</v>
      </c>
      <c r="T337" s="7">
        <f t="shared" si="50"/>
        <v>112481.07</v>
      </c>
      <c r="U337" s="7">
        <f t="shared" si="51"/>
        <v>184822.07</v>
      </c>
      <c r="V337" s="7">
        <f>MIN(H337,I337)*INDEX('2018_commission_structure'!$A$5:$J$8,MATCH(Calculations!$E337,'2018_commission_structure'!$A$5:$A$8,0),MATCH(Calculations!V$1,'2018_commission_structure'!$A$5:$J$5,0))</f>
        <v>90000</v>
      </c>
      <c r="W337" s="2">
        <f>IF($H337&gt;I337,MIN($H337-I337,J337-I337)*INDEX('2018_commission_structure'!$A$5:$J$8,MATCH(Calculations!$E337,'2018_commission_structure'!$A$5:$A$8,0),MATCH(Calculations!W$1,'2018_commission_structure'!$A$5:$J$5,0)),0)</f>
        <v>27000</v>
      </c>
      <c r="X337" s="2">
        <f>IF($H337&gt;J337,MIN($H337-J337,K337-J337)*INDEX('2018_commission_structure'!$A$5:$J$8,MATCH(Calculations!$E337,'2018_commission_structure'!$A$5:$A$8,0),MATCH(Calculations!X$1,'2018_commission_structure'!$A$5:$J$5,0)),0)</f>
        <v>10691.75</v>
      </c>
      <c r="Y337" s="2">
        <f>IF($H337&gt;K337,MIN($H337-K337,L337-K337)*INDEX('2018_commission_structure'!$A$5:$J$8,MATCH(Calculations!$E337,'2018_commission_structure'!$A$5:$A$8,0),MATCH(Calculations!Y$1,'2018_commission_structure'!$A$5:$J$5,0)),0)</f>
        <v>0</v>
      </c>
      <c r="Z337" s="2">
        <f xml:space="preserve"> IF(H337&gt;L337,(H337-L337)*INDEX('2018_commission_structure'!$A$11:$I$14,MATCH(Calculations!$E337,'2018_commission_structure'!$A$11:$A$14,0),MATCH(Calculations!Z$1,'2018_commission_structure'!$A$11:$I$11,0)),0)</f>
        <v>0</v>
      </c>
      <c r="AA337" s="7">
        <f t="shared" si="52"/>
        <v>127691.75</v>
      </c>
      <c r="AB337" s="7">
        <f t="shared" si="53"/>
        <v>200032.75</v>
      </c>
    </row>
    <row r="338" spans="1:28" x14ac:dyDescent="0.25">
      <c r="A338">
        <v>1898839557</v>
      </c>
      <c r="B338" t="s">
        <v>1363</v>
      </c>
      <c r="C338" t="s">
        <v>1364</v>
      </c>
      <c r="D338" t="str">
        <f>B338&amp;" "&amp;C338</f>
        <v>Glynis Garaghan</v>
      </c>
      <c r="E338" t="s">
        <v>29</v>
      </c>
      <c r="F338">
        <v>70011</v>
      </c>
      <c r="G338">
        <f>COUNTIF(deals_closed!D:D,Calculations!A338)</f>
        <v>32</v>
      </c>
      <c r="H338" s="2">
        <f>SUMIF(deals_closed!D:D,Calculations!A338,deals_closed!C:C)</f>
        <v>1010499</v>
      </c>
      <c r="I338" s="2">
        <f>VLOOKUP(E338,'2018_commission_structure'!$A$11:$I$14,9,FALSE)</f>
        <v>600000</v>
      </c>
      <c r="J338" s="2">
        <f t="shared" si="45"/>
        <v>750000</v>
      </c>
      <c r="K338" s="2">
        <f t="shared" si="46"/>
        <v>900000</v>
      </c>
      <c r="L338" s="2">
        <f t="shared" si="47"/>
        <v>1200000</v>
      </c>
      <c r="M338" s="6">
        <f t="shared" si="48"/>
        <v>1.6841649999999999</v>
      </c>
      <c r="N338" t="str">
        <f t="shared" si="49"/>
        <v>150-200%</v>
      </c>
      <c r="O338" s="7">
        <f>MIN(I338,H338)*INDEX('2018_commission_structure'!$A$11:$I$14,MATCH(Calculations!$E338,'2018_commission_structure'!$A$11:$A$14,0),MATCH(Calculations!O$1,'2018_commission_structure'!$A$11:$I$11,0))</f>
        <v>78000</v>
      </c>
      <c r="P338" s="7">
        <f>IF($H338&gt;I338,MIN($H338-I338,J338-I338)*INDEX('2018_commission_structure'!$A$11:$I$14,MATCH(Calculations!$E338,'2018_commission_structure'!$A$11:$A$14,0), MATCH(Calculations!P$1,'2018_commission_structure'!$A$11:$I$11,0)),0)</f>
        <v>25500.000000000004</v>
      </c>
      <c r="Q338" s="7">
        <f>IF($H338&gt;J338,MIN($H338-J338,K338-J338)*INDEX('2018_commission_structure'!$A$11:$I$14,MATCH(Calculations!$E338,'2018_commission_structure'!$A$11:$A$14,0), MATCH(Calculations!Q$1,'2018_commission_structure'!$A$11:$I$11,0)),0)</f>
        <v>31500</v>
      </c>
      <c r="R338" s="7">
        <f>IF($H338&gt;K338,MIN($H338-K338,L338-K338)*INDEX('2018_commission_structure'!$A$11:$I$14,MATCH(Calculations!$E338,'2018_commission_structure'!$A$11:$A$14,0), MATCH(Calculations!R$1,'2018_commission_structure'!$A$11:$I$11,0)),0)</f>
        <v>28729.74</v>
      </c>
      <c r="S338" s="7">
        <f>IF(H338&gt;L338,(H338-L338)*INDEX('2018_commission_structure'!$A$11:$I$14,MATCH(Calculations!$E338,'2018_commission_structure'!$A$11:$A$14,0),MATCH(Calculations!S$1,'2018_commission_structure'!$A$11:$I$11,0)),0)</f>
        <v>0</v>
      </c>
      <c r="T338" s="7">
        <f t="shared" si="50"/>
        <v>163729.74</v>
      </c>
      <c r="U338" s="7">
        <f t="shared" si="51"/>
        <v>233740.74</v>
      </c>
      <c r="V338" s="7">
        <f>MIN(H338,I338)*INDEX('2018_commission_structure'!$A$5:$J$8,MATCH(Calculations!$E338,'2018_commission_structure'!$A$5:$A$8,0),MATCH(Calculations!V$1,'2018_commission_structure'!$A$5:$J$5,0))</f>
        <v>90000</v>
      </c>
      <c r="W338" s="2">
        <f>IF($H338&gt;I338,MIN($H338-I338,J338-I338)*INDEX('2018_commission_structure'!$A$5:$J$8,MATCH(Calculations!$E338,'2018_commission_structure'!$A$5:$A$8,0),MATCH(Calculations!W$1,'2018_commission_structure'!$A$5:$J$5,0)),0)</f>
        <v>27000</v>
      </c>
      <c r="X338" s="2">
        <f>IF($H338&gt;J338,MIN($H338-J338,K338-J338)*INDEX('2018_commission_structure'!$A$5:$J$8,MATCH(Calculations!$E338,'2018_commission_structure'!$A$5:$A$8,0),MATCH(Calculations!X$1,'2018_commission_structure'!$A$5:$J$5,0)),0)</f>
        <v>37500</v>
      </c>
      <c r="Y338" s="2">
        <f>IF($H338&gt;K338,MIN($H338-K338,L338-K338)*INDEX('2018_commission_structure'!$A$5:$J$8,MATCH(Calculations!$E338,'2018_commission_structure'!$A$5:$A$8,0),MATCH(Calculations!Y$1,'2018_commission_structure'!$A$5:$J$5,0)),0)</f>
        <v>33149.699999999997</v>
      </c>
      <c r="Z338" s="2">
        <f xml:space="preserve"> IF(H338&gt;L338,(H338-L338)*INDEX('2018_commission_structure'!$A$11:$I$14,MATCH(Calculations!$E338,'2018_commission_structure'!$A$11:$A$14,0),MATCH(Calculations!Z$1,'2018_commission_structure'!$A$11:$I$11,0)),0)</f>
        <v>0</v>
      </c>
      <c r="AA338" s="7">
        <f t="shared" si="52"/>
        <v>187649.7</v>
      </c>
      <c r="AB338" s="7">
        <f t="shared" si="53"/>
        <v>257660.7</v>
      </c>
    </row>
    <row r="339" spans="1:28" x14ac:dyDescent="0.25">
      <c r="A339">
        <v>9104569016</v>
      </c>
      <c r="B339" t="s">
        <v>636</v>
      </c>
      <c r="C339" t="s">
        <v>637</v>
      </c>
      <c r="D339" t="str">
        <f>B339&amp;" "&amp;C339</f>
        <v>Leighton Garbar</v>
      </c>
      <c r="E339" t="s">
        <v>29</v>
      </c>
      <c r="F339">
        <v>74551</v>
      </c>
      <c r="G339">
        <f>COUNTIF(deals_closed!D:D,Calculations!A339)</f>
        <v>16</v>
      </c>
      <c r="H339" s="2">
        <f>SUMIF(deals_closed!D:D,Calculations!A339,deals_closed!C:C)</f>
        <v>464896</v>
      </c>
      <c r="I339" s="2">
        <f>VLOOKUP(E339,'2018_commission_structure'!$A$11:$I$14,9,FALSE)</f>
        <v>600000</v>
      </c>
      <c r="J339" s="2">
        <f t="shared" si="45"/>
        <v>750000</v>
      </c>
      <c r="K339" s="2">
        <f t="shared" si="46"/>
        <v>900000</v>
      </c>
      <c r="L339" s="2">
        <f t="shared" si="47"/>
        <v>1200000</v>
      </c>
      <c r="M339" s="6">
        <f t="shared" si="48"/>
        <v>0.77482666666666666</v>
      </c>
      <c r="N339" t="str">
        <f t="shared" si="49"/>
        <v>0-100%</v>
      </c>
      <c r="O339" s="7">
        <f>MIN(I339,H339)*INDEX('2018_commission_structure'!$A$11:$I$14,MATCH(Calculations!$E339,'2018_commission_structure'!$A$11:$A$14,0),MATCH(Calculations!O$1,'2018_commission_structure'!$A$11:$I$11,0))</f>
        <v>60436.480000000003</v>
      </c>
      <c r="P339" s="7">
        <f>IF($H339&gt;I339,MIN($H339-I339,J339-I339)*INDEX('2018_commission_structure'!$A$11:$I$14,MATCH(Calculations!$E339,'2018_commission_structure'!$A$11:$A$14,0), MATCH(Calculations!P$1,'2018_commission_structure'!$A$11:$I$11,0)),0)</f>
        <v>0</v>
      </c>
      <c r="Q339" s="7">
        <f>IF($H339&gt;J339,MIN($H339-J339,K339-J339)*INDEX('2018_commission_structure'!$A$11:$I$14,MATCH(Calculations!$E339,'2018_commission_structure'!$A$11:$A$14,0), MATCH(Calculations!Q$1,'2018_commission_structure'!$A$11:$I$11,0)),0)</f>
        <v>0</v>
      </c>
      <c r="R339" s="7">
        <f>IF($H339&gt;K339,MIN($H339-K339,L339-K339)*INDEX('2018_commission_structure'!$A$11:$I$14,MATCH(Calculations!$E339,'2018_commission_structure'!$A$11:$A$14,0), MATCH(Calculations!R$1,'2018_commission_structure'!$A$11:$I$11,0)),0)</f>
        <v>0</v>
      </c>
      <c r="S339" s="7">
        <f>IF(H339&gt;L339,(H339-L339)*INDEX('2018_commission_structure'!$A$11:$I$14,MATCH(Calculations!$E339,'2018_commission_structure'!$A$11:$A$14,0),MATCH(Calculations!S$1,'2018_commission_structure'!$A$11:$I$11,0)),0)</f>
        <v>0</v>
      </c>
      <c r="T339" s="7">
        <f t="shared" si="50"/>
        <v>60436.480000000003</v>
      </c>
      <c r="U339" s="7">
        <f t="shared" si="51"/>
        <v>134987.48000000001</v>
      </c>
      <c r="V339" s="7">
        <f>MIN(H339,I339)*INDEX('2018_commission_structure'!$A$5:$J$8,MATCH(Calculations!$E339,'2018_commission_structure'!$A$5:$A$8,0),MATCH(Calculations!V$1,'2018_commission_structure'!$A$5:$J$5,0))</f>
        <v>69734.399999999994</v>
      </c>
      <c r="W339" s="2">
        <f>IF($H339&gt;I339,MIN($H339-I339,J339-I339)*INDEX('2018_commission_structure'!$A$5:$J$8,MATCH(Calculations!$E339,'2018_commission_structure'!$A$5:$A$8,0),MATCH(Calculations!W$1,'2018_commission_structure'!$A$5:$J$5,0)),0)</f>
        <v>0</v>
      </c>
      <c r="X339" s="2">
        <f>IF($H339&gt;J339,MIN($H339-J339,K339-J339)*INDEX('2018_commission_structure'!$A$5:$J$8,MATCH(Calculations!$E339,'2018_commission_structure'!$A$5:$A$8,0),MATCH(Calculations!X$1,'2018_commission_structure'!$A$5:$J$5,0)),0)</f>
        <v>0</v>
      </c>
      <c r="Y339" s="2">
        <f>IF($H339&gt;K339,MIN($H339-K339,L339-K339)*INDEX('2018_commission_structure'!$A$5:$J$8,MATCH(Calculations!$E339,'2018_commission_structure'!$A$5:$A$8,0),MATCH(Calculations!Y$1,'2018_commission_structure'!$A$5:$J$5,0)),0)</f>
        <v>0</v>
      </c>
      <c r="Z339" s="2">
        <f xml:space="preserve"> IF(H339&gt;L339,(H339-L339)*INDEX('2018_commission_structure'!$A$11:$I$14,MATCH(Calculations!$E339,'2018_commission_structure'!$A$11:$A$14,0),MATCH(Calculations!Z$1,'2018_commission_structure'!$A$11:$I$11,0)),0)</f>
        <v>0</v>
      </c>
      <c r="AA339" s="7">
        <f t="shared" si="52"/>
        <v>69734.399999999994</v>
      </c>
      <c r="AB339" s="7">
        <f t="shared" si="53"/>
        <v>144285.4</v>
      </c>
    </row>
    <row r="340" spans="1:28" x14ac:dyDescent="0.25">
      <c r="A340">
        <v>3597778305</v>
      </c>
      <c r="B340" t="s">
        <v>222</v>
      </c>
      <c r="C340" t="s">
        <v>223</v>
      </c>
      <c r="D340" t="str">
        <f>B340&amp;" "&amp;C340</f>
        <v>Emanuele Garfitt</v>
      </c>
      <c r="E340" t="s">
        <v>10</v>
      </c>
      <c r="F340">
        <v>101808</v>
      </c>
      <c r="G340">
        <f>COUNTIF(deals_closed!D:D,Calculations!A340)</f>
        <v>29</v>
      </c>
      <c r="H340" s="2">
        <f>SUMIF(deals_closed!D:D,Calculations!A340,deals_closed!C:C)</f>
        <v>1153023</v>
      </c>
      <c r="I340" s="2">
        <f>VLOOKUP(E340,'2018_commission_structure'!$A$11:$I$14,9,FALSE)</f>
        <v>750000</v>
      </c>
      <c r="J340" s="2">
        <f t="shared" si="45"/>
        <v>937500</v>
      </c>
      <c r="K340" s="2">
        <f t="shared" si="46"/>
        <v>1125000</v>
      </c>
      <c r="L340" s="2">
        <f t="shared" si="47"/>
        <v>1500000</v>
      </c>
      <c r="M340" s="6">
        <f t="shared" si="48"/>
        <v>1.537364</v>
      </c>
      <c r="N340" t="str">
        <f t="shared" si="49"/>
        <v>150-200%</v>
      </c>
      <c r="O340" s="7">
        <f>MIN(I340,H340)*INDEX('2018_commission_structure'!$A$11:$I$14,MATCH(Calculations!$E340,'2018_commission_structure'!$A$11:$A$14,0),MATCH(Calculations!O$1,'2018_commission_structure'!$A$11:$I$11,0))</f>
        <v>112500</v>
      </c>
      <c r="P340" s="7">
        <f>IF($H340&gt;I340,MIN($H340-I340,J340-I340)*INDEX('2018_commission_structure'!$A$11:$I$14,MATCH(Calculations!$E340,'2018_commission_structure'!$A$11:$A$14,0), MATCH(Calculations!P$1,'2018_commission_structure'!$A$11:$I$11,0)),0)</f>
        <v>35625</v>
      </c>
      <c r="Q340" s="7">
        <f>IF($H340&gt;J340,MIN($H340-J340,K340-J340)*INDEX('2018_commission_structure'!$A$11:$I$14,MATCH(Calculations!$E340,'2018_commission_structure'!$A$11:$A$14,0), MATCH(Calculations!Q$1,'2018_commission_structure'!$A$11:$I$11,0)),0)</f>
        <v>43125</v>
      </c>
      <c r="R340" s="7">
        <f>IF($H340&gt;K340,MIN($H340-K340,L340-K340)*INDEX('2018_commission_structure'!$A$11:$I$14,MATCH(Calculations!$E340,'2018_commission_structure'!$A$11:$A$14,0), MATCH(Calculations!R$1,'2018_commission_structure'!$A$11:$I$11,0)),0)</f>
        <v>8406.9</v>
      </c>
      <c r="S340" s="7">
        <f>IF(H340&gt;L340,(H340-L340)*INDEX('2018_commission_structure'!$A$11:$I$14,MATCH(Calculations!$E340,'2018_commission_structure'!$A$11:$A$14,0),MATCH(Calculations!S$1,'2018_commission_structure'!$A$11:$I$11,0)),0)</f>
        <v>0</v>
      </c>
      <c r="T340" s="7">
        <f t="shared" si="50"/>
        <v>199656.9</v>
      </c>
      <c r="U340" s="7">
        <f t="shared" si="51"/>
        <v>301464.90000000002</v>
      </c>
      <c r="V340" s="7">
        <f>MIN(H340,I340)*INDEX('2018_commission_structure'!$A$5:$J$8,MATCH(Calculations!$E340,'2018_commission_structure'!$A$5:$A$8,0),MATCH(Calculations!V$1,'2018_commission_structure'!$A$5:$J$5,0))</f>
        <v>112500</v>
      </c>
      <c r="W340" s="2">
        <f>IF($H340&gt;I340,MIN($H340-I340,J340-I340)*INDEX('2018_commission_structure'!$A$5:$J$8,MATCH(Calculations!$E340,'2018_commission_structure'!$A$5:$A$8,0),MATCH(Calculations!W$1,'2018_commission_structure'!$A$5:$J$5,0)),0)</f>
        <v>41250</v>
      </c>
      <c r="X340" s="2">
        <f>IF($H340&gt;J340,MIN($H340-J340,K340-J340)*INDEX('2018_commission_structure'!$A$5:$J$8,MATCH(Calculations!$E340,'2018_commission_structure'!$A$5:$A$8,0),MATCH(Calculations!X$1,'2018_commission_structure'!$A$5:$J$5,0)),0)</f>
        <v>46875</v>
      </c>
      <c r="Y340" s="2">
        <f>IF($H340&gt;K340,MIN($H340-K340,L340-K340)*INDEX('2018_commission_structure'!$A$5:$J$8,MATCH(Calculations!$E340,'2018_commission_structure'!$A$5:$A$8,0),MATCH(Calculations!Y$1,'2018_commission_structure'!$A$5:$J$5,0)),0)</f>
        <v>9247.59</v>
      </c>
      <c r="Z340" s="2">
        <f xml:space="preserve"> IF(H340&gt;L340,(H340-L340)*INDEX('2018_commission_structure'!$A$11:$I$14,MATCH(Calculations!$E340,'2018_commission_structure'!$A$11:$A$14,0),MATCH(Calculations!Z$1,'2018_commission_structure'!$A$11:$I$11,0)),0)</f>
        <v>0</v>
      </c>
      <c r="AA340" s="7">
        <f t="shared" si="52"/>
        <v>209872.59</v>
      </c>
      <c r="AB340" s="7">
        <f t="shared" si="53"/>
        <v>311680.58999999997</v>
      </c>
    </row>
    <row r="341" spans="1:28" x14ac:dyDescent="0.25">
      <c r="A341">
        <v>5082945165</v>
      </c>
      <c r="B341" t="s">
        <v>1058</v>
      </c>
      <c r="C341" t="s">
        <v>1059</v>
      </c>
      <c r="D341" t="str">
        <f>B341&amp;" "&amp;C341</f>
        <v>Hillyer Garrique</v>
      </c>
      <c r="E341" t="s">
        <v>7</v>
      </c>
      <c r="F341">
        <v>57158</v>
      </c>
      <c r="G341">
        <f>COUNTIF(deals_closed!D:D,Calculations!A341)</f>
        <v>22</v>
      </c>
      <c r="H341" s="2">
        <f>SUMIF(deals_closed!D:D,Calculations!A341,deals_closed!C:C)</f>
        <v>676061</v>
      </c>
      <c r="I341" s="2">
        <f>VLOOKUP(E341,'2018_commission_structure'!$A$11:$I$14,9,FALSE)</f>
        <v>500000</v>
      </c>
      <c r="J341" s="2">
        <f t="shared" si="45"/>
        <v>625000</v>
      </c>
      <c r="K341" s="2">
        <f t="shared" si="46"/>
        <v>750000</v>
      </c>
      <c r="L341" s="2">
        <f t="shared" si="47"/>
        <v>1000000</v>
      </c>
      <c r="M341" s="6">
        <f t="shared" si="48"/>
        <v>1.352122</v>
      </c>
      <c r="N341" t="str">
        <f t="shared" si="49"/>
        <v>125-150%</v>
      </c>
      <c r="O341" s="7">
        <f>MIN(I341,H341)*INDEX('2018_commission_structure'!$A$11:$I$14,MATCH(Calculations!$E341,'2018_commission_structure'!$A$11:$A$14,0),MATCH(Calculations!O$1,'2018_commission_structure'!$A$11:$I$11,0))</f>
        <v>50000</v>
      </c>
      <c r="P341" s="7">
        <f>IF($H341&gt;I341,MIN($H341-I341,J341-I341)*INDEX('2018_commission_structure'!$A$11:$I$14,MATCH(Calculations!$E341,'2018_commission_structure'!$A$11:$A$14,0), MATCH(Calculations!P$1,'2018_commission_structure'!$A$11:$I$11,0)),0)</f>
        <v>18750</v>
      </c>
      <c r="Q341" s="7">
        <f>IF($H341&gt;J341,MIN($H341-J341,K341-J341)*INDEX('2018_commission_structure'!$A$11:$I$14,MATCH(Calculations!$E341,'2018_commission_structure'!$A$11:$A$14,0), MATCH(Calculations!Q$1,'2018_commission_structure'!$A$11:$I$11,0)),0)</f>
        <v>9190.98</v>
      </c>
      <c r="R341" s="7">
        <f>IF($H341&gt;K341,MIN($H341-K341,L341-K341)*INDEX('2018_commission_structure'!$A$11:$I$14,MATCH(Calculations!$E341,'2018_commission_structure'!$A$11:$A$14,0), MATCH(Calculations!R$1,'2018_commission_structure'!$A$11:$I$11,0)),0)</f>
        <v>0</v>
      </c>
      <c r="S341" s="7">
        <f>IF(H341&gt;L341,(H341-L341)*INDEX('2018_commission_structure'!$A$11:$I$14,MATCH(Calculations!$E341,'2018_commission_structure'!$A$11:$A$14,0),MATCH(Calculations!S$1,'2018_commission_structure'!$A$11:$I$11,0)),0)</f>
        <v>0</v>
      </c>
      <c r="T341" s="7">
        <f t="shared" si="50"/>
        <v>77940.98</v>
      </c>
      <c r="U341" s="7">
        <f t="shared" si="51"/>
        <v>135098.97999999998</v>
      </c>
      <c r="V341" s="7">
        <f>MIN(H341,I341)*INDEX('2018_commission_structure'!$A$5:$J$8,MATCH(Calculations!$E341,'2018_commission_structure'!$A$5:$A$8,0),MATCH(Calculations!V$1,'2018_commission_structure'!$A$5:$J$5,0))</f>
        <v>60000</v>
      </c>
      <c r="W341" s="2">
        <f>IF($H341&gt;I341,MIN($H341-I341,J341-I341)*INDEX('2018_commission_structure'!$A$5:$J$8,MATCH(Calculations!$E341,'2018_commission_structure'!$A$5:$A$8,0),MATCH(Calculations!W$1,'2018_commission_structure'!$A$5:$J$5,0)),0)</f>
        <v>21250</v>
      </c>
      <c r="X341" s="2">
        <f>IF($H341&gt;J341,MIN($H341-J341,K341-J341)*INDEX('2018_commission_structure'!$A$5:$J$8,MATCH(Calculations!$E341,'2018_commission_structure'!$A$5:$A$8,0),MATCH(Calculations!X$1,'2018_commission_structure'!$A$5:$J$5,0)),0)</f>
        <v>10212.200000000001</v>
      </c>
      <c r="Y341" s="2">
        <f>IF($H341&gt;K341,MIN($H341-K341,L341-K341)*INDEX('2018_commission_structure'!$A$5:$J$8,MATCH(Calculations!$E341,'2018_commission_structure'!$A$5:$A$8,0),MATCH(Calculations!Y$1,'2018_commission_structure'!$A$5:$J$5,0)),0)</f>
        <v>0</v>
      </c>
      <c r="Z341" s="2">
        <f xml:space="preserve"> IF(H341&gt;L341,(H341-L341)*INDEX('2018_commission_structure'!$A$11:$I$14,MATCH(Calculations!$E341,'2018_commission_structure'!$A$11:$A$14,0),MATCH(Calculations!Z$1,'2018_commission_structure'!$A$11:$I$11,0)),0)</f>
        <v>0</v>
      </c>
      <c r="AA341" s="7">
        <f t="shared" si="52"/>
        <v>91462.2</v>
      </c>
      <c r="AB341" s="7">
        <f t="shared" si="53"/>
        <v>148620.20000000001</v>
      </c>
    </row>
    <row r="342" spans="1:28" x14ac:dyDescent="0.25">
      <c r="A342">
        <v>228985188</v>
      </c>
      <c r="B342" t="s">
        <v>260</v>
      </c>
      <c r="C342" t="s">
        <v>261</v>
      </c>
      <c r="D342" t="str">
        <f>B342&amp;" "&amp;C342</f>
        <v>Klement Garrison</v>
      </c>
      <c r="E342" t="s">
        <v>29</v>
      </c>
      <c r="F342">
        <v>57755</v>
      </c>
      <c r="G342">
        <f>COUNTIF(deals_closed!D:D,Calculations!A342)</f>
        <v>25</v>
      </c>
      <c r="H342" s="2">
        <f>SUMIF(deals_closed!D:D,Calculations!A342,deals_closed!C:C)</f>
        <v>944716</v>
      </c>
      <c r="I342" s="2">
        <f>VLOOKUP(E342,'2018_commission_structure'!$A$11:$I$14,9,FALSE)</f>
        <v>600000</v>
      </c>
      <c r="J342" s="2">
        <f t="shared" si="45"/>
        <v>750000</v>
      </c>
      <c r="K342" s="2">
        <f t="shared" si="46"/>
        <v>900000</v>
      </c>
      <c r="L342" s="2">
        <f t="shared" si="47"/>
        <v>1200000</v>
      </c>
      <c r="M342" s="6">
        <f t="shared" si="48"/>
        <v>1.5745266666666666</v>
      </c>
      <c r="N342" t="str">
        <f t="shared" si="49"/>
        <v>150-200%</v>
      </c>
      <c r="O342" s="7">
        <f>MIN(I342,H342)*INDEX('2018_commission_structure'!$A$11:$I$14,MATCH(Calculations!$E342,'2018_commission_structure'!$A$11:$A$14,0),MATCH(Calculations!O$1,'2018_commission_structure'!$A$11:$I$11,0))</f>
        <v>78000</v>
      </c>
      <c r="P342" s="7">
        <f>IF($H342&gt;I342,MIN($H342-I342,J342-I342)*INDEX('2018_commission_structure'!$A$11:$I$14,MATCH(Calculations!$E342,'2018_commission_structure'!$A$11:$A$14,0), MATCH(Calculations!P$1,'2018_commission_structure'!$A$11:$I$11,0)),0)</f>
        <v>25500.000000000004</v>
      </c>
      <c r="Q342" s="7">
        <f>IF($H342&gt;J342,MIN($H342-J342,K342-J342)*INDEX('2018_commission_structure'!$A$11:$I$14,MATCH(Calculations!$E342,'2018_commission_structure'!$A$11:$A$14,0), MATCH(Calculations!Q$1,'2018_commission_structure'!$A$11:$I$11,0)),0)</f>
        <v>31500</v>
      </c>
      <c r="R342" s="7">
        <f>IF($H342&gt;K342,MIN($H342-K342,L342-K342)*INDEX('2018_commission_structure'!$A$11:$I$14,MATCH(Calculations!$E342,'2018_commission_structure'!$A$11:$A$14,0), MATCH(Calculations!R$1,'2018_commission_structure'!$A$11:$I$11,0)),0)</f>
        <v>11626.16</v>
      </c>
      <c r="S342" s="7">
        <f>IF(H342&gt;L342,(H342-L342)*INDEX('2018_commission_structure'!$A$11:$I$14,MATCH(Calculations!$E342,'2018_commission_structure'!$A$11:$A$14,0),MATCH(Calculations!S$1,'2018_commission_structure'!$A$11:$I$11,0)),0)</f>
        <v>0</v>
      </c>
      <c r="T342" s="7">
        <f t="shared" si="50"/>
        <v>146626.16</v>
      </c>
      <c r="U342" s="7">
        <f t="shared" si="51"/>
        <v>204381.16</v>
      </c>
      <c r="V342" s="7">
        <f>MIN(H342,I342)*INDEX('2018_commission_structure'!$A$5:$J$8,MATCH(Calculations!$E342,'2018_commission_structure'!$A$5:$A$8,0),MATCH(Calculations!V$1,'2018_commission_structure'!$A$5:$J$5,0))</f>
        <v>90000</v>
      </c>
      <c r="W342" s="2">
        <f>IF($H342&gt;I342,MIN($H342-I342,J342-I342)*INDEX('2018_commission_structure'!$A$5:$J$8,MATCH(Calculations!$E342,'2018_commission_structure'!$A$5:$A$8,0),MATCH(Calculations!W$1,'2018_commission_structure'!$A$5:$J$5,0)),0)</f>
        <v>27000</v>
      </c>
      <c r="X342" s="2">
        <f>IF($H342&gt;J342,MIN($H342-J342,K342-J342)*INDEX('2018_commission_structure'!$A$5:$J$8,MATCH(Calculations!$E342,'2018_commission_structure'!$A$5:$A$8,0),MATCH(Calculations!X$1,'2018_commission_structure'!$A$5:$J$5,0)),0)</f>
        <v>37500</v>
      </c>
      <c r="Y342" s="2">
        <f>IF($H342&gt;K342,MIN($H342-K342,L342-K342)*INDEX('2018_commission_structure'!$A$5:$J$8,MATCH(Calculations!$E342,'2018_commission_structure'!$A$5:$A$8,0),MATCH(Calculations!Y$1,'2018_commission_structure'!$A$5:$J$5,0)),0)</f>
        <v>13414.8</v>
      </c>
      <c r="Z342" s="2">
        <f xml:space="preserve"> IF(H342&gt;L342,(H342-L342)*INDEX('2018_commission_structure'!$A$11:$I$14,MATCH(Calculations!$E342,'2018_commission_structure'!$A$11:$A$14,0),MATCH(Calculations!Z$1,'2018_commission_structure'!$A$11:$I$11,0)),0)</f>
        <v>0</v>
      </c>
      <c r="AA342" s="7">
        <f t="shared" si="52"/>
        <v>167914.8</v>
      </c>
      <c r="AB342" s="7">
        <f t="shared" si="53"/>
        <v>225669.8</v>
      </c>
    </row>
    <row r="343" spans="1:28" x14ac:dyDescent="0.25">
      <c r="A343">
        <v>244523738</v>
      </c>
      <c r="B343" t="s">
        <v>337</v>
      </c>
      <c r="C343" t="s">
        <v>338</v>
      </c>
      <c r="D343" t="str">
        <f>B343&amp;" "&amp;C343</f>
        <v>Katlin Garthland</v>
      </c>
      <c r="E343" t="s">
        <v>7</v>
      </c>
      <c r="F343">
        <v>49959</v>
      </c>
      <c r="G343">
        <f>COUNTIF(deals_closed!D:D,Calculations!A343)</f>
        <v>23</v>
      </c>
      <c r="H343" s="2">
        <f>SUMIF(deals_closed!D:D,Calculations!A343,deals_closed!C:C)</f>
        <v>854570</v>
      </c>
      <c r="I343" s="2">
        <f>VLOOKUP(E343,'2018_commission_structure'!$A$11:$I$14,9,FALSE)</f>
        <v>500000</v>
      </c>
      <c r="J343" s="2">
        <f t="shared" si="45"/>
        <v>625000</v>
      </c>
      <c r="K343" s="2">
        <f t="shared" si="46"/>
        <v>750000</v>
      </c>
      <c r="L343" s="2">
        <f t="shared" si="47"/>
        <v>1000000</v>
      </c>
      <c r="M343" s="6">
        <f t="shared" si="48"/>
        <v>1.7091400000000001</v>
      </c>
      <c r="N343" t="str">
        <f t="shared" si="49"/>
        <v>150-200%</v>
      </c>
      <c r="O343" s="7">
        <f>MIN(I343,H343)*INDEX('2018_commission_structure'!$A$11:$I$14,MATCH(Calculations!$E343,'2018_commission_structure'!$A$11:$A$14,0),MATCH(Calculations!O$1,'2018_commission_structure'!$A$11:$I$11,0))</f>
        <v>50000</v>
      </c>
      <c r="P343" s="7">
        <f>IF($H343&gt;I343,MIN($H343-I343,J343-I343)*INDEX('2018_commission_structure'!$A$11:$I$14,MATCH(Calculations!$E343,'2018_commission_structure'!$A$11:$A$14,0), MATCH(Calculations!P$1,'2018_commission_structure'!$A$11:$I$11,0)),0)</f>
        <v>18750</v>
      </c>
      <c r="Q343" s="7">
        <f>IF($H343&gt;J343,MIN($H343-J343,K343-J343)*INDEX('2018_commission_structure'!$A$11:$I$14,MATCH(Calculations!$E343,'2018_commission_structure'!$A$11:$A$14,0), MATCH(Calculations!Q$1,'2018_commission_structure'!$A$11:$I$11,0)),0)</f>
        <v>22500</v>
      </c>
      <c r="R343" s="7">
        <f>IF($H343&gt;K343,MIN($H343-K343,L343-K343)*INDEX('2018_commission_structure'!$A$11:$I$14,MATCH(Calculations!$E343,'2018_commission_structure'!$A$11:$A$14,0), MATCH(Calculations!R$1,'2018_commission_structure'!$A$11:$I$11,0)),0)</f>
        <v>23005.4</v>
      </c>
      <c r="S343" s="7">
        <f>IF(H343&gt;L343,(H343-L343)*INDEX('2018_commission_structure'!$A$11:$I$14,MATCH(Calculations!$E343,'2018_commission_structure'!$A$11:$A$14,0),MATCH(Calculations!S$1,'2018_commission_structure'!$A$11:$I$11,0)),0)</f>
        <v>0</v>
      </c>
      <c r="T343" s="7">
        <f t="shared" si="50"/>
        <v>114255.4</v>
      </c>
      <c r="U343" s="7">
        <f t="shared" si="51"/>
        <v>164214.39999999999</v>
      </c>
      <c r="V343" s="7">
        <f>MIN(H343,I343)*INDEX('2018_commission_structure'!$A$5:$J$8,MATCH(Calculations!$E343,'2018_commission_structure'!$A$5:$A$8,0),MATCH(Calculations!V$1,'2018_commission_structure'!$A$5:$J$5,0))</f>
        <v>60000</v>
      </c>
      <c r="W343" s="2">
        <f>IF($H343&gt;I343,MIN($H343-I343,J343-I343)*INDEX('2018_commission_structure'!$A$5:$J$8,MATCH(Calculations!$E343,'2018_commission_structure'!$A$5:$A$8,0),MATCH(Calculations!W$1,'2018_commission_structure'!$A$5:$J$5,0)),0)</f>
        <v>21250</v>
      </c>
      <c r="X343" s="2">
        <f>IF($H343&gt;J343,MIN($H343-J343,K343-J343)*INDEX('2018_commission_structure'!$A$5:$J$8,MATCH(Calculations!$E343,'2018_commission_structure'!$A$5:$A$8,0),MATCH(Calculations!X$1,'2018_commission_structure'!$A$5:$J$5,0)),0)</f>
        <v>25000</v>
      </c>
      <c r="Y343" s="2">
        <f>IF($H343&gt;K343,MIN($H343-K343,L343-K343)*INDEX('2018_commission_structure'!$A$5:$J$8,MATCH(Calculations!$E343,'2018_commission_structure'!$A$5:$A$8,0),MATCH(Calculations!Y$1,'2018_commission_structure'!$A$5:$J$5,0)),0)</f>
        <v>23005.4</v>
      </c>
      <c r="Z343" s="2">
        <f xml:space="preserve"> IF(H343&gt;L343,(H343-L343)*INDEX('2018_commission_structure'!$A$11:$I$14,MATCH(Calculations!$E343,'2018_commission_structure'!$A$11:$A$14,0),MATCH(Calculations!Z$1,'2018_commission_structure'!$A$11:$I$11,0)),0)</f>
        <v>0</v>
      </c>
      <c r="AA343" s="7">
        <f t="shared" si="52"/>
        <v>129255.4</v>
      </c>
      <c r="AB343" s="7">
        <f t="shared" si="53"/>
        <v>179214.4</v>
      </c>
    </row>
    <row r="344" spans="1:28" x14ac:dyDescent="0.25">
      <c r="A344">
        <v>7205256240</v>
      </c>
      <c r="B344" t="s">
        <v>1344</v>
      </c>
      <c r="C344" t="s">
        <v>1345</v>
      </c>
      <c r="D344" t="str">
        <f>B344&amp;" "&amp;C344</f>
        <v>Simone Garz</v>
      </c>
      <c r="E344" t="s">
        <v>29</v>
      </c>
      <c r="F344">
        <v>78106</v>
      </c>
      <c r="G344">
        <f>COUNTIF(deals_closed!D:D,Calculations!A344)</f>
        <v>17</v>
      </c>
      <c r="H344" s="2">
        <f>SUMIF(deals_closed!D:D,Calculations!A344,deals_closed!C:C)</f>
        <v>638311</v>
      </c>
      <c r="I344" s="2">
        <f>VLOOKUP(E344,'2018_commission_structure'!$A$11:$I$14,9,FALSE)</f>
        <v>600000</v>
      </c>
      <c r="J344" s="2">
        <f t="shared" si="45"/>
        <v>750000</v>
      </c>
      <c r="K344" s="2">
        <f t="shared" si="46"/>
        <v>900000</v>
      </c>
      <c r="L344" s="2">
        <f t="shared" si="47"/>
        <v>1200000</v>
      </c>
      <c r="M344" s="6">
        <f t="shared" si="48"/>
        <v>1.0638516666666666</v>
      </c>
      <c r="N344" t="str">
        <f t="shared" si="49"/>
        <v>100-125%</v>
      </c>
      <c r="O344" s="7">
        <f>MIN(I344,H344)*INDEX('2018_commission_structure'!$A$11:$I$14,MATCH(Calculations!$E344,'2018_commission_structure'!$A$11:$A$14,0),MATCH(Calculations!O$1,'2018_commission_structure'!$A$11:$I$11,0))</f>
        <v>78000</v>
      </c>
      <c r="P344" s="7">
        <f>IF($H344&gt;I344,MIN($H344-I344,J344-I344)*INDEX('2018_commission_structure'!$A$11:$I$14,MATCH(Calculations!$E344,'2018_commission_structure'!$A$11:$A$14,0), MATCH(Calculations!P$1,'2018_commission_structure'!$A$11:$I$11,0)),0)</f>
        <v>6512.8700000000008</v>
      </c>
      <c r="Q344" s="7">
        <f>IF($H344&gt;J344,MIN($H344-J344,K344-J344)*INDEX('2018_commission_structure'!$A$11:$I$14,MATCH(Calculations!$E344,'2018_commission_structure'!$A$11:$A$14,0), MATCH(Calculations!Q$1,'2018_commission_structure'!$A$11:$I$11,0)),0)</f>
        <v>0</v>
      </c>
      <c r="R344" s="7">
        <f>IF($H344&gt;K344,MIN($H344-K344,L344-K344)*INDEX('2018_commission_structure'!$A$11:$I$14,MATCH(Calculations!$E344,'2018_commission_structure'!$A$11:$A$14,0), MATCH(Calculations!R$1,'2018_commission_structure'!$A$11:$I$11,0)),0)</f>
        <v>0</v>
      </c>
      <c r="S344" s="7">
        <f>IF(H344&gt;L344,(H344-L344)*INDEX('2018_commission_structure'!$A$11:$I$14,MATCH(Calculations!$E344,'2018_commission_structure'!$A$11:$A$14,0),MATCH(Calculations!S$1,'2018_commission_structure'!$A$11:$I$11,0)),0)</f>
        <v>0</v>
      </c>
      <c r="T344" s="7">
        <f t="shared" si="50"/>
        <v>84512.87</v>
      </c>
      <c r="U344" s="7">
        <f t="shared" si="51"/>
        <v>162618.87</v>
      </c>
      <c r="V344" s="7">
        <f>MIN(H344,I344)*INDEX('2018_commission_structure'!$A$5:$J$8,MATCH(Calculations!$E344,'2018_commission_structure'!$A$5:$A$8,0),MATCH(Calculations!V$1,'2018_commission_structure'!$A$5:$J$5,0))</f>
        <v>90000</v>
      </c>
      <c r="W344" s="2">
        <f>IF($H344&gt;I344,MIN($H344-I344,J344-I344)*INDEX('2018_commission_structure'!$A$5:$J$8,MATCH(Calculations!$E344,'2018_commission_structure'!$A$5:$A$8,0),MATCH(Calculations!W$1,'2018_commission_structure'!$A$5:$J$5,0)),0)</f>
        <v>6895.98</v>
      </c>
      <c r="X344" s="2">
        <f>IF($H344&gt;J344,MIN($H344-J344,K344-J344)*INDEX('2018_commission_structure'!$A$5:$J$8,MATCH(Calculations!$E344,'2018_commission_structure'!$A$5:$A$8,0),MATCH(Calculations!X$1,'2018_commission_structure'!$A$5:$J$5,0)),0)</f>
        <v>0</v>
      </c>
      <c r="Y344" s="2">
        <f>IF($H344&gt;K344,MIN($H344-K344,L344-K344)*INDEX('2018_commission_structure'!$A$5:$J$8,MATCH(Calculations!$E344,'2018_commission_structure'!$A$5:$A$8,0),MATCH(Calculations!Y$1,'2018_commission_structure'!$A$5:$J$5,0)),0)</f>
        <v>0</v>
      </c>
      <c r="Z344" s="2">
        <f xml:space="preserve"> IF(H344&gt;L344,(H344-L344)*INDEX('2018_commission_structure'!$A$11:$I$14,MATCH(Calculations!$E344,'2018_commission_structure'!$A$11:$A$14,0),MATCH(Calculations!Z$1,'2018_commission_structure'!$A$11:$I$11,0)),0)</f>
        <v>0</v>
      </c>
      <c r="AA344" s="7">
        <f t="shared" si="52"/>
        <v>96895.98</v>
      </c>
      <c r="AB344" s="7">
        <f t="shared" si="53"/>
        <v>175001.97999999998</v>
      </c>
    </row>
    <row r="345" spans="1:28" x14ac:dyDescent="0.25">
      <c r="A345">
        <v>495702854</v>
      </c>
      <c r="B345" t="s">
        <v>325</v>
      </c>
      <c r="C345" t="s">
        <v>326</v>
      </c>
      <c r="D345" t="str">
        <f>B345&amp;" "&amp;C345</f>
        <v>Gennifer Gaythwaite</v>
      </c>
      <c r="E345" t="s">
        <v>7</v>
      </c>
      <c r="F345">
        <v>39500</v>
      </c>
      <c r="G345">
        <f>COUNTIF(deals_closed!D:D,Calculations!A345)</f>
        <v>23</v>
      </c>
      <c r="H345" s="2">
        <f>SUMIF(deals_closed!D:D,Calculations!A345,deals_closed!C:C)</f>
        <v>906546</v>
      </c>
      <c r="I345" s="2">
        <f>VLOOKUP(E345,'2018_commission_structure'!$A$11:$I$14,9,FALSE)</f>
        <v>500000</v>
      </c>
      <c r="J345" s="2">
        <f t="shared" si="45"/>
        <v>625000</v>
      </c>
      <c r="K345" s="2">
        <f t="shared" si="46"/>
        <v>750000</v>
      </c>
      <c r="L345" s="2">
        <f t="shared" si="47"/>
        <v>1000000</v>
      </c>
      <c r="M345" s="6">
        <f t="shared" si="48"/>
        <v>1.8130919999999999</v>
      </c>
      <c r="N345" t="str">
        <f t="shared" si="49"/>
        <v>150-200%</v>
      </c>
      <c r="O345" s="7">
        <f>MIN(I345,H345)*INDEX('2018_commission_structure'!$A$11:$I$14,MATCH(Calculations!$E345,'2018_commission_structure'!$A$11:$A$14,0),MATCH(Calculations!O$1,'2018_commission_structure'!$A$11:$I$11,0))</f>
        <v>50000</v>
      </c>
      <c r="P345" s="7">
        <f>IF($H345&gt;I345,MIN($H345-I345,J345-I345)*INDEX('2018_commission_structure'!$A$11:$I$14,MATCH(Calculations!$E345,'2018_commission_structure'!$A$11:$A$14,0), MATCH(Calculations!P$1,'2018_commission_structure'!$A$11:$I$11,0)),0)</f>
        <v>18750</v>
      </c>
      <c r="Q345" s="7">
        <f>IF($H345&gt;J345,MIN($H345-J345,K345-J345)*INDEX('2018_commission_structure'!$A$11:$I$14,MATCH(Calculations!$E345,'2018_commission_structure'!$A$11:$A$14,0), MATCH(Calculations!Q$1,'2018_commission_structure'!$A$11:$I$11,0)),0)</f>
        <v>22500</v>
      </c>
      <c r="R345" s="7">
        <f>IF($H345&gt;K345,MIN($H345-K345,L345-K345)*INDEX('2018_commission_structure'!$A$11:$I$14,MATCH(Calculations!$E345,'2018_commission_structure'!$A$11:$A$14,0), MATCH(Calculations!R$1,'2018_commission_structure'!$A$11:$I$11,0)),0)</f>
        <v>34440.120000000003</v>
      </c>
      <c r="S345" s="7">
        <f>IF(H345&gt;L345,(H345-L345)*INDEX('2018_commission_structure'!$A$11:$I$14,MATCH(Calculations!$E345,'2018_commission_structure'!$A$11:$A$14,0),MATCH(Calculations!S$1,'2018_commission_structure'!$A$11:$I$11,0)),0)</f>
        <v>0</v>
      </c>
      <c r="T345" s="7">
        <f t="shared" si="50"/>
        <v>125690.12</v>
      </c>
      <c r="U345" s="7">
        <f t="shared" si="51"/>
        <v>165190.12</v>
      </c>
      <c r="V345" s="7">
        <f>MIN(H345,I345)*INDEX('2018_commission_structure'!$A$5:$J$8,MATCH(Calculations!$E345,'2018_commission_structure'!$A$5:$A$8,0),MATCH(Calculations!V$1,'2018_commission_structure'!$A$5:$J$5,0))</f>
        <v>60000</v>
      </c>
      <c r="W345" s="2">
        <f>IF($H345&gt;I345,MIN($H345-I345,J345-I345)*INDEX('2018_commission_structure'!$A$5:$J$8,MATCH(Calculations!$E345,'2018_commission_structure'!$A$5:$A$8,0),MATCH(Calculations!W$1,'2018_commission_structure'!$A$5:$J$5,0)),0)</f>
        <v>21250</v>
      </c>
      <c r="X345" s="2">
        <f>IF($H345&gt;J345,MIN($H345-J345,K345-J345)*INDEX('2018_commission_structure'!$A$5:$J$8,MATCH(Calculations!$E345,'2018_commission_structure'!$A$5:$A$8,0),MATCH(Calculations!X$1,'2018_commission_structure'!$A$5:$J$5,0)),0)</f>
        <v>25000</v>
      </c>
      <c r="Y345" s="2">
        <f>IF($H345&gt;K345,MIN($H345-K345,L345-K345)*INDEX('2018_commission_structure'!$A$5:$J$8,MATCH(Calculations!$E345,'2018_commission_structure'!$A$5:$A$8,0),MATCH(Calculations!Y$1,'2018_commission_structure'!$A$5:$J$5,0)),0)</f>
        <v>34440.120000000003</v>
      </c>
      <c r="Z345" s="2">
        <f xml:space="preserve"> IF(H345&gt;L345,(H345-L345)*INDEX('2018_commission_structure'!$A$11:$I$14,MATCH(Calculations!$E345,'2018_commission_structure'!$A$11:$A$14,0),MATCH(Calculations!Z$1,'2018_commission_structure'!$A$11:$I$11,0)),0)</f>
        <v>0</v>
      </c>
      <c r="AA345" s="7">
        <f t="shared" si="52"/>
        <v>140690.12</v>
      </c>
      <c r="AB345" s="7">
        <f t="shared" si="53"/>
        <v>180190.12</v>
      </c>
    </row>
    <row r="346" spans="1:28" x14ac:dyDescent="0.25">
      <c r="A346">
        <v>7630993544</v>
      </c>
      <c r="B346" t="s">
        <v>371</v>
      </c>
      <c r="C346" t="s">
        <v>520</v>
      </c>
      <c r="D346" t="str">
        <f>B346&amp;" "&amp;C346</f>
        <v>Ranice Gaytor</v>
      </c>
      <c r="E346" t="s">
        <v>29</v>
      </c>
      <c r="F346">
        <v>51631</v>
      </c>
      <c r="G346">
        <f>COUNTIF(deals_closed!D:D,Calculations!A346)</f>
        <v>13</v>
      </c>
      <c r="H346" s="2">
        <f>SUMIF(deals_closed!D:D,Calculations!A346,deals_closed!C:C)</f>
        <v>475552</v>
      </c>
      <c r="I346" s="2">
        <f>VLOOKUP(E346,'2018_commission_structure'!$A$11:$I$14,9,FALSE)</f>
        <v>600000</v>
      </c>
      <c r="J346" s="2">
        <f t="shared" si="45"/>
        <v>750000</v>
      </c>
      <c r="K346" s="2">
        <f t="shared" si="46"/>
        <v>900000</v>
      </c>
      <c r="L346" s="2">
        <f t="shared" si="47"/>
        <v>1200000</v>
      </c>
      <c r="M346" s="6">
        <f t="shared" si="48"/>
        <v>0.79258666666666666</v>
      </c>
      <c r="N346" t="str">
        <f t="shared" si="49"/>
        <v>0-100%</v>
      </c>
      <c r="O346" s="7">
        <f>MIN(I346,H346)*INDEX('2018_commission_structure'!$A$11:$I$14,MATCH(Calculations!$E346,'2018_commission_structure'!$A$11:$A$14,0),MATCH(Calculations!O$1,'2018_commission_structure'!$A$11:$I$11,0))</f>
        <v>61821.760000000002</v>
      </c>
      <c r="P346" s="7">
        <f>IF($H346&gt;I346,MIN($H346-I346,J346-I346)*INDEX('2018_commission_structure'!$A$11:$I$14,MATCH(Calculations!$E346,'2018_commission_structure'!$A$11:$A$14,0), MATCH(Calculations!P$1,'2018_commission_structure'!$A$11:$I$11,0)),0)</f>
        <v>0</v>
      </c>
      <c r="Q346" s="7">
        <f>IF($H346&gt;J346,MIN($H346-J346,K346-J346)*INDEX('2018_commission_structure'!$A$11:$I$14,MATCH(Calculations!$E346,'2018_commission_structure'!$A$11:$A$14,0), MATCH(Calculations!Q$1,'2018_commission_structure'!$A$11:$I$11,0)),0)</f>
        <v>0</v>
      </c>
      <c r="R346" s="7">
        <f>IF($H346&gt;K346,MIN($H346-K346,L346-K346)*INDEX('2018_commission_structure'!$A$11:$I$14,MATCH(Calculations!$E346,'2018_commission_structure'!$A$11:$A$14,0), MATCH(Calculations!R$1,'2018_commission_structure'!$A$11:$I$11,0)),0)</f>
        <v>0</v>
      </c>
      <c r="S346" s="7">
        <f>IF(H346&gt;L346,(H346-L346)*INDEX('2018_commission_structure'!$A$11:$I$14,MATCH(Calculations!$E346,'2018_commission_structure'!$A$11:$A$14,0),MATCH(Calculations!S$1,'2018_commission_structure'!$A$11:$I$11,0)),0)</f>
        <v>0</v>
      </c>
      <c r="T346" s="7">
        <f t="shared" si="50"/>
        <v>61821.760000000002</v>
      </c>
      <c r="U346" s="7">
        <f t="shared" si="51"/>
        <v>113452.76000000001</v>
      </c>
      <c r="V346" s="7">
        <f>MIN(H346,I346)*INDEX('2018_commission_structure'!$A$5:$J$8,MATCH(Calculations!$E346,'2018_commission_structure'!$A$5:$A$8,0),MATCH(Calculations!V$1,'2018_commission_structure'!$A$5:$J$5,0))</f>
        <v>71332.800000000003</v>
      </c>
      <c r="W346" s="2">
        <f>IF($H346&gt;I346,MIN($H346-I346,J346-I346)*INDEX('2018_commission_structure'!$A$5:$J$8,MATCH(Calculations!$E346,'2018_commission_structure'!$A$5:$A$8,0),MATCH(Calculations!W$1,'2018_commission_structure'!$A$5:$J$5,0)),0)</f>
        <v>0</v>
      </c>
      <c r="X346" s="2">
        <f>IF($H346&gt;J346,MIN($H346-J346,K346-J346)*INDEX('2018_commission_structure'!$A$5:$J$8,MATCH(Calculations!$E346,'2018_commission_structure'!$A$5:$A$8,0),MATCH(Calculations!X$1,'2018_commission_structure'!$A$5:$J$5,0)),0)</f>
        <v>0</v>
      </c>
      <c r="Y346" s="2">
        <f>IF($H346&gt;K346,MIN($H346-K346,L346-K346)*INDEX('2018_commission_structure'!$A$5:$J$8,MATCH(Calculations!$E346,'2018_commission_structure'!$A$5:$A$8,0),MATCH(Calculations!Y$1,'2018_commission_structure'!$A$5:$J$5,0)),0)</f>
        <v>0</v>
      </c>
      <c r="Z346" s="2">
        <f xml:space="preserve"> IF(H346&gt;L346,(H346-L346)*INDEX('2018_commission_structure'!$A$11:$I$14,MATCH(Calculations!$E346,'2018_commission_structure'!$A$11:$A$14,0),MATCH(Calculations!Z$1,'2018_commission_structure'!$A$11:$I$11,0)),0)</f>
        <v>0</v>
      </c>
      <c r="AA346" s="7">
        <f t="shared" si="52"/>
        <v>71332.800000000003</v>
      </c>
      <c r="AB346" s="7">
        <f t="shared" si="53"/>
        <v>122963.8</v>
      </c>
    </row>
    <row r="347" spans="1:28" x14ac:dyDescent="0.25">
      <c r="A347">
        <v>6718456802</v>
      </c>
      <c r="B347" t="s">
        <v>187</v>
      </c>
      <c r="C347" t="s">
        <v>188</v>
      </c>
      <c r="D347" t="str">
        <f>B347&amp;" "&amp;C347</f>
        <v>Duane Geoghegan</v>
      </c>
      <c r="E347" t="s">
        <v>29</v>
      </c>
      <c r="F347">
        <v>55542</v>
      </c>
      <c r="G347">
        <f>COUNTIF(deals_closed!D:D,Calculations!A347)</f>
        <v>20</v>
      </c>
      <c r="H347" s="2">
        <f>SUMIF(deals_closed!D:D,Calculations!A347,deals_closed!C:C)</f>
        <v>774805</v>
      </c>
      <c r="I347" s="2">
        <f>VLOOKUP(E347,'2018_commission_structure'!$A$11:$I$14,9,FALSE)</f>
        <v>600000</v>
      </c>
      <c r="J347" s="2">
        <f t="shared" si="45"/>
        <v>750000</v>
      </c>
      <c r="K347" s="2">
        <f t="shared" si="46"/>
        <v>900000</v>
      </c>
      <c r="L347" s="2">
        <f t="shared" si="47"/>
        <v>1200000</v>
      </c>
      <c r="M347" s="6">
        <f t="shared" si="48"/>
        <v>1.2913416666666666</v>
      </c>
      <c r="N347" t="str">
        <f t="shared" si="49"/>
        <v>125-150%</v>
      </c>
      <c r="O347" s="7">
        <f>MIN(I347,H347)*INDEX('2018_commission_structure'!$A$11:$I$14,MATCH(Calculations!$E347,'2018_commission_structure'!$A$11:$A$14,0),MATCH(Calculations!O$1,'2018_commission_structure'!$A$11:$I$11,0))</f>
        <v>78000</v>
      </c>
      <c r="P347" s="7">
        <f>IF($H347&gt;I347,MIN($H347-I347,J347-I347)*INDEX('2018_commission_structure'!$A$11:$I$14,MATCH(Calculations!$E347,'2018_commission_structure'!$A$11:$A$14,0), MATCH(Calculations!P$1,'2018_commission_structure'!$A$11:$I$11,0)),0)</f>
        <v>25500.000000000004</v>
      </c>
      <c r="Q347" s="7">
        <f>IF($H347&gt;J347,MIN($H347-J347,K347-J347)*INDEX('2018_commission_structure'!$A$11:$I$14,MATCH(Calculations!$E347,'2018_commission_structure'!$A$11:$A$14,0), MATCH(Calculations!Q$1,'2018_commission_structure'!$A$11:$I$11,0)),0)</f>
        <v>5209.05</v>
      </c>
      <c r="R347" s="7">
        <f>IF($H347&gt;K347,MIN($H347-K347,L347-K347)*INDEX('2018_commission_structure'!$A$11:$I$14,MATCH(Calculations!$E347,'2018_commission_structure'!$A$11:$A$14,0), MATCH(Calculations!R$1,'2018_commission_structure'!$A$11:$I$11,0)),0)</f>
        <v>0</v>
      </c>
      <c r="S347" s="7">
        <f>IF(H347&gt;L347,(H347-L347)*INDEX('2018_commission_structure'!$A$11:$I$14,MATCH(Calculations!$E347,'2018_commission_structure'!$A$11:$A$14,0),MATCH(Calculations!S$1,'2018_commission_structure'!$A$11:$I$11,0)),0)</f>
        <v>0</v>
      </c>
      <c r="T347" s="7">
        <f t="shared" si="50"/>
        <v>108709.05</v>
      </c>
      <c r="U347" s="7">
        <f t="shared" si="51"/>
        <v>164251.04999999999</v>
      </c>
      <c r="V347" s="7">
        <f>MIN(H347,I347)*INDEX('2018_commission_structure'!$A$5:$J$8,MATCH(Calculations!$E347,'2018_commission_structure'!$A$5:$A$8,0),MATCH(Calculations!V$1,'2018_commission_structure'!$A$5:$J$5,0))</f>
        <v>90000</v>
      </c>
      <c r="W347" s="2">
        <f>IF($H347&gt;I347,MIN($H347-I347,J347-I347)*INDEX('2018_commission_structure'!$A$5:$J$8,MATCH(Calculations!$E347,'2018_commission_structure'!$A$5:$A$8,0),MATCH(Calculations!W$1,'2018_commission_structure'!$A$5:$J$5,0)),0)</f>
        <v>27000</v>
      </c>
      <c r="X347" s="2">
        <f>IF($H347&gt;J347,MIN($H347-J347,K347-J347)*INDEX('2018_commission_structure'!$A$5:$J$8,MATCH(Calculations!$E347,'2018_commission_structure'!$A$5:$A$8,0),MATCH(Calculations!X$1,'2018_commission_structure'!$A$5:$J$5,0)),0)</f>
        <v>6201.25</v>
      </c>
      <c r="Y347" s="2">
        <f>IF($H347&gt;K347,MIN($H347-K347,L347-K347)*INDEX('2018_commission_structure'!$A$5:$J$8,MATCH(Calculations!$E347,'2018_commission_structure'!$A$5:$A$8,0),MATCH(Calculations!Y$1,'2018_commission_structure'!$A$5:$J$5,0)),0)</f>
        <v>0</v>
      </c>
      <c r="Z347" s="2">
        <f xml:space="preserve"> IF(H347&gt;L347,(H347-L347)*INDEX('2018_commission_structure'!$A$11:$I$14,MATCH(Calculations!$E347,'2018_commission_structure'!$A$11:$A$14,0),MATCH(Calculations!Z$1,'2018_commission_structure'!$A$11:$I$11,0)),0)</f>
        <v>0</v>
      </c>
      <c r="AA347" s="7">
        <f t="shared" si="52"/>
        <v>123201.25</v>
      </c>
      <c r="AB347" s="7">
        <f t="shared" si="53"/>
        <v>178743.25</v>
      </c>
    </row>
    <row r="348" spans="1:28" x14ac:dyDescent="0.25">
      <c r="A348">
        <v>4323171323</v>
      </c>
      <c r="B348" t="s">
        <v>646</v>
      </c>
      <c r="C348" t="s">
        <v>647</v>
      </c>
      <c r="D348" t="str">
        <f>B348&amp;" "&amp;C348</f>
        <v>Bartlet Gerardeaux</v>
      </c>
      <c r="E348" t="s">
        <v>29</v>
      </c>
      <c r="F348">
        <v>59667</v>
      </c>
      <c r="G348">
        <f>COUNTIF(deals_closed!D:D,Calculations!A348)</f>
        <v>26</v>
      </c>
      <c r="H348" s="2">
        <f>SUMIF(deals_closed!D:D,Calculations!A348,deals_closed!C:C)</f>
        <v>867952</v>
      </c>
      <c r="I348" s="2">
        <f>VLOOKUP(E348,'2018_commission_structure'!$A$11:$I$14,9,FALSE)</f>
        <v>600000</v>
      </c>
      <c r="J348" s="2">
        <f t="shared" si="45"/>
        <v>750000</v>
      </c>
      <c r="K348" s="2">
        <f t="shared" si="46"/>
        <v>900000</v>
      </c>
      <c r="L348" s="2">
        <f t="shared" si="47"/>
        <v>1200000</v>
      </c>
      <c r="M348" s="6">
        <f t="shared" si="48"/>
        <v>1.4465866666666667</v>
      </c>
      <c r="N348" t="str">
        <f t="shared" si="49"/>
        <v>125-150%</v>
      </c>
      <c r="O348" s="7">
        <f>MIN(I348,H348)*INDEX('2018_commission_structure'!$A$11:$I$14,MATCH(Calculations!$E348,'2018_commission_structure'!$A$11:$A$14,0),MATCH(Calculations!O$1,'2018_commission_structure'!$A$11:$I$11,0))</f>
        <v>78000</v>
      </c>
      <c r="P348" s="7">
        <f>IF($H348&gt;I348,MIN($H348-I348,J348-I348)*INDEX('2018_commission_structure'!$A$11:$I$14,MATCH(Calculations!$E348,'2018_commission_structure'!$A$11:$A$14,0), MATCH(Calculations!P$1,'2018_commission_structure'!$A$11:$I$11,0)),0)</f>
        <v>25500.000000000004</v>
      </c>
      <c r="Q348" s="7">
        <f>IF($H348&gt;J348,MIN($H348-J348,K348-J348)*INDEX('2018_commission_structure'!$A$11:$I$14,MATCH(Calculations!$E348,'2018_commission_structure'!$A$11:$A$14,0), MATCH(Calculations!Q$1,'2018_commission_structure'!$A$11:$I$11,0)),0)</f>
        <v>24769.919999999998</v>
      </c>
      <c r="R348" s="7">
        <f>IF($H348&gt;K348,MIN($H348-K348,L348-K348)*INDEX('2018_commission_structure'!$A$11:$I$14,MATCH(Calculations!$E348,'2018_commission_structure'!$A$11:$A$14,0), MATCH(Calculations!R$1,'2018_commission_structure'!$A$11:$I$11,0)),0)</f>
        <v>0</v>
      </c>
      <c r="S348" s="7">
        <f>IF(H348&gt;L348,(H348-L348)*INDEX('2018_commission_structure'!$A$11:$I$14,MATCH(Calculations!$E348,'2018_commission_structure'!$A$11:$A$14,0),MATCH(Calculations!S$1,'2018_commission_structure'!$A$11:$I$11,0)),0)</f>
        <v>0</v>
      </c>
      <c r="T348" s="7">
        <f t="shared" si="50"/>
        <v>128269.92</v>
      </c>
      <c r="U348" s="7">
        <f t="shared" si="51"/>
        <v>187936.91999999998</v>
      </c>
      <c r="V348" s="7">
        <f>MIN(H348,I348)*INDEX('2018_commission_structure'!$A$5:$J$8,MATCH(Calculations!$E348,'2018_commission_structure'!$A$5:$A$8,0),MATCH(Calculations!V$1,'2018_commission_structure'!$A$5:$J$5,0))</f>
        <v>90000</v>
      </c>
      <c r="W348" s="2">
        <f>IF($H348&gt;I348,MIN($H348-I348,J348-I348)*INDEX('2018_commission_structure'!$A$5:$J$8,MATCH(Calculations!$E348,'2018_commission_structure'!$A$5:$A$8,0),MATCH(Calculations!W$1,'2018_commission_structure'!$A$5:$J$5,0)),0)</f>
        <v>27000</v>
      </c>
      <c r="X348" s="2">
        <f>IF($H348&gt;J348,MIN($H348-J348,K348-J348)*INDEX('2018_commission_structure'!$A$5:$J$8,MATCH(Calculations!$E348,'2018_commission_structure'!$A$5:$A$8,0),MATCH(Calculations!X$1,'2018_commission_structure'!$A$5:$J$5,0)),0)</f>
        <v>29488</v>
      </c>
      <c r="Y348" s="2">
        <f>IF($H348&gt;K348,MIN($H348-K348,L348-K348)*INDEX('2018_commission_structure'!$A$5:$J$8,MATCH(Calculations!$E348,'2018_commission_structure'!$A$5:$A$8,0),MATCH(Calculations!Y$1,'2018_commission_structure'!$A$5:$J$5,0)),0)</f>
        <v>0</v>
      </c>
      <c r="Z348" s="2">
        <f xml:space="preserve"> IF(H348&gt;L348,(H348-L348)*INDEX('2018_commission_structure'!$A$11:$I$14,MATCH(Calculations!$E348,'2018_commission_structure'!$A$11:$A$14,0),MATCH(Calculations!Z$1,'2018_commission_structure'!$A$11:$I$11,0)),0)</f>
        <v>0</v>
      </c>
      <c r="AA348" s="7">
        <f t="shared" si="52"/>
        <v>146488</v>
      </c>
      <c r="AB348" s="7">
        <f t="shared" si="53"/>
        <v>206155</v>
      </c>
    </row>
    <row r="349" spans="1:28" x14ac:dyDescent="0.25">
      <c r="A349">
        <v>6961242316</v>
      </c>
      <c r="B349" t="s">
        <v>1429</v>
      </c>
      <c r="C349" t="s">
        <v>1430</v>
      </c>
      <c r="D349" t="str">
        <f>B349&amp;" "&amp;C349</f>
        <v>Dionisio Gethyn</v>
      </c>
      <c r="E349" t="s">
        <v>7</v>
      </c>
      <c r="F349">
        <v>49504</v>
      </c>
      <c r="G349">
        <f>COUNTIF(deals_closed!D:D,Calculations!A349)</f>
        <v>17</v>
      </c>
      <c r="H349" s="2">
        <f>SUMIF(deals_closed!D:D,Calculations!A349,deals_closed!C:C)</f>
        <v>543073</v>
      </c>
      <c r="I349" s="2">
        <f>VLOOKUP(E349,'2018_commission_structure'!$A$11:$I$14,9,FALSE)</f>
        <v>500000</v>
      </c>
      <c r="J349" s="2">
        <f t="shared" si="45"/>
        <v>625000</v>
      </c>
      <c r="K349" s="2">
        <f t="shared" si="46"/>
        <v>750000</v>
      </c>
      <c r="L349" s="2">
        <f t="shared" si="47"/>
        <v>1000000</v>
      </c>
      <c r="M349" s="6">
        <f t="shared" si="48"/>
        <v>1.0861460000000001</v>
      </c>
      <c r="N349" t="str">
        <f t="shared" si="49"/>
        <v>100-125%</v>
      </c>
      <c r="O349" s="7">
        <f>MIN(I349,H349)*INDEX('2018_commission_structure'!$A$11:$I$14,MATCH(Calculations!$E349,'2018_commission_structure'!$A$11:$A$14,0),MATCH(Calculations!O$1,'2018_commission_structure'!$A$11:$I$11,0))</f>
        <v>50000</v>
      </c>
      <c r="P349" s="7">
        <f>IF($H349&gt;I349,MIN($H349-I349,J349-I349)*INDEX('2018_commission_structure'!$A$11:$I$14,MATCH(Calculations!$E349,'2018_commission_structure'!$A$11:$A$14,0), MATCH(Calculations!P$1,'2018_commission_structure'!$A$11:$I$11,0)),0)</f>
        <v>6460.95</v>
      </c>
      <c r="Q349" s="7">
        <f>IF($H349&gt;J349,MIN($H349-J349,K349-J349)*INDEX('2018_commission_structure'!$A$11:$I$14,MATCH(Calculations!$E349,'2018_commission_structure'!$A$11:$A$14,0), MATCH(Calculations!Q$1,'2018_commission_structure'!$A$11:$I$11,0)),0)</f>
        <v>0</v>
      </c>
      <c r="R349" s="7">
        <f>IF($H349&gt;K349,MIN($H349-K349,L349-K349)*INDEX('2018_commission_structure'!$A$11:$I$14,MATCH(Calculations!$E349,'2018_commission_structure'!$A$11:$A$14,0), MATCH(Calculations!R$1,'2018_commission_structure'!$A$11:$I$11,0)),0)</f>
        <v>0</v>
      </c>
      <c r="S349" s="7">
        <f>IF(H349&gt;L349,(H349-L349)*INDEX('2018_commission_structure'!$A$11:$I$14,MATCH(Calculations!$E349,'2018_commission_structure'!$A$11:$A$14,0),MATCH(Calculations!S$1,'2018_commission_structure'!$A$11:$I$11,0)),0)</f>
        <v>0</v>
      </c>
      <c r="T349" s="7">
        <f t="shared" si="50"/>
        <v>56460.95</v>
      </c>
      <c r="U349" s="7">
        <f t="shared" si="51"/>
        <v>105964.95</v>
      </c>
      <c r="V349" s="7">
        <f>MIN(H349,I349)*INDEX('2018_commission_structure'!$A$5:$J$8,MATCH(Calculations!$E349,'2018_commission_structure'!$A$5:$A$8,0),MATCH(Calculations!V$1,'2018_commission_structure'!$A$5:$J$5,0))</f>
        <v>60000</v>
      </c>
      <c r="W349" s="2">
        <f>IF($H349&gt;I349,MIN($H349-I349,J349-I349)*INDEX('2018_commission_structure'!$A$5:$J$8,MATCH(Calculations!$E349,'2018_commission_structure'!$A$5:$A$8,0),MATCH(Calculations!W$1,'2018_commission_structure'!$A$5:$J$5,0)),0)</f>
        <v>7322.4100000000008</v>
      </c>
      <c r="X349" s="2">
        <f>IF($H349&gt;J349,MIN($H349-J349,K349-J349)*INDEX('2018_commission_structure'!$A$5:$J$8,MATCH(Calculations!$E349,'2018_commission_structure'!$A$5:$A$8,0),MATCH(Calculations!X$1,'2018_commission_structure'!$A$5:$J$5,0)),0)</f>
        <v>0</v>
      </c>
      <c r="Y349" s="2">
        <f>IF($H349&gt;K349,MIN($H349-K349,L349-K349)*INDEX('2018_commission_structure'!$A$5:$J$8,MATCH(Calculations!$E349,'2018_commission_structure'!$A$5:$A$8,0),MATCH(Calculations!Y$1,'2018_commission_structure'!$A$5:$J$5,0)),0)</f>
        <v>0</v>
      </c>
      <c r="Z349" s="2">
        <f xml:space="preserve"> IF(H349&gt;L349,(H349-L349)*INDEX('2018_commission_structure'!$A$11:$I$14,MATCH(Calculations!$E349,'2018_commission_structure'!$A$11:$A$14,0),MATCH(Calculations!Z$1,'2018_commission_structure'!$A$11:$I$11,0)),0)</f>
        <v>0</v>
      </c>
      <c r="AA349" s="7">
        <f t="shared" si="52"/>
        <v>67322.41</v>
      </c>
      <c r="AB349" s="7">
        <f t="shared" si="53"/>
        <v>116826.41</v>
      </c>
    </row>
    <row r="350" spans="1:28" x14ac:dyDescent="0.25">
      <c r="A350">
        <v>2450711406</v>
      </c>
      <c r="B350" t="s">
        <v>76</v>
      </c>
      <c r="C350" t="s">
        <v>77</v>
      </c>
      <c r="D350" t="str">
        <f>B350&amp;" "&amp;C350</f>
        <v>Dorothea Gheeraert</v>
      </c>
      <c r="E350" t="s">
        <v>10</v>
      </c>
      <c r="F350">
        <v>106013</v>
      </c>
      <c r="G350">
        <f>COUNTIF(deals_closed!D:D,Calculations!A350)</f>
        <v>24</v>
      </c>
      <c r="H350" s="2">
        <f>SUMIF(deals_closed!D:D,Calculations!A350,deals_closed!C:C)</f>
        <v>860270</v>
      </c>
      <c r="I350" s="2">
        <f>VLOOKUP(E350,'2018_commission_structure'!$A$11:$I$14,9,FALSE)</f>
        <v>750000</v>
      </c>
      <c r="J350" s="2">
        <f t="shared" si="45"/>
        <v>937500</v>
      </c>
      <c r="K350" s="2">
        <f t="shared" si="46"/>
        <v>1125000</v>
      </c>
      <c r="L350" s="2">
        <f t="shared" si="47"/>
        <v>1500000</v>
      </c>
      <c r="M350" s="6">
        <f t="shared" si="48"/>
        <v>1.1470266666666666</v>
      </c>
      <c r="N350" t="str">
        <f t="shared" si="49"/>
        <v>100-125%</v>
      </c>
      <c r="O350" s="7">
        <f>MIN(I350,H350)*INDEX('2018_commission_structure'!$A$11:$I$14,MATCH(Calculations!$E350,'2018_commission_structure'!$A$11:$A$14,0),MATCH(Calculations!O$1,'2018_commission_structure'!$A$11:$I$11,0))</f>
        <v>112500</v>
      </c>
      <c r="P350" s="7">
        <f>IF($H350&gt;I350,MIN($H350-I350,J350-I350)*INDEX('2018_commission_structure'!$A$11:$I$14,MATCH(Calculations!$E350,'2018_commission_structure'!$A$11:$A$14,0), MATCH(Calculations!P$1,'2018_commission_structure'!$A$11:$I$11,0)),0)</f>
        <v>20951.3</v>
      </c>
      <c r="Q350" s="7">
        <f>IF($H350&gt;J350,MIN($H350-J350,K350-J350)*INDEX('2018_commission_structure'!$A$11:$I$14,MATCH(Calculations!$E350,'2018_commission_structure'!$A$11:$A$14,0), MATCH(Calculations!Q$1,'2018_commission_structure'!$A$11:$I$11,0)),0)</f>
        <v>0</v>
      </c>
      <c r="R350" s="7">
        <f>IF($H350&gt;K350,MIN($H350-K350,L350-K350)*INDEX('2018_commission_structure'!$A$11:$I$14,MATCH(Calculations!$E350,'2018_commission_structure'!$A$11:$A$14,0), MATCH(Calculations!R$1,'2018_commission_structure'!$A$11:$I$11,0)),0)</f>
        <v>0</v>
      </c>
      <c r="S350" s="7">
        <f>IF(H350&gt;L350,(H350-L350)*INDEX('2018_commission_structure'!$A$11:$I$14,MATCH(Calculations!$E350,'2018_commission_structure'!$A$11:$A$14,0),MATCH(Calculations!S$1,'2018_commission_structure'!$A$11:$I$11,0)),0)</f>
        <v>0</v>
      </c>
      <c r="T350" s="7">
        <f t="shared" si="50"/>
        <v>133451.29999999999</v>
      </c>
      <c r="U350" s="7">
        <f t="shared" si="51"/>
        <v>239464.3</v>
      </c>
      <c r="V350" s="7">
        <f>MIN(H350,I350)*INDEX('2018_commission_structure'!$A$5:$J$8,MATCH(Calculations!$E350,'2018_commission_structure'!$A$5:$A$8,0),MATCH(Calculations!V$1,'2018_commission_structure'!$A$5:$J$5,0))</f>
        <v>112500</v>
      </c>
      <c r="W350" s="2">
        <f>IF($H350&gt;I350,MIN($H350-I350,J350-I350)*INDEX('2018_commission_structure'!$A$5:$J$8,MATCH(Calculations!$E350,'2018_commission_structure'!$A$5:$A$8,0),MATCH(Calculations!W$1,'2018_commission_structure'!$A$5:$J$5,0)),0)</f>
        <v>24259.4</v>
      </c>
      <c r="X350" s="2">
        <f>IF($H350&gt;J350,MIN($H350-J350,K350-J350)*INDEX('2018_commission_structure'!$A$5:$J$8,MATCH(Calculations!$E350,'2018_commission_structure'!$A$5:$A$8,0),MATCH(Calculations!X$1,'2018_commission_structure'!$A$5:$J$5,0)),0)</f>
        <v>0</v>
      </c>
      <c r="Y350" s="2">
        <f>IF($H350&gt;K350,MIN($H350-K350,L350-K350)*INDEX('2018_commission_structure'!$A$5:$J$8,MATCH(Calculations!$E350,'2018_commission_structure'!$A$5:$A$8,0),MATCH(Calculations!Y$1,'2018_commission_structure'!$A$5:$J$5,0)),0)</f>
        <v>0</v>
      </c>
      <c r="Z350" s="2">
        <f xml:space="preserve"> IF(H350&gt;L350,(H350-L350)*INDEX('2018_commission_structure'!$A$11:$I$14,MATCH(Calculations!$E350,'2018_commission_structure'!$A$11:$A$14,0),MATCH(Calculations!Z$1,'2018_commission_structure'!$A$11:$I$11,0)),0)</f>
        <v>0</v>
      </c>
      <c r="AA350" s="7">
        <f t="shared" si="52"/>
        <v>136759.4</v>
      </c>
      <c r="AB350" s="7">
        <f t="shared" si="53"/>
        <v>242772.4</v>
      </c>
    </row>
    <row r="351" spans="1:28" x14ac:dyDescent="0.25">
      <c r="A351">
        <v>8047841793</v>
      </c>
      <c r="B351" t="s">
        <v>210</v>
      </c>
      <c r="C351" t="s">
        <v>211</v>
      </c>
      <c r="D351" t="str">
        <f>B351&amp;" "&amp;C351</f>
        <v>Cymbre Giampietro</v>
      </c>
      <c r="E351" t="s">
        <v>7</v>
      </c>
      <c r="F351">
        <v>46338</v>
      </c>
      <c r="G351">
        <f>COUNTIF(deals_closed!D:D,Calculations!A351)</f>
        <v>18</v>
      </c>
      <c r="H351" s="2">
        <f>SUMIF(deals_closed!D:D,Calculations!A351,deals_closed!C:C)</f>
        <v>608630</v>
      </c>
      <c r="I351" s="2">
        <f>VLOOKUP(E351,'2018_commission_structure'!$A$11:$I$14,9,FALSE)</f>
        <v>500000</v>
      </c>
      <c r="J351" s="2">
        <f t="shared" si="45"/>
        <v>625000</v>
      </c>
      <c r="K351" s="2">
        <f t="shared" si="46"/>
        <v>750000</v>
      </c>
      <c r="L351" s="2">
        <f t="shared" si="47"/>
        <v>1000000</v>
      </c>
      <c r="M351" s="6">
        <f t="shared" si="48"/>
        <v>1.21726</v>
      </c>
      <c r="N351" t="str">
        <f t="shared" si="49"/>
        <v>100-125%</v>
      </c>
      <c r="O351" s="7">
        <f>MIN(I351,H351)*INDEX('2018_commission_structure'!$A$11:$I$14,MATCH(Calculations!$E351,'2018_commission_structure'!$A$11:$A$14,0),MATCH(Calculations!O$1,'2018_commission_structure'!$A$11:$I$11,0))</f>
        <v>50000</v>
      </c>
      <c r="P351" s="7">
        <f>IF($H351&gt;I351,MIN($H351-I351,J351-I351)*INDEX('2018_commission_structure'!$A$11:$I$14,MATCH(Calculations!$E351,'2018_commission_structure'!$A$11:$A$14,0), MATCH(Calculations!P$1,'2018_commission_structure'!$A$11:$I$11,0)),0)</f>
        <v>16294.5</v>
      </c>
      <c r="Q351" s="7">
        <f>IF($H351&gt;J351,MIN($H351-J351,K351-J351)*INDEX('2018_commission_structure'!$A$11:$I$14,MATCH(Calculations!$E351,'2018_commission_structure'!$A$11:$A$14,0), MATCH(Calculations!Q$1,'2018_commission_structure'!$A$11:$I$11,0)),0)</f>
        <v>0</v>
      </c>
      <c r="R351" s="7">
        <f>IF($H351&gt;K351,MIN($H351-K351,L351-K351)*INDEX('2018_commission_structure'!$A$11:$I$14,MATCH(Calculations!$E351,'2018_commission_structure'!$A$11:$A$14,0), MATCH(Calculations!R$1,'2018_commission_structure'!$A$11:$I$11,0)),0)</f>
        <v>0</v>
      </c>
      <c r="S351" s="7">
        <f>IF(H351&gt;L351,(H351-L351)*INDEX('2018_commission_structure'!$A$11:$I$14,MATCH(Calculations!$E351,'2018_commission_structure'!$A$11:$A$14,0),MATCH(Calculations!S$1,'2018_commission_structure'!$A$11:$I$11,0)),0)</f>
        <v>0</v>
      </c>
      <c r="T351" s="7">
        <f t="shared" si="50"/>
        <v>66294.5</v>
      </c>
      <c r="U351" s="7">
        <f t="shared" si="51"/>
        <v>112632.5</v>
      </c>
      <c r="V351" s="7">
        <f>MIN(H351,I351)*INDEX('2018_commission_structure'!$A$5:$J$8,MATCH(Calculations!$E351,'2018_commission_structure'!$A$5:$A$8,0),MATCH(Calculations!V$1,'2018_commission_structure'!$A$5:$J$5,0))</f>
        <v>60000</v>
      </c>
      <c r="W351" s="2">
        <f>IF($H351&gt;I351,MIN($H351-I351,J351-I351)*INDEX('2018_commission_structure'!$A$5:$J$8,MATCH(Calculations!$E351,'2018_commission_structure'!$A$5:$A$8,0),MATCH(Calculations!W$1,'2018_commission_structure'!$A$5:$J$5,0)),0)</f>
        <v>18467.100000000002</v>
      </c>
      <c r="X351" s="2">
        <f>IF($H351&gt;J351,MIN($H351-J351,K351-J351)*INDEX('2018_commission_structure'!$A$5:$J$8,MATCH(Calculations!$E351,'2018_commission_structure'!$A$5:$A$8,0),MATCH(Calculations!X$1,'2018_commission_structure'!$A$5:$J$5,0)),0)</f>
        <v>0</v>
      </c>
      <c r="Y351" s="2">
        <f>IF($H351&gt;K351,MIN($H351-K351,L351-K351)*INDEX('2018_commission_structure'!$A$5:$J$8,MATCH(Calculations!$E351,'2018_commission_structure'!$A$5:$A$8,0),MATCH(Calculations!Y$1,'2018_commission_structure'!$A$5:$J$5,0)),0)</f>
        <v>0</v>
      </c>
      <c r="Z351" s="2">
        <f xml:space="preserve"> IF(H351&gt;L351,(H351-L351)*INDEX('2018_commission_structure'!$A$11:$I$14,MATCH(Calculations!$E351,'2018_commission_structure'!$A$11:$A$14,0),MATCH(Calculations!Z$1,'2018_commission_structure'!$A$11:$I$11,0)),0)</f>
        <v>0</v>
      </c>
      <c r="AA351" s="7">
        <f t="shared" si="52"/>
        <v>78467.100000000006</v>
      </c>
      <c r="AB351" s="7">
        <f t="shared" si="53"/>
        <v>124805.1</v>
      </c>
    </row>
    <row r="352" spans="1:28" x14ac:dyDescent="0.25">
      <c r="A352">
        <v>5792300712</v>
      </c>
      <c r="B352" t="s">
        <v>824</v>
      </c>
      <c r="C352" t="s">
        <v>825</v>
      </c>
      <c r="D352" t="str">
        <f>B352&amp;" "&amp;C352</f>
        <v>Gayelord Gianelli</v>
      </c>
      <c r="E352" t="s">
        <v>29</v>
      </c>
      <c r="F352">
        <v>70471</v>
      </c>
      <c r="G352">
        <f>COUNTIF(deals_closed!D:D,Calculations!A352)</f>
        <v>24</v>
      </c>
      <c r="H352" s="2">
        <f>SUMIF(deals_closed!D:D,Calculations!A352,deals_closed!C:C)</f>
        <v>878279</v>
      </c>
      <c r="I352" s="2">
        <f>VLOOKUP(E352,'2018_commission_structure'!$A$11:$I$14,9,FALSE)</f>
        <v>600000</v>
      </c>
      <c r="J352" s="2">
        <f t="shared" si="45"/>
        <v>750000</v>
      </c>
      <c r="K352" s="2">
        <f t="shared" si="46"/>
        <v>900000</v>
      </c>
      <c r="L352" s="2">
        <f t="shared" si="47"/>
        <v>1200000</v>
      </c>
      <c r="M352" s="6">
        <f t="shared" si="48"/>
        <v>1.4637983333333333</v>
      </c>
      <c r="N352" t="str">
        <f t="shared" si="49"/>
        <v>125-150%</v>
      </c>
      <c r="O352" s="7">
        <f>MIN(I352,H352)*INDEX('2018_commission_structure'!$A$11:$I$14,MATCH(Calculations!$E352,'2018_commission_structure'!$A$11:$A$14,0),MATCH(Calculations!O$1,'2018_commission_structure'!$A$11:$I$11,0))</f>
        <v>78000</v>
      </c>
      <c r="P352" s="7">
        <f>IF($H352&gt;I352,MIN($H352-I352,J352-I352)*INDEX('2018_commission_structure'!$A$11:$I$14,MATCH(Calculations!$E352,'2018_commission_structure'!$A$11:$A$14,0), MATCH(Calculations!P$1,'2018_commission_structure'!$A$11:$I$11,0)),0)</f>
        <v>25500.000000000004</v>
      </c>
      <c r="Q352" s="7">
        <f>IF($H352&gt;J352,MIN($H352-J352,K352-J352)*INDEX('2018_commission_structure'!$A$11:$I$14,MATCH(Calculations!$E352,'2018_commission_structure'!$A$11:$A$14,0), MATCH(Calculations!Q$1,'2018_commission_structure'!$A$11:$I$11,0)),0)</f>
        <v>26938.59</v>
      </c>
      <c r="R352" s="7">
        <f>IF($H352&gt;K352,MIN($H352-K352,L352-K352)*INDEX('2018_commission_structure'!$A$11:$I$14,MATCH(Calculations!$E352,'2018_commission_structure'!$A$11:$A$14,0), MATCH(Calculations!R$1,'2018_commission_structure'!$A$11:$I$11,0)),0)</f>
        <v>0</v>
      </c>
      <c r="S352" s="7">
        <f>IF(H352&gt;L352,(H352-L352)*INDEX('2018_commission_structure'!$A$11:$I$14,MATCH(Calculations!$E352,'2018_commission_structure'!$A$11:$A$14,0),MATCH(Calculations!S$1,'2018_commission_structure'!$A$11:$I$11,0)),0)</f>
        <v>0</v>
      </c>
      <c r="T352" s="7">
        <f t="shared" si="50"/>
        <v>130438.59</v>
      </c>
      <c r="U352" s="7">
        <f t="shared" si="51"/>
        <v>200909.59</v>
      </c>
      <c r="V352" s="7">
        <f>MIN(H352,I352)*INDEX('2018_commission_structure'!$A$5:$J$8,MATCH(Calculations!$E352,'2018_commission_structure'!$A$5:$A$8,0),MATCH(Calculations!V$1,'2018_commission_structure'!$A$5:$J$5,0))</f>
        <v>90000</v>
      </c>
      <c r="W352" s="2">
        <f>IF($H352&gt;I352,MIN($H352-I352,J352-I352)*INDEX('2018_commission_structure'!$A$5:$J$8,MATCH(Calculations!$E352,'2018_commission_structure'!$A$5:$A$8,0),MATCH(Calculations!W$1,'2018_commission_structure'!$A$5:$J$5,0)),0)</f>
        <v>27000</v>
      </c>
      <c r="X352" s="2">
        <f>IF($H352&gt;J352,MIN($H352-J352,K352-J352)*INDEX('2018_commission_structure'!$A$5:$J$8,MATCH(Calculations!$E352,'2018_commission_structure'!$A$5:$A$8,0),MATCH(Calculations!X$1,'2018_commission_structure'!$A$5:$J$5,0)),0)</f>
        <v>32069.75</v>
      </c>
      <c r="Y352" s="2">
        <f>IF($H352&gt;K352,MIN($H352-K352,L352-K352)*INDEX('2018_commission_structure'!$A$5:$J$8,MATCH(Calculations!$E352,'2018_commission_structure'!$A$5:$A$8,0),MATCH(Calculations!Y$1,'2018_commission_structure'!$A$5:$J$5,0)),0)</f>
        <v>0</v>
      </c>
      <c r="Z352" s="2">
        <f xml:space="preserve"> IF(H352&gt;L352,(H352-L352)*INDEX('2018_commission_structure'!$A$11:$I$14,MATCH(Calculations!$E352,'2018_commission_structure'!$A$11:$A$14,0),MATCH(Calculations!Z$1,'2018_commission_structure'!$A$11:$I$11,0)),0)</f>
        <v>0</v>
      </c>
      <c r="AA352" s="7">
        <f t="shared" si="52"/>
        <v>149069.75</v>
      </c>
      <c r="AB352" s="7">
        <f t="shared" si="53"/>
        <v>219540.75</v>
      </c>
    </row>
    <row r="353" spans="1:28" x14ac:dyDescent="0.25">
      <c r="A353">
        <v>29906814</v>
      </c>
      <c r="B353" t="s">
        <v>1451</v>
      </c>
      <c r="C353" t="s">
        <v>1452</v>
      </c>
      <c r="D353" t="str">
        <f>B353&amp;" "&amp;C353</f>
        <v>Fredelia Gianetti</v>
      </c>
      <c r="E353" t="s">
        <v>29</v>
      </c>
      <c r="F353">
        <v>73967</v>
      </c>
      <c r="G353">
        <f>COUNTIF(deals_closed!D:D,Calculations!A353)</f>
        <v>20</v>
      </c>
      <c r="H353" s="2">
        <f>SUMIF(deals_closed!D:D,Calculations!A353,deals_closed!C:C)</f>
        <v>694093</v>
      </c>
      <c r="I353" s="2">
        <f>VLOOKUP(E353,'2018_commission_structure'!$A$11:$I$14,9,FALSE)</f>
        <v>600000</v>
      </c>
      <c r="J353" s="2">
        <f t="shared" si="45"/>
        <v>750000</v>
      </c>
      <c r="K353" s="2">
        <f t="shared" si="46"/>
        <v>900000</v>
      </c>
      <c r="L353" s="2">
        <f t="shared" si="47"/>
        <v>1200000</v>
      </c>
      <c r="M353" s="6">
        <f t="shared" si="48"/>
        <v>1.1568216666666666</v>
      </c>
      <c r="N353" t="str">
        <f t="shared" si="49"/>
        <v>100-125%</v>
      </c>
      <c r="O353" s="7">
        <f>MIN(I353,H353)*INDEX('2018_commission_structure'!$A$11:$I$14,MATCH(Calculations!$E353,'2018_commission_structure'!$A$11:$A$14,0),MATCH(Calculations!O$1,'2018_commission_structure'!$A$11:$I$11,0))</f>
        <v>78000</v>
      </c>
      <c r="P353" s="7">
        <f>IF($H353&gt;I353,MIN($H353-I353,J353-I353)*INDEX('2018_commission_structure'!$A$11:$I$14,MATCH(Calculations!$E353,'2018_commission_structure'!$A$11:$A$14,0), MATCH(Calculations!P$1,'2018_commission_structure'!$A$11:$I$11,0)),0)</f>
        <v>15995.810000000001</v>
      </c>
      <c r="Q353" s="7">
        <f>IF($H353&gt;J353,MIN($H353-J353,K353-J353)*INDEX('2018_commission_structure'!$A$11:$I$14,MATCH(Calculations!$E353,'2018_commission_structure'!$A$11:$A$14,0), MATCH(Calculations!Q$1,'2018_commission_structure'!$A$11:$I$11,0)),0)</f>
        <v>0</v>
      </c>
      <c r="R353" s="7">
        <f>IF($H353&gt;K353,MIN($H353-K353,L353-K353)*INDEX('2018_commission_structure'!$A$11:$I$14,MATCH(Calculations!$E353,'2018_commission_structure'!$A$11:$A$14,0), MATCH(Calculations!R$1,'2018_commission_structure'!$A$11:$I$11,0)),0)</f>
        <v>0</v>
      </c>
      <c r="S353" s="7">
        <f>IF(H353&gt;L353,(H353-L353)*INDEX('2018_commission_structure'!$A$11:$I$14,MATCH(Calculations!$E353,'2018_commission_structure'!$A$11:$A$14,0),MATCH(Calculations!S$1,'2018_commission_structure'!$A$11:$I$11,0)),0)</f>
        <v>0</v>
      </c>
      <c r="T353" s="7">
        <f t="shared" si="50"/>
        <v>93995.81</v>
      </c>
      <c r="U353" s="7">
        <f t="shared" si="51"/>
        <v>167962.81</v>
      </c>
      <c r="V353" s="7">
        <f>MIN(H353,I353)*INDEX('2018_commission_structure'!$A$5:$J$8,MATCH(Calculations!$E353,'2018_commission_structure'!$A$5:$A$8,0),MATCH(Calculations!V$1,'2018_commission_structure'!$A$5:$J$5,0))</f>
        <v>90000</v>
      </c>
      <c r="W353" s="2">
        <f>IF($H353&gt;I353,MIN($H353-I353,J353-I353)*INDEX('2018_commission_structure'!$A$5:$J$8,MATCH(Calculations!$E353,'2018_commission_structure'!$A$5:$A$8,0),MATCH(Calculations!W$1,'2018_commission_structure'!$A$5:$J$5,0)),0)</f>
        <v>16936.739999999998</v>
      </c>
      <c r="X353" s="2">
        <f>IF($H353&gt;J353,MIN($H353-J353,K353-J353)*INDEX('2018_commission_structure'!$A$5:$J$8,MATCH(Calculations!$E353,'2018_commission_structure'!$A$5:$A$8,0),MATCH(Calculations!X$1,'2018_commission_structure'!$A$5:$J$5,0)),0)</f>
        <v>0</v>
      </c>
      <c r="Y353" s="2">
        <f>IF($H353&gt;K353,MIN($H353-K353,L353-K353)*INDEX('2018_commission_structure'!$A$5:$J$8,MATCH(Calculations!$E353,'2018_commission_structure'!$A$5:$A$8,0),MATCH(Calculations!Y$1,'2018_commission_structure'!$A$5:$J$5,0)),0)</f>
        <v>0</v>
      </c>
      <c r="Z353" s="2">
        <f xml:space="preserve"> IF(H353&gt;L353,(H353-L353)*INDEX('2018_commission_structure'!$A$11:$I$14,MATCH(Calculations!$E353,'2018_commission_structure'!$A$11:$A$14,0),MATCH(Calculations!Z$1,'2018_commission_structure'!$A$11:$I$11,0)),0)</f>
        <v>0</v>
      </c>
      <c r="AA353" s="7">
        <f t="shared" si="52"/>
        <v>106936.73999999999</v>
      </c>
      <c r="AB353" s="7">
        <f t="shared" si="53"/>
        <v>180903.74</v>
      </c>
    </row>
    <row r="354" spans="1:28" x14ac:dyDescent="0.25">
      <c r="A354">
        <v>4094820760</v>
      </c>
      <c r="B354" t="s">
        <v>1506</v>
      </c>
      <c r="C354" t="s">
        <v>1507</v>
      </c>
      <c r="D354" t="str">
        <f>B354&amp;" "&amp;C354</f>
        <v>Elmore Gianullo</v>
      </c>
      <c r="E354" t="s">
        <v>29</v>
      </c>
      <c r="F354">
        <v>74967</v>
      </c>
      <c r="G354">
        <f>COUNTIF(deals_closed!D:D,Calculations!A354)</f>
        <v>17</v>
      </c>
      <c r="H354" s="2">
        <f>SUMIF(deals_closed!D:D,Calculations!A354,deals_closed!C:C)</f>
        <v>523072</v>
      </c>
      <c r="I354" s="2">
        <f>VLOOKUP(E354,'2018_commission_structure'!$A$11:$I$14,9,FALSE)</f>
        <v>600000</v>
      </c>
      <c r="J354" s="2">
        <f t="shared" si="45"/>
        <v>750000</v>
      </c>
      <c r="K354" s="2">
        <f t="shared" si="46"/>
        <v>900000</v>
      </c>
      <c r="L354" s="2">
        <f t="shared" si="47"/>
        <v>1200000</v>
      </c>
      <c r="M354" s="6">
        <f t="shared" si="48"/>
        <v>0.87178666666666671</v>
      </c>
      <c r="N354" t="str">
        <f t="shared" si="49"/>
        <v>0-100%</v>
      </c>
      <c r="O354" s="7">
        <f>MIN(I354,H354)*INDEX('2018_commission_structure'!$A$11:$I$14,MATCH(Calculations!$E354,'2018_commission_structure'!$A$11:$A$14,0),MATCH(Calculations!O$1,'2018_commission_structure'!$A$11:$I$11,0))</f>
        <v>67999.360000000001</v>
      </c>
      <c r="P354" s="7">
        <f>IF($H354&gt;I354,MIN($H354-I354,J354-I354)*INDEX('2018_commission_structure'!$A$11:$I$14,MATCH(Calculations!$E354,'2018_commission_structure'!$A$11:$A$14,0), MATCH(Calculations!P$1,'2018_commission_structure'!$A$11:$I$11,0)),0)</f>
        <v>0</v>
      </c>
      <c r="Q354" s="7">
        <f>IF($H354&gt;J354,MIN($H354-J354,K354-J354)*INDEX('2018_commission_structure'!$A$11:$I$14,MATCH(Calculations!$E354,'2018_commission_structure'!$A$11:$A$14,0), MATCH(Calculations!Q$1,'2018_commission_structure'!$A$11:$I$11,0)),0)</f>
        <v>0</v>
      </c>
      <c r="R354" s="7">
        <f>IF($H354&gt;K354,MIN($H354-K354,L354-K354)*INDEX('2018_commission_structure'!$A$11:$I$14,MATCH(Calculations!$E354,'2018_commission_structure'!$A$11:$A$14,0), MATCH(Calculations!R$1,'2018_commission_structure'!$A$11:$I$11,0)),0)</f>
        <v>0</v>
      </c>
      <c r="S354" s="7">
        <f>IF(H354&gt;L354,(H354-L354)*INDEX('2018_commission_structure'!$A$11:$I$14,MATCH(Calculations!$E354,'2018_commission_structure'!$A$11:$A$14,0),MATCH(Calculations!S$1,'2018_commission_structure'!$A$11:$I$11,0)),0)</f>
        <v>0</v>
      </c>
      <c r="T354" s="7">
        <f t="shared" si="50"/>
        <v>67999.360000000001</v>
      </c>
      <c r="U354" s="7">
        <f t="shared" si="51"/>
        <v>142966.35999999999</v>
      </c>
      <c r="V354" s="7">
        <f>MIN(H354,I354)*INDEX('2018_commission_structure'!$A$5:$J$8,MATCH(Calculations!$E354,'2018_commission_structure'!$A$5:$A$8,0),MATCH(Calculations!V$1,'2018_commission_structure'!$A$5:$J$5,0))</f>
        <v>78460.800000000003</v>
      </c>
      <c r="W354" s="2">
        <f>IF($H354&gt;I354,MIN($H354-I354,J354-I354)*INDEX('2018_commission_structure'!$A$5:$J$8,MATCH(Calculations!$E354,'2018_commission_structure'!$A$5:$A$8,0),MATCH(Calculations!W$1,'2018_commission_structure'!$A$5:$J$5,0)),0)</f>
        <v>0</v>
      </c>
      <c r="X354" s="2">
        <f>IF($H354&gt;J354,MIN($H354-J354,K354-J354)*INDEX('2018_commission_structure'!$A$5:$J$8,MATCH(Calculations!$E354,'2018_commission_structure'!$A$5:$A$8,0),MATCH(Calculations!X$1,'2018_commission_structure'!$A$5:$J$5,0)),0)</f>
        <v>0</v>
      </c>
      <c r="Y354" s="2">
        <f>IF($H354&gt;K354,MIN($H354-K354,L354-K354)*INDEX('2018_commission_structure'!$A$5:$J$8,MATCH(Calculations!$E354,'2018_commission_structure'!$A$5:$A$8,0),MATCH(Calculations!Y$1,'2018_commission_structure'!$A$5:$J$5,0)),0)</f>
        <v>0</v>
      </c>
      <c r="Z354" s="2">
        <f xml:space="preserve"> IF(H354&gt;L354,(H354-L354)*INDEX('2018_commission_structure'!$A$11:$I$14,MATCH(Calculations!$E354,'2018_commission_structure'!$A$11:$A$14,0),MATCH(Calculations!Z$1,'2018_commission_structure'!$A$11:$I$11,0)),0)</f>
        <v>0</v>
      </c>
      <c r="AA354" s="7">
        <f t="shared" si="52"/>
        <v>78460.800000000003</v>
      </c>
      <c r="AB354" s="7">
        <f t="shared" si="53"/>
        <v>153427.79999999999</v>
      </c>
    </row>
    <row r="355" spans="1:28" x14ac:dyDescent="0.25">
      <c r="A355">
        <v>2670196322</v>
      </c>
      <c r="B355" t="s">
        <v>292</v>
      </c>
      <c r="C355" t="s">
        <v>397</v>
      </c>
      <c r="D355" t="str">
        <f>B355&amp;" "&amp;C355</f>
        <v>Glenn Gillespie</v>
      </c>
      <c r="E355" t="s">
        <v>7</v>
      </c>
      <c r="F355">
        <v>50840</v>
      </c>
      <c r="G355">
        <f>COUNTIF(deals_closed!D:D,Calculations!A355)</f>
        <v>24</v>
      </c>
      <c r="H355" s="2">
        <f>SUMIF(deals_closed!D:D,Calculations!A355,deals_closed!C:C)</f>
        <v>895817</v>
      </c>
      <c r="I355" s="2">
        <f>VLOOKUP(E355,'2018_commission_structure'!$A$11:$I$14,9,FALSE)</f>
        <v>500000</v>
      </c>
      <c r="J355" s="2">
        <f t="shared" si="45"/>
        <v>625000</v>
      </c>
      <c r="K355" s="2">
        <f t="shared" si="46"/>
        <v>750000</v>
      </c>
      <c r="L355" s="2">
        <f t="shared" si="47"/>
        <v>1000000</v>
      </c>
      <c r="M355" s="6">
        <f t="shared" si="48"/>
        <v>1.7916339999999999</v>
      </c>
      <c r="N355" t="str">
        <f t="shared" si="49"/>
        <v>150-200%</v>
      </c>
      <c r="O355" s="7">
        <f>MIN(I355,H355)*INDEX('2018_commission_structure'!$A$11:$I$14,MATCH(Calculations!$E355,'2018_commission_structure'!$A$11:$A$14,0),MATCH(Calculations!O$1,'2018_commission_structure'!$A$11:$I$11,0))</f>
        <v>50000</v>
      </c>
      <c r="P355" s="7">
        <f>IF($H355&gt;I355,MIN($H355-I355,J355-I355)*INDEX('2018_commission_structure'!$A$11:$I$14,MATCH(Calculations!$E355,'2018_commission_structure'!$A$11:$A$14,0), MATCH(Calculations!P$1,'2018_commission_structure'!$A$11:$I$11,0)),0)</f>
        <v>18750</v>
      </c>
      <c r="Q355" s="7">
        <f>IF($H355&gt;J355,MIN($H355-J355,K355-J355)*INDEX('2018_commission_structure'!$A$11:$I$14,MATCH(Calculations!$E355,'2018_commission_structure'!$A$11:$A$14,0), MATCH(Calculations!Q$1,'2018_commission_structure'!$A$11:$I$11,0)),0)</f>
        <v>22500</v>
      </c>
      <c r="R355" s="7">
        <f>IF($H355&gt;K355,MIN($H355-K355,L355-K355)*INDEX('2018_commission_structure'!$A$11:$I$14,MATCH(Calculations!$E355,'2018_commission_structure'!$A$11:$A$14,0), MATCH(Calculations!R$1,'2018_commission_structure'!$A$11:$I$11,0)),0)</f>
        <v>32079.74</v>
      </c>
      <c r="S355" s="7">
        <f>IF(H355&gt;L355,(H355-L355)*INDEX('2018_commission_structure'!$A$11:$I$14,MATCH(Calculations!$E355,'2018_commission_structure'!$A$11:$A$14,0),MATCH(Calculations!S$1,'2018_commission_structure'!$A$11:$I$11,0)),0)</f>
        <v>0</v>
      </c>
      <c r="T355" s="7">
        <f t="shared" si="50"/>
        <v>123329.74</v>
      </c>
      <c r="U355" s="7">
        <f t="shared" si="51"/>
        <v>174169.74</v>
      </c>
      <c r="V355" s="7">
        <f>MIN(H355,I355)*INDEX('2018_commission_structure'!$A$5:$J$8,MATCH(Calculations!$E355,'2018_commission_structure'!$A$5:$A$8,0),MATCH(Calculations!V$1,'2018_commission_structure'!$A$5:$J$5,0))</f>
        <v>60000</v>
      </c>
      <c r="W355" s="2">
        <f>IF($H355&gt;I355,MIN($H355-I355,J355-I355)*INDEX('2018_commission_structure'!$A$5:$J$8,MATCH(Calculations!$E355,'2018_commission_structure'!$A$5:$A$8,0),MATCH(Calculations!W$1,'2018_commission_structure'!$A$5:$J$5,0)),0)</f>
        <v>21250</v>
      </c>
      <c r="X355" s="2">
        <f>IF($H355&gt;J355,MIN($H355-J355,K355-J355)*INDEX('2018_commission_structure'!$A$5:$J$8,MATCH(Calculations!$E355,'2018_commission_structure'!$A$5:$A$8,0),MATCH(Calculations!X$1,'2018_commission_structure'!$A$5:$J$5,0)),0)</f>
        <v>25000</v>
      </c>
      <c r="Y355" s="2">
        <f>IF($H355&gt;K355,MIN($H355-K355,L355-K355)*INDEX('2018_commission_structure'!$A$5:$J$8,MATCH(Calculations!$E355,'2018_commission_structure'!$A$5:$A$8,0),MATCH(Calculations!Y$1,'2018_commission_structure'!$A$5:$J$5,0)),0)</f>
        <v>32079.74</v>
      </c>
      <c r="Z355" s="2">
        <f xml:space="preserve"> IF(H355&gt;L355,(H355-L355)*INDEX('2018_commission_structure'!$A$11:$I$14,MATCH(Calculations!$E355,'2018_commission_structure'!$A$11:$A$14,0),MATCH(Calculations!Z$1,'2018_commission_structure'!$A$11:$I$11,0)),0)</f>
        <v>0</v>
      </c>
      <c r="AA355" s="7">
        <f t="shared" si="52"/>
        <v>138329.74</v>
      </c>
      <c r="AB355" s="7">
        <f t="shared" si="53"/>
        <v>189169.74</v>
      </c>
    </row>
    <row r="356" spans="1:28" x14ac:dyDescent="0.25">
      <c r="A356">
        <v>9331851693</v>
      </c>
      <c r="B356" t="s">
        <v>1661</v>
      </c>
      <c r="C356" t="s">
        <v>1135</v>
      </c>
      <c r="D356" t="str">
        <f>B356&amp;" "&amp;C356</f>
        <v>Glennie Giorgio</v>
      </c>
      <c r="E356" t="s">
        <v>7</v>
      </c>
      <c r="F356">
        <v>37472</v>
      </c>
      <c r="G356">
        <f>COUNTIF(deals_closed!D:D,Calculations!A356)</f>
        <v>22</v>
      </c>
      <c r="H356" s="2">
        <f>SUMIF(deals_closed!D:D,Calculations!A356,deals_closed!C:C)</f>
        <v>651320</v>
      </c>
      <c r="I356" s="2">
        <f>VLOOKUP(E356,'2018_commission_structure'!$A$11:$I$14,9,FALSE)</f>
        <v>500000</v>
      </c>
      <c r="J356" s="2">
        <f t="shared" si="45"/>
        <v>625000</v>
      </c>
      <c r="K356" s="2">
        <f t="shared" si="46"/>
        <v>750000</v>
      </c>
      <c r="L356" s="2">
        <f t="shared" si="47"/>
        <v>1000000</v>
      </c>
      <c r="M356" s="6">
        <f t="shared" si="48"/>
        <v>1.30264</v>
      </c>
      <c r="N356" t="str">
        <f t="shared" si="49"/>
        <v>125-150%</v>
      </c>
      <c r="O356" s="7">
        <f>MIN(I356,H356)*INDEX('2018_commission_structure'!$A$11:$I$14,MATCH(Calculations!$E356,'2018_commission_structure'!$A$11:$A$14,0),MATCH(Calculations!O$1,'2018_commission_structure'!$A$11:$I$11,0))</f>
        <v>50000</v>
      </c>
      <c r="P356" s="7">
        <f>IF($H356&gt;I356,MIN($H356-I356,J356-I356)*INDEX('2018_commission_structure'!$A$11:$I$14,MATCH(Calculations!$E356,'2018_commission_structure'!$A$11:$A$14,0), MATCH(Calculations!P$1,'2018_commission_structure'!$A$11:$I$11,0)),0)</f>
        <v>18750</v>
      </c>
      <c r="Q356" s="7">
        <f>IF($H356&gt;J356,MIN($H356-J356,K356-J356)*INDEX('2018_commission_structure'!$A$11:$I$14,MATCH(Calculations!$E356,'2018_commission_structure'!$A$11:$A$14,0), MATCH(Calculations!Q$1,'2018_commission_structure'!$A$11:$I$11,0)),0)</f>
        <v>4737.5999999999995</v>
      </c>
      <c r="R356" s="7">
        <f>IF($H356&gt;K356,MIN($H356-K356,L356-K356)*INDEX('2018_commission_structure'!$A$11:$I$14,MATCH(Calculations!$E356,'2018_commission_structure'!$A$11:$A$14,0), MATCH(Calculations!R$1,'2018_commission_structure'!$A$11:$I$11,0)),0)</f>
        <v>0</v>
      </c>
      <c r="S356" s="7">
        <f>IF(H356&gt;L356,(H356-L356)*INDEX('2018_commission_structure'!$A$11:$I$14,MATCH(Calculations!$E356,'2018_commission_structure'!$A$11:$A$14,0),MATCH(Calculations!S$1,'2018_commission_structure'!$A$11:$I$11,0)),0)</f>
        <v>0</v>
      </c>
      <c r="T356" s="7">
        <f t="shared" si="50"/>
        <v>73487.600000000006</v>
      </c>
      <c r="U356" s="7">
        <f t="shared" si="51"/>
        <v>110959.6</v>
      </c>
      <c r="V356" s="7">
        <f>MIN(H356,I356)*INDEX('2018_commission_structure'!$A$5:$J$8,MATCH(Calculations!$E356,'2018_commission_structure'!$A$5:$A$8,0),MATCH(Calculations!V$1,'2018_commission_structure'!$A$5:$J$5,0))</f>
        <v>60000</v>
      </c>
      <c r="W356" s="2">
        <f>IF($H356&gt;I356,MIN($H356-I356,J356-I356)*INDEX('2018_commission_structure'!$A$5:$J$8,MATCH(Calculations!$E356,'2018_commission_structure'!$A$5:$A$8,0),MATCH(Calculations!W$1,'2018_commission_structure'!$A$5:$J$5,0)),0)</f>
        <v>21250</v>
      </c>
      <c r="X356" s="2">
        <f>IF($H356&gt;J356,MIN($H356-J356,K356-J356)*INDEX('2018_commission_structure'!$A$5:$J$8,MATCH(Calculations!$E356,'2018_commission_structure'!$A$5:$A$8,0),MATCH(Calculations!X$1,'2018_commission_structure'!$A$5:$J$5,0)),0)</f>
        <v>5264</v>
      </c>
      <c r="Y356" s="2">
        <f>IF($H356&gt;K356,MIN($H356-K356,L356-K356)*INDEX('2018_commission_structure'!$A$5:$J$8,MATCH(Calculations!$E356,'2018_commission_structure'!$A$5:$A$8,0),MATCH(Calculations!Y$1,'2018_commission_structure'!$A$5:$J$5,0)),0)</f>
        <v>0</v>
      </c>
      <c r="Z356" s="2">
        <f xml:space="preserve"> IF(H356&gt;L356,(H356-L356)*INDEX('2018_commission_structure'!$A$11:$I$14,MATCH(Calculations!$E356,'2018_commission_structure'!$A$11:$A$14,0),MATCH(Calculations!Z$1,'2018_commission_structure'!$A$11:$I$11,0)),0)</f>
        <v>0</v>
      </c>
      <c r="AA356" s="7">
        <f t="shared" si="52"/>
        <v>86514</v>
      </c>
      <c r="AB356" s="7">
        <f t="shared" si="53"/>
        <v>123986</v>
      </c>
    </row>
    <row r="357" spans="1:28" x14ac:dyDescent="0.25">
      <c r="A357">
        <v>5412518958</v>
      </c>
      <c r="B357" t="s">
        <v>1890</v>
      </c>
      <c r="C357" t="s">
        <v>1891</v>
      </c>
      <c r="D357" t="str">
        <f>B357&amp;" "&amp;C357</f>
        <v>Row Giottini</v>
      </c>
      <c r="E357" t="s">
        <v>7</v>
      </c>
      <c r="F357">
        <v>34010</v>
      </c>
      <c r="G357">
        <f>COUNTIF(deals_closed!D:D,Calculations!A357)</f>
        <v>31</v>
      </c>
      <c r="H357" s="2">
        <f>SUMIF(deals_closed!D:D,Calculations!A357,deals_closed!C:C)</f>
        <v>1064286</v>
      </c>
      <c r="I357" s="2">
        <f>VLOOKUP(E357,'2018_commission_structure'!$A$11:$I$14,9,FALSE)</f>
        <v>500000</v>
      </c>
      <c r="J357" s="2">
        <f t="shared" si="45"/>
        <v>625000</v>
      </c>
      <c r="K357" s="2">
        <f t="shared" si="46"/>
        <v>750000</v>
      </c>
      <c r="L357" s="2">
        <f t="shared" si="47"/>
        <v>1000000</v>
      </c>
      <c r="M357" s="6">
        <f t="shared" si="48"/>
        <v>2.1285720000000001</v>
      </c>
      <c r="N357" t="str">
        <f t="shared" si="49"/>
        <v>&gt;200%</v>
      </c>
      <c r="O357" s="7">
        <f>MIN(I357,H357)*INDEX('2018_commission_structure'!$A$11:$I$14,MATCH(Calculations!$E357,'2018_commission_structure'!$A$11:$A$14,0),MATCH(Calculations!O$1,'2018_commission_structure'!$A$11:$I$11,0))</f>
        <v>50000</v>
      </c>
      <c r="P357" s="7">
        <f>IF($H357&gt;I357,MIN($H357-I357,J357-I357)*INDEX('2018_commission_structure'!$A$11:$I$14,MATCH(Calculations!$E357,'2018_commission_structure'!$A$11:$A$14,0), MATCH(Calculations!P$1,'2018_commission_structure'!$A$11:$I$11,0)),0)</f>
        <v>18750</v>
      </c>
      <c r="Q357" s="7">
        <f>IF($H357&gt;J357,MIN($H357-J357,K357-J357)*INDEX('2018_commission_structure'!$A$11:$I$14,MATCH(Calculations!$E357,'2018_commission_structure'!$A$11:$A$14,0), MATCH(Calculations!Q$1,'2018_commission_structure'!$A$11:$I$11,0)),0)</f>
        <v>22500</v>
      </c>
      <c r="R357" s="7">
        <f>IF($H357&gt;K357,MIN($H357-K357,L357-K357)*INDEX('2018_commission_structure'!$A$11:$I$14,MATCH(Calculations!$E357,'2018_commission_structure'!$A$11:$A$14,0), MATCH(Calculations!R$1,'2018_commission_structure'!$A$11:$I$11,0)),0)</f>
        <v>55000</v>
      </c>
      <c r="S357" s="7">
        <f>IF(H357&gt;L357,(H357-L357)*INDEX('2018_commission_structure'!$A$11:$I$14,MATCH(Calculations!$E357,'2018_commission_structure'!$A$11:$A$14,0),MATCH(Calculations!S$1,'2018_commission_structure'!$A$11:$I$11,0)),0)</f>
        <v>6428.6</v>
      </c>
      <c r="T357" s="7">
        <f t="shared" si="50"/>
        <v>152678.6</v>
      </c>
      <c r="U357" s="7">
        <f t="shared" si="51"/>
        <v>186688.6</v>
      </c>
      <c r="V357" s="7">
        <f>MIN(H357,I357)*INDEX('2018_commission_structure'!$A$5:$J$8,MATCH(Calculations!$E357,'2018_commission_structure'!$A$5:$A$8,0),MATCH(Calculations!V$1,'2018_commission_structure'!$A$5:$J$5,0))</f>
        <v>60000</v>
      </c>
      <c r="W357" s="2">
        <f>IF($H357&gt;I357,MIN($H357-I357,J357-I357)*INDEX('2018_commission_structure'!$A$5:$J$8,MATCH(Calculations!$E357,'2018_commission_structure'!$A$5:$A$8,0),MATCH(Calculations!W$1,'2018_commission_structure'!$A$5:$J$5,0)),0)</f>
        <v>21250</v>
      </c>
      <c r="X357" s="2">
        <f>IF($H357&gt;J357,MIN($H357-J357,K357-J357)*INDEX('2018_commission_structure'!$A$5:$J$8,MATCH(Calculations!$E357,'2018_commission_structure'!$A$5:$A$8,0),MATCH(Calculations!X$1,'2018_commission_structure'!$A$5:$J$5,0)),0)</f>
        <v>25000</v>
      </c>
      <c r="Y357" s="2">
        <f>IF($H357&gt;K357,MIN($H357-K357,L357-K357)*INDEX('2018_commission_structure'!$A$5:$J$8,MATCH(Calculations!$E357,'2018_commission_structure'!$A$5:$A$8,0),MATCH(Calculations!Y$1,'2018_commission_structure'!$A$5:$J$5,0)),0)</f>
        <v>55000</v>
      </c>
      <c r="Z357" s="2">
        <f xml:space="preserve"> IF(H357&gt;L357,(H357-L357)*INDEX('2018_commission_structure'!$A$11:$I$14,MATCH(Calculations!$E357,'2018_commission_structure'!$A$11:$A$14,0),MATCH(Calculations!Z$1,'2018_commission_structure'!$A$11:$I$11,0)),0)</f>
        <v>6428.6</v>
      </c>
      <c r="AA357" s="7">
        <f t="shared" si="52"/>
        <v>167678.6</v>
      </c>
      <c r="AB357" s="7">
        <f t="shared" si="53"/>
        <v>201688.6</v>
      </c>
    </row>
    <row r="358" spans="1:28" x14ac:dyDescent="0.25">
      <c r="A358">
        <v>3600185284</v>
      </c>
      <c r="B358" t="s">
        <v>303</v>
      </c>
      <c r="C358" t="s">
        <v>1143</v>
      </c>
      <c r="D358" t="str">
        <f>B358&amp;" "&amp;C358</f>
        <v>Nial Giovanazzi</v>
      </c>
      <c r="E358" t="s">
        <v>29</v>
      </c>
      <c r="F358">
        <v>52134</v>
      </c>
      <c r="G358">
        <f>COUNTIF(deals_closed!D:D,Calculations!A358)</f>
        <v>18</v>
      </c>
      <c r="H358" s="2">
        <f>SUMIF(deals_closed!D:D,Calculations!A358,deals_closed!C:C)</f>
        <v>648709</v>
      </c>
      <c r="I358" s="2">
        <f>VLOOKUP(E358,'2018_commission_structure'!$A$11:$I$14,9,FALSE)</f>
        <v>600000</v>
      </c>
      <c r="J358" s="2">
        <f t="shared" si="45"/>
        <v>750000</v>
      </c>
      <c r="K358" s="2">
        <f t="shared" si="46"/>
        <v>900000</v>
      </c>
      <c r="L358" s="2">
        <f t="shared" si="47"/>
        <v>1200000</v>
      </c>
      <c r="M358" s="6">
        <f t="shared" si="48"/>
        <v>1.0811816666666667</v>
      </c>
      <c r="N358" t="str">
        <f t="shared" si="49"/>
        <v>100-125%</v>
      </c>
      <c r="O358" s="7">
        <f>MIN(I358,H358)*INDEX('2018_commission_structure'!$A$11:$I$14,MATCH(Calculations!$E358,'2018_commission_structure'!$A$11:$A$14,0),MATCH(Calculations!O$1,'2018_commission_structure'!$A$11:$I$11,0))</f>
        <v>78000</v>
      </c>
      <c r="P358" s="7">
        <f>IF($H358&gt;I358,MIN($H358-I358,J358-I358)*INDEX('2018_commission_structure'!$A$11:$I$14,MATCH(Calculations!$E358,'2018_commission_structure'!$A$11:$A$14,0), MATCH(Calculations!P$1,'2018_commission_structure'!$A$11:$I$11,0)),0)</f>
        <v>8280.5300000000007</v>
      </c>
      <c r="Q358" s="7">
        <f>IF($H358&gt;J358,MIN($H358-J358,K358-J358)*INDEX('2018_commission_structure'!$A$11:$I$14,MATCH(Calculations!$E358,'2018_commission_structure'!$A$11:$A$14,0), MATCH(Calculations!Q$1,'2018_commission_structure'!$A$11:$I$11,0)),0)</f>
        <v>0</v>
      </c>
      <c r="R358" s="7">
        <f>IF($H358&gt;K358,MIN($H358-K358,L358-K358)*INDEX('2018_commission_structure'!$A$11:$I$14,MATCH(Calculations!$E358,'2018_commission_structure'!$A$11:$A$14,0), MATCH(Calculations!R$1,'2018_commission_structure'!$A$11:$I$11,0)),0)</f>
        <v>0</v>
      </c>
      <c r="S358" s="7">
        <f>IF(H358&gt;L358,(H358-L358)*INDEX('2018_commission_structure'!$A$11:$I$14,MATCH(Calculations!$E358,'2018_commission_structure'!$A$11:$A$14,0),MATCH(Calculations!S$1,'2018_commission_structure'!$A$11:$I$11,0)),0)</f>
        <v>0</v>
      </c>
      <c r="T358" s="7">
        <f t="shared" si="50"/>
        <v>86280.53</v>
      </c>
      <c r="U358" s="7">
        <f t="shared" si="51"/>
        <v>138414.53</v>
      </c>
      <c r="V358" s="7">
        <f>MIN(H358,I358)*INDEX('2018_commission_structure'!$A$5:$J$8,MATCH(Calculations!$E358,'2018_commission_structure'!$A$5:$A$8,0),MATCH(Calculations!V$1,'2018_commission_structure'!$A$5:$J$5,0))</f>
        <v>90000</v>
      </c>
      <c r="W358" s="2">
        <f>IF($H358&gt;I358,MIN($H358-I358,J358-I358)*INDEX('2018_commission_structure'!$A$5:$J$8,MATCH(Calculations!$E358,'2018_commission_structure'!$A$5:$A$8,0),MATCH(Calculations!W$1,'2018_commission_structure'!$A$5:$J$5,0)),0)</f>
        <v>8767.619999999999</v>
      </c>
      <c r="X358" s="2">
        <f>IF($H358&gt;J358,MIN($H358-J358,K358-J358)*INDEX('2018_commission_structure'!$A$5:$J$8,MATCH(Calculations!$E358,'2018_commission_structure'!$A$5:$A$8,0),MATCH(Calculations!X$1,'2018_commission_structure'!$A$5:$J$5,0)),0)</f>
        <v>0</v>
      </c>
      <c r="Y358" s="2">
        <f>IF($H358&gt;K358,MIN($H358-K358,L358-K358)*INDEX('2018_commission_structure'!$A$5:$J$8,MATCH(Calculations!$E358,'2018_commission_structure'!$A$5:$A$8,0),MATCH(Calculations!Y$1,'2018_commission_structure'!$A$5:$J$5,0)),0)</f>
        <v>0</v>
      </c>
      <c r="Z358" s="2">
        <f xml:space="preserve"> IF(H358&gt;L358,(H358-L358)*INDEX('2018_commission_structure'!$A$11:$I$14,MATCH(Calculations!$E358,'2018_commission_structure'!$A$11:$A$14,0),MATCH(Calculations!Z$1,'2018_commission_structure'!$A$11:$I$11,0)),0)</f>
        <v>0</v>
      </c>
      <c r="AA358" s="7">
        <f t="shared" si="52"/>
        <v>98767.62</v>
      </c>
      <c r="AB358" s="7">
        <f t="shared" si="53"/>
        <v>150901.62</v>
      </c>
    </row>
    <row r="359" spans="1:28" x14ac:dyDescent="0.25">
      <c r="A359">
        <v>6173504774</v>
      </c>
      <c r="B359" t="s">
        <v>218</v>
      </c>
      <c r="C359" t="s">
        <v>302</v>
      </c>
      <c r="D359" t="str">
        <f>B359&amp;" "&amp;C359</f>
        <v>Meredith Giraudot</v>
      </c>
      <c r="E359" t="s">
        <v>10</v>
      </c>
      <c r="F359">
        <v>124928</v>
      </c>
      <c r="G359">
        <f>COUNTIF(deals_closed!D:D,Calculations!A359)</f>
        <v>22</v>
      </c>
      <c r="H359" s="2">
        <f>SUMIF(deals_closed!D:D,Calculations!A359,deals_closed!C:C)</f>
        <v>582051</v>
      </c>
      <c r="I359" s="2">
        <f>VLOOKUP(E359,'2018_commission_structure'!$A$11:$I$14,9,FALSE)</f>
        <v>750000</v>
      </c>
      <c r="J359" s="2">
        <f t="shared" si="45"/>
        <v>937500</v>
      </c>
      <c r="K359" s="2">
        <f t="shared" si="46"/>
        <v>1125000</v>
      </c>
      <c r="L359" s="2">
        <f t="shared" si="47"/>
        <v>1500000</v>
      </c>
      <c r="M359" s="6">
        <f t="shared" si="48"/>
        <v>0.77606799999999998</v>
      </c>
      <c r="N359" t="str">
        <f t="shared" si="49"/>
        <v>0-100%</v>
      </c>
      <c r="O359" s="7">
        <f>MIN(I359,H359)*INDEX('2018_commission_structure'!$A$11:$I$14,MATCH(Calculations!$E359,'2018_commission_structure'!$A$11:$A$14,0),MATCH(Calculations!O$1,'2018_commission_structure'!$A$11:$I$11,0))</f>
        <v>87307.65</v>
      </c>
      <c r="P359" s="7">
        <f>IF($H359&gt;I359,MIN($H359-I359,J359-I359)*INDEX('2018_commission_structure'!$A$11:$I$14,MATCH(Calculations!$E359,'2018_commission_structure'!$A$11:$A$14,0), MATCH(Calculations!P$1,'2018_commission_structure'!$A$11:$I$11,0)),0)</f>
        <v>0</v>
      </c>
      <c r="Q359" s="7">
        <f>IF($H359&gt;J359,MIN($H359-J359,K359-J359)*INDEX('2018_commission_structure'!$A$11:$I$14,MATCH(Calculations!$E359,'2018_commission_structure'!$A$11:$A$14,0), MATCH(Calculations!Q$1,'2018_commission_structure'!$A$11:$I$11,0)),0)</f>
        <v>0</v>
      </c>
      <c r="R359" s="7">
        <f>IF($H359&gt;K359,MIN($H359-K359,L359-K359)*INDEX('2018_commission_structure'!$A$11:$I$14,MATCH(Calculations!$E359,'2018_commission_structure'!$A$11:$A$14,0), MATCH(Calculations!R$1,'2018_commission_structure'!$A$11:$I$11,0)),0)</f>
        <v>0</v>
      </c>
      <c r="S359" s="7">
        <f>IF(H359&gt;L359,(H359-L359)*INDEX('2018_commission_structure'!$A$11:$I$14,MATCH(Calculations!$E359,'2018_commission_structure'!$A$11:$A$14,0),MATCH(Calculations!S$1,'2018_commission_structure'!$A$11:$I$11,0)),0)</f>
        <v>0</v>
      </c>
      <c r="T359" s="7">
        <f t="shared" si="50"/>
        <v>87307.65</v>
      </c>
      <c r="U359" s="7">
        <f t="shared" si="51"/>
        <v>212235.65</v>
      </c>
      <c r="V359" s="7">
        <f>MIN(H359,I359)*INDEX('2018_commission_structure'!$A$5:$J$8,MATCH(Calculations!$E359,'2018_commission_structure'!$A$5:$A$8,0),MATCH(Calculations!V$1,'2018_commission_structure'!$A$5:$J$5,0))</f>
        <v>87307.65</v>
      </c>
      <c r="W359" s="2">
        <f>IF($H359&gt;I359,MIN($H359-I359,J359-I359)*INDEX('2018_commission_structure'!$A$5:$J$8,MATCH(Calculations!$E359,'2018_commission_structure'!$A$5:$A$8,0),MATCH(Calculations!W$1,'2018_commission_structure'!$A$5:$J$5,0)),0)</f>
        <v>0</v>
      </c>
      <c r="X359" s="2">
        <f>IF($H359&gt;J359,MIN($H359-J359,K359-J359)*INDEX('2018_commission_structure'!$A$5:$J$8,MATCH(Calculations!$E359,'2018_commission_structure'!$A$5:$A$8,0),MATCH(Calculations!X$1,'2018_commission_structure'!$A$5:$J$5,0)),0)</f>
        <v>0</v>
      </c>
      <c r="Y359" s="2">
        <f>IF($H359&gt;K359,MIN($H359-K359,L359-K359)*INDEX('2018_commission_structure'!$A$5:$J$8,MATCH(Calculations!$E359,'2018_commission_structure'!$A$5:$A$8,0),MATCH(Calculations!Y$1,'2018_commission_structure'!$A$5:$J$5,0)),0)</f>
        <v>0</v>
      </c>
      <c r="Z359" s="2">
        <f xml:space="preserve"> IF(H359&gt;L359,(H359-L359)*INDEX('2018_commission_structure'!$A$11:$I$14,MATCH(Calculations!$E359,'2018_commission_structure'!$A$11:$A$14,0),MATCH(Calculations!Z$1,'2018_commission_structure'!$A$11:$I$11,0)),0)</f>
        <v>0</v>
      </c>
      <c r="AA359" s="7">
        <f t="shared" si="52"/>
        <v>87307.65</v>
      </c>
      <c r="AB359" s="7">
        <f t="shared" si="53"/>
        <v>212235.65</v>
      </c>
    </row>
    <row r="360" spans="1:28" x14ac:dyDescent="0.25">
      <c r="A360">
        <v>9293760045</v>
      </c>
      <c r="B360" t="s">
        <v>224</v>
      </c>
      <c r="C360" t="s">
        <v>225</v>
      </c>
      <c r="D360" t="str">
        <f>B360&amp;" "&amp;C360</f>
        <v>Clem Girth</v>
      </c>
      <c r="E360" t="s">
        <v>7</v>
      </c>
      <c r="F360">
        <v>48405</v>
      </c>
      <c r="G360">
        <f>COUNTIF(deals_closed!D:D,Calculations!A360)</f>
        <v>18</v>
      </c>
      <c r="H360" s="2">
        <f>SUMIF(deals_closed!D:D,Calculations!A360,deals_closed!C:C)</f>
        <v>583650</v>
      </c>
      <c r="I360" s="2">
        <f>VLOOKUP(E360,'2018_commission_structure'!$A$11:$I$14,9,FALSE)</f>
        <v>500000</v>
      </c>
      <c r="J360" s="2">
        <f t="shared" si="45"/>
        <v>625000</v>
      </c>
      <c r="K360" s="2">
        <f t="shared" si="46"/>
        <v>750000</v>
      </c>
      <c r="L360" s="2">
        <f t="shared" si="47"/>
        <v>1000000</v>
      </c>
      <c r="M360" s="6">
        <f t="shared" si="48"/>
        <v>1.1673</v>
      </c>
      <c r="N360" t="str">
        <f t="shared" si="49"/>
        <v>100-125%</v>
      </c>
      <c r="O360" s="7">
        <f>MIN(I360,H360)*INDEX('2018_commission_structure'!$A$11:$I$14,MATCH(Calculations!$E360,'2018_commission_structure'!$A$11:$A$14,0),MATCH(Calculations!O$1,'2018_commission_structure'!$A$11:$I$11,0))</f>
        <v>50000</v>
      </c>
      <c r="P360" s="7">
        <f>IF($H360&gt;I360,MIN($H360-I360,J360-I360)*INDEX('2018_commission_structure'!$A$11:$I$14,MATCH(Calculations!$E360,'2018_commission_structure'!$A$11:$A$14,0), MATCH(Calculations!P$1,'2018_commission_structure'!$A$11:$I$11,0)),0)</f>
        <v>12547.5</v>
      </c>
      <c r="Q360" s="7">
        <f>IF($H360&gt;J360,MIN($H360-J360,K360-J360)*INDEX('2018_commission_structure'!$A$11:$I$14,MATCH(Calculations!$E360,'2018_commission_structure'!$A$11:$A$14,0), MATCH(Calculations!Q$1,'2018_commission_structure'!$A$11:$I$11,0)),0)</f>
        <v>0</v>
      </c>
      <c r="R360" s="7">
        <f>IF($H360&gt;K360,MIN($H360-K360,L360-K360)*INDEX('2018_commission_structure'!$A$11:$I$14,MATCH(Calculations!$E360,'2018_commission_structure'!$A$11:$A$14,0), MATCH(Calculations!R$1,'2018_commission_structure'!$A$11:$I$11,0)),0)</f>
        <v>0</v>
      </c>
      <c r="S360" s="7">
        <f>IF(H360&gt;L360,(H360-L360)*INDEX('2018_commission_structure'!$A$11:$I$14,MATCH(Calculations!$E360,'2018_commission_structure'!$A$11:$A$14,0),MATCH(Calculations!S$1,'2018_commission_structure'!$A$11:$I$11,0)),0)</f>
        <v>0</v>
      </c>
      <c r="T360" s="7">
        <f t="shared" si="50"/>
        <v>62547.5</v>
      </c>
      <c r="U360" s="7">
        <f t="shared" si="51"/>
        <v>110952.5</v>
      </c>
      <c r="V360" s="7">
        <f>MIN(H360,I360)*INDEX('2018_commission_structure'!$A$5:$J$8,MATCH(Calculations!$E360,'2018_commission_structure'!$A$5:$A$8,0),MATCH(Calculations!V$1,'2018_commission_structure'!$A$5:$J$5,0))</f>
        <v>60000</v>
      </c>
      <c r="W360" s="2">
        <f>IF($H360&gt;I360,MIN($H360-I360,J360-I360)*INDEX('2018_commission_structure'!$A$5:$J$8,MATCH(Calculations!$E360,'2018_commission_structure'!$A$5:$A$8,0),MATCH(Calculations!W$1,'2018_commission_structure'!$A$5:$J$5,0)),0)</f>
        <v>14220.500000000002</v>
      </c>
      <c r="X360" s="2">
        <f>IF($H360&gt;J360,MIN($H360-J360,K360-J360)*INDEX('2018_commission_structure'!$A$5:$J$8,MATCH(Calculations!$E360,'2018_commission_structure'!$A$5:$A$8,0),MATCH(Calculations!X$1,'2018_commission_structure'!$A$5:$J$5,0)),0)</f>
        <v>0</v>
      </c>
      <c r="Y360" s="2">
        <f>IF($H360&gt;K360,MIN($H360-K360,L360-K360)*INDEX('2018_commission_structure'!$A$5:$J$8,MATCH(Calculations!$E360,'2018_commission_structure'!$A$5:$A$8,0),MATCH(Calculations!Y$1,'2018_commission_structure'!$A$5:$J$5,0)),0)</f>
        <v>0</v>
      </c>
      <c r="Z360" s="2">
        <f xml:space="preserve"> IF(H360&gt;L360,(H360-L360)*INDEX('2018_commission_structure'!$A$11:$I$14,MATCH(Calculations!$E360,'2018_commission_structure'!$A$11:$A$14,0),MATCH(Calculations!Z$1,'2018_commission_structure'!$A$11:$I$11,0)),0)</f>
        <v>0</v>
      </c>
      <c r="AA360" s="7">
        <f t="shared" si="52"/>
        <v>74220.5</v>
      </c>
      <c r="AB360" s="7">
        <f t="shared" si="53"/>
        <v>122625.5</v>
      </c>
    </row>
    <row r="361" spans="1:28" x14ac:dyDescent="0.25">
      <c r="A361">
        <v>3858163570</v>
      </c>
      <c r="B361" t="s">
        <v>1383</v>
      </c>
      <c r="C361" t="s">
        <v>1384</v>
      </c>
      <c r="D361" t="str">
        <f>B361&amp;" "&amp;C361</f>
        <v>Arlin Glacken</v>
      </c>
      <c r="E361" t="s">
        <v>29</v>
      </c>
      <c r="F361">
        <v>75333</v>
      </c>
      <c r="G361">
        <f>COUNTIF(deals_closed!D:D,Calculations!A361)</f>
        <v>28</v>
      </c>
      <c r="H361" s="2">
        <f>SUMIF(deals_closed!D:D,Calculations!A361,deals_closed!C:C)</f>
        <v>914088</v>
      </c>
      <c r="I361" s="2">
        <f>VLOOKUP(E361,'2018_commission_structure'!$A$11:$I$14,9,FALSE)</f>
        <v>600000</v>
      </c>
      <c r="J361" s="2">
        <f t="shared" si="45"/>
        <v>750000</v>
      </c>
      <c r="K361" s="2">
        <f t="shared" si="46"/>
        <v>900000</v>
      </c>
      <c r="L361" s="2">
        <f t="shared" si="47"/>
        <v>1200000</v>
      </c>
      <c r="M361" s="6">
        <f t="shared" si="48"/>
        <v>1.5234799999999999</v>
      </c>
      <c r="N361" t="str">
        <f t="shared" si="49"/>
        <v>150-200%</v>
      </c>
      <c r="O361" s="7">
        <f>MIN(I361,H361)*INDEX('2018_commission_structure'!$A$11:$I$14,MATCH(Calculations!$E361,'2018_commission_structure'!$A$11:$A$14,0),MATCH(Calculations!O$1,'2018_commission_structure'!$A$11:$I$11,0))</f>
        <v>78000</v>
      </c>
      <c r="P361" s="7">
        <f>IF($H361&gt;I361,MIN($H361-I361,J361-I361)*INDEX('2018_commission_structure'!$A$11:$I$14,MATCH(Calculations!$E361,'2018_commission_structure'!$A$11:$A$14,0), MATCH(Calculations!P$1,'2018_commission_structure'!$A$11:$I$11,0)),0)</f>
        <v>25500.000000000004</v>
      </c>
      <c r="Q361" s="7">
        <f>IF($H361&gt;J361,MIN($H361-J361,K361-J361)*INDEX('2018_commission_structure'!$A$11:$I$14,MATCH(Calculations!$E361,'2018_commission_structure'!$A$11:$A$14,0), MATCH(Calculations!Q$1,'2018_commission_structure'!$A$11:$I$11,0)),0)</f>
        <v>31500</v>
      </c>
      <c r="R361" s="7">
        <f>IF($H361&gt;K361,MIN($H361-K361,L361-K361)*INDEX('2018_commission_structure'!$A$11:$I$14,MATCH(Calculations!$E361,'2018_commission_structure'!$A$11:$A$14,0), MATCH(Calculations!R$1,'2018_commission_structure'!$A$11:$I$11,0)),0)</f>
        <v>3662.88</v>
      </c>
      <c r="S361" s="7">
        <f>IF(H361&gt;L361,(H361-L361)*INDEX('2018_commission_structure'!$A$11:$I$14,MATCH(Calculations!$E361,'2018_commission_structure'!$A$11:$A$14,0),MATCH(Calculations!S$1,'2018_commission_structure'!$A$11:$I$11,0)),0)</f>
        <v>0</v>
      </c>
      <c r="T361" s="7">
        <f t="shared" si="50"/>
        <v>138662.88</v>
      </c>
      <c r="U361" s="7">
        <f t="shared" si="51"/>
        <v>213995.88</v>
      </c>
      <c r="V361" s="7">
        <f>MIN(H361,I361)*INDEX('2018_commission_structure'!$A$5:$J$8,MATCH(Calculations!$E361,'2018_commission_structure'!$A$5:$A$8,0),MATCH(Calculations!V$1,'2018_commission_structure'!$A$5:$J$5,0))</f>
        <v>90000</v>
      </c>
      <c r="W361" s="2">
        <f>IF($H361&gt;I361,MIN($H361-I361,J361-I361)*INDEX('2018_commission_structure'!$A$5:$J$8,MATCH(Calculations!$E361,'2018_commission_structure'!$A$5:$A$8,0),MATCH(Calculations!W$1,'2018_commission_structure'!$A$5:$J$5,0)),0)</f>
        <v>27000</v>
      </c>
      <c r="X361" s="2">
        <f>IF($H361&gt;J361,MIN($H361-J361,K361-J361)*INDEX('2018_commission_structure'!$A$5:$J$8,MATCH(Calculations!$E361,'2018_commission_structure'!$A$5:$A$8,0),MATCH(Calculations!X$1,'2018_commission_structure'!$A$5:$J$5,0)),0)</f>
        <v>37500</v>
      </c>
      <c r="Y361" s="2">
        <f>IF($H361&gt;K361,MIN($H361-K361,L361-K361)*INDEX('2018_commission_structure'!$A$5:$J$8,MATCH(Calculations!$E361,'2018_commission_structure'!$A$5:$A$8,0),MATCH(Calculations!Y$1,'2018_commission_structure'!$A$5:$J$5,0)),0)</f>
        <v>4226.3999999999996</v>
      </c>
      <c r="Z361" s="2">
        <f xml:space="preserve"> IF(H361&gt;L361,(H361-L361)*INDEX('2018_commission_structure'!$A$11:$I$14,MATCH(Calculations!$E361,'2018_commission_structure'!$A$11:$A$14,0),MATCH(Calculations!Z$1,'2018_commission_structure'!$A$11:$I$11,0)),0)</f>
        <v>0</v>
      </c>
      <c r="AA361" s="7">
        <f t="shared" si="52"/>
        <v>158726.39999999999</v>
      </c>
      <c r="AB361" s="7">
        <f t="shared" si="53"/>
        <v>234059.4</v>
      </c>
    </row>
    <row r="362" spans="1:28" x14ac:dyDescent="0.25">
      <c r="A362">
        <v>4504361140</v>
      </c>
      <c r="B362" t="s">
        <v>115</v>
      </c>
      <c r="C362" t="s">
        <v>116</v>
      </c>
      <c r="D362" t="str">
        <f>B362&amp;" "&amp;C362</f>
        <v>Genni Glader</v>
      </c>
      <c r="E362" t="s">
        <v>7</v>
      </c>
      <c r="F362">
        <v>45337</v>
      </c>
      <c r="G362">
        <f>COUNTIF(deals_closed!D:D,Calculations!A362)</f>
        <v>17</v>
      </c>
      <c r="H362" s="2">
        <f>SUMIF(deals_closed!D:D,Calculations!A362,deals_closed!C:C)</f>
        <v>574785</v>
      </c>
      <c r="I362" s="2">
        <f>VLOOKUP(E362,'2018_commission_structure'!$A$11:$I$14,9,FALSE)</f>
        <v>500000</v>
      </c>
      <c r="J362" s="2">
        <f t="shared" si="45"/>
        <v>625000</v>
      </c>
      <c r="K362" s="2">
        <f t="shared" si="46"/>
        <v>750000</v>
      </c>
      <c r="L362" s="2">
        <f t="shared" si="47"/>
        <v>1000000</v>
      </c>
      <c r="M362" s="6">
        <f t="shared" si="48"/>
        <v>1.14957</v>
      </c>
      <c r="N362" t="str">
        <f t="shared" si="49"/>
        <v>100-125%</v>
      </c>
      <c r="O362" s="7">
        <f>MIN(I362,H362)*INDEX('2018_commission_structure'!$A$11:$I$14,MATCH(Calculations!$E362,'2018_commission_structure'!$A$11:$A$14,0),MATCH(Calculations!O$1,'2018_commission_structure'!$A$11:$I$11,0))</f>
        <v>50000</v>
      </c>
      <c r="P362" s="7">
        <f>IF($H362&gt;I362,MIN($H362-I362,J362-I362)*INDEX('2018_commission_structure'!$A$11:$I$14,MATCH(Calculations!$E362,'2018_commission_structure'!$A$11:$A$14,0), MATCH(Calculations!P$1,'2018_commission_structure'!$A$11:$I$11,0)),0)</f>
        <v>11217.75</v>
      </c>
      <c r="Q362" s="7">
        <f>IF($H362&gt;J362,MIN($H362-J362,K362-J362)*INDEX('2018_commission_structure'!$A$11:$I$14,MATCH(Calculations!$E362,'2018_commission_structure'!$A$11:$A$14,0), MATCH(Calculations!Q$1,'2018_commission_structure'!$A$11:$I$11,0)),0)</f>
        <v>0</v>
      </c>
      <c r="R362" s="7">
        <f>IF($H362&gt;K362,MIN($H362-K362,L362-K362)*INDEX('2018_commission_structure'!$A$11:$I$14,MATCH(Calculations!$E362,'2018_commission_structure'!$A$11:$A$14,0), MATCH(Calculations!R$1,'2018_commission_structure'!$A$11:$I$11,0)),0)</f>
        <v>0</v>
      </c>
      <c r="S362" s="7">
        <f>IF(H362&gt;L362,(H362-L362)*INDEX('2018_commission_structure'!$A$11:$I$14,MATCH(Calculations!$E362,'2018_commission_structure'!$A$11:$A$14,0),MATCH(Calculations!S$1,'2018_commission_structure'!$A$11:$I$11,0)),0)</f>
        <v>0</v>
      </c>
      <c r="T362" s="7">
        <f t="shared" si="50"/>
        <v>61217.75</v>
      </c>
      <c r="U362" s="7">
        <f t="shared" si="51"/>
        <v>106554.75</v>
      </c>
      <c r="V362" s="7">
        <f>MIN(H362,I362)*INDEX('2018_commission_structure'!$A$5:$J$8,MATCH(Calculations!$E362,'2018_commission_structure'!$A$5:$A$8,0),MATCH(Calculations!V$1,'2018_commission_structure'!$A$5:$J$5,0))</f>
        <v>60000</v>
      </c>
      <c r="W362" s="2">
        <f>IF($H362&gt;I362,MIN($H362-I362,J362-I362)*INDEX('2018_commission_structure'!$A$5:$J$8,MATCH(Calculations!$E362,'2018_commission_structure'!$A$5:$A$8,0),MATCH(Calculations!W$1,'2018_commission_structure'!$A$5:$J$5,0)),0)</f>
        <v>12713.45</v>
      </c>
      <c r="X362" s="2">
        <f>IF($H362&gt;J362,MIN($H362-J362,K362-J362)*INDEX('2018_commission_structure'!$A$5:$J$8,MATCH(Calculations!$E362,'2018_commission_structure'!$A$5:$A$8,0),MATCH(Calculations!X$1,'2018_commission_structure'!$A$5:$J$5,0)),0)</f>
        <v>0</v>
      </c>
      <c r="Y362" s="2">
        <f>IF($H362&gt;K362,MIN($H362-K362,L362-K362)*INDEX('2018_commission_structure'!$A$5:$J$8,MATCH(Calculations!$E362,'2018_commission_structure'!$A$5:$A$8,0),MATCH(Calculations!Y$1,'2018_commission_structure'!$A$5:$J$5,0)),0)</f>
        <v>0</v>
      </c>
      <c r="Z362" s="2">
        <f xml:space="preserve"> IF(H362&gt;L362,(H362-L362)*INDEX('2018_commission_structure'!$A$11:$I$14,MATCH(Calculations!$E362,'2018_commission_structure'!$A$11:$A$14,0),MATCH(Calculations!Z$1,'2018_commission_structure'!$A$11:$I$11,0)),0)</f>
        <v>0</v>
      </c>
      <c r="AA362" s="7">
        <f t="shared" si="52"/>
        <v>72713.45</v>
      </c>
      <c r="AB362" s="7">
        <f t="shared" si="53"/>
        <v>118050.45</v>
      </c>
    </row>
    <row r="363" spans="1:28" x14ac:dyDescent="0.25">
      <c r="A363">
        <v>8971738782</v>
      </c>
      <c r="B363" t="s">
        <v>290</v>
      </c>
      <c r="C363" t="s">
        <v>291</v>
      </c>
      <c r="D363" t="str">
        <f>B363&amp;" "&amp;C363</f>
        <v>Jolee Gladyer</v>
      </c>
      <c r="E363" t="s">
        <v>10</v>
      </c>
      <c r="F363">
        <v>124815</v>
      </c>
      <c r="G363">
        <f>COUNTIF(deals_closed!D:D,Calculations!A363)</f>
        <v>25</v>
      </c>
      <c r="H363" s="2">
        <f>SUMIF(deals_closed!D:D,Calculations!A363,deals_closed!C:C)</f>
        <v>945309</v>
      </c>
      <c r="I363" s="2">
        <f>VLOOKUP(E363,'2018_commission_structure'!$A$11:$I$14,9,FALSE)</f>
        <v>750000</v>
      </c>
      <c r="J363" s="2">
        <f t="shared" si="45"/>
        <v>937500</v>
      </c>
      <c r="K363" s="2">
        <f t="shared" si="46"/>
        <v>1125000</v>
      </c>
      <c r="L363" s="2">
        <f t="shared" si="47"/>
        <v>1500000</v>
      </c>
      <c r="M363" s="6">
        <f t="shared" si="48"/>
        <v>1.2604120000000001</v>
      </c>
      <c r="N363" t="str">
        <f t="shared" si="49"/>
        <v>125-150%</v>
      </c>
      <c r="O363" s="7">
        <f>MIN(I363,H363)*INDEX('2018_commission_structure'!$A$11:$I$14,MATCH(Calculations!$E363,'2018_commission_structure'!$A$11:$A$14,0),MATCH(Calculations!O$1,'2018_commission_structure'!$A$11:$I$11,0))</f>
        <v>112500</v>
      </c>
      <c r="P363" s="7">
        <f>IF($H363&gt;I363,MIN($H363-I363,J363-I363)*INDEX('2018_commission_structure'!$A$11:$I$14,MATCH(Calculations!$E363,'2018_commission_structure'!$A$11:$A$14,0), MATCH(Calculations!P$1,'2018_commission_structure'!$A$11:$I$11,0)),0)</f>
        <v>35625</v>
      </c>
      <c r="Q363" s="7">
        <f>IF($H363&gt;J363,MIN($H363-J363,K363-J363)*INDEX('2018_commission_structure'!$A$11:$I$14,MATCH(Calculations!$E363,'2018_commission_structure'!$A$11:$A$14,0), MATCH(Calculations!Q$1,'2018_commission_structure'!$A$11:$I$11,0)),0)</f>
        <v>1796.0700000000002</v>
      </c>
      <c r="R363" s="7">
        <f>IF($H363&gt;K363,MIN($H363-K363,L363-K363)*INDEX('2018_commission_structure'!$A$11:$I$14,MATCH(Calculations!$E363,'2018_commission_structure'!$A$11:$A$14,0), MATCH(Calculations!R$1,'2018_commission_structure'!$A$11:$I$11,0)),0)</f>
        <v>0</v>
      </c>
      <c r="S363" s="7">
        <f>IF(H363&gt;L363,(H363-L363)*INDEX('2018_commission_structure'!$A$11:$I$14,MATCH(Calculations!$E363,'2018_commission_structure'!$A$11:$A$14,0),MATCH(Calculations!S$1,'2018_commission_structure'!$A$11:$I$11,0)),0)</f>
        <v>0</v>
      </c>
      <c r="T363" s="7">
        <f t="shared" si="50"/>
        <v>149921.07</v>
      </c>
      <c r="U363" s="7">
        <f t="shared" si="51"/>
        <v>274736.07</v>
      </c>
      <c r="V363" s="7">
        <f>MIN(H363,I363)*INDEX('2018_commission_structure'!$A$5:$J$8,MATCH(Calculations!$E363,'2018_commission_structure'!$A$5:$A$8,0),MATCH(Calculations!V$1,'2018_commission_structure'!$A$5:$J$5,0))</f>
        <v>112500</v>
      </c>
      <c r="W363" s="2">
        <f>IF($H363&gt;I363,MIN($H363-I363,J363-I363)*INDEX('2018_commission_structure'!$A$5:$J$8,MATCH(Calculations!$E363,'2018_commission_structure'!$A$5:$A$8,0),MATCH(Calculations!W$1,'2018_commission_structure'!$A$5:$J$5,0)),0)</f>
        <v>41250</v>
      </c>
      <c r="X363" s="2">
        <f>IF($H363&gt;J363,MIN($H363-J363,K363-J363)*INDEX('2018_commission_structure'!$A$5:$J$8,MATCH(Calculations!$E363,'2018_commission_structure'!$A$5:$A$8,0),MATCH(Calculations!X$1,'2018_commission_structure'!$A$5:$J$5,0)),0)</f>
        <v>1952.25</v>
      </c>
      <c r="Y363" s="2">
        <f>IF($H363&gt;K363,MIN($H363-K363,L363-K363)*INDEX('2018_commission_structure'!$A$5:$J$8,MATCH(Calculations!$E363,'2018_commission_structure'!$A$5:$A$8,0),MATCH(Calculations!Y$1,'2018_commission_structure'!$A$5:$J$5,0)),0)</f>
        <v>0</v>
      </c>
      <c r="Z363" s="2">
        <f xml:space="preserve"> IF(H363&gt;L363,(H363-L363)*INDEX('2018_commission_structure'!$A$11:$I$14,MATCH(Calculations!$E363,'2018_commission_structure'!$A$11:$A$14,0),MATCH(Calculations!Z$1,'2018_commission_structure'!$A$11:$I$11,0)),0)</f>
        <v>0</v>
      </c>
      <c r="AA363" s="7">
        <f t="shared" si="52"/>
        <v>155702.25</v>
      </c>
      <c r="AB363" s="7">
        <f t="shared" si="53"/>
        <v>280517.25</v>
      </c>
    </row>
    <row r="364" spans="1:28" x14ac:dyDescent="0.25">
      <c r="A364">
        <v>1152386727</v>
      </c>
      <c r="B364" t="s">
        <v>1741</v>
      </c>
      <c r="C364" t="s">
        <v>1742</v>
      </c>
      <c r="D364" t="str">
        <f>B364&amp;" "&amp;C364</f>
        <v>Izzy Glennon</v>
      </c>
      <c r="E364" t="s">
        <v>29</v>
      </c>
      <c r="F364">
        <v>77211</v>
      </c>
      <c r="G364">
        <f>COUNTIF(deals_closed!D:D,Calculations!A364)</f>
        <v>21</v>
      </c>
      <c r="H364" s="2">
        <f>SUMIF(deals_closed!D:D,Calculations!A364,deals_closed!C:C)</f>
        <v>835084</v>
      </c>
      <c r="I364" s="2">
        <f>VLOOKUP(E364,'2018_commission_structure'!$A$11:$I$14,9,FALSE)</f>
        <v>600000</v>
      </c>
      <c r="J364" s="2">
        <f t="shared" si="45"/>
        <v>750000</v>
      </c>
      <c r="K364" s="2">
        <f t="shared" si="46"/>
        <v>900000</v>
      </c>
      <c r="L364" s="2">
        <f t="shared" si="47"/>
        <v>1200000</v>
      </c>
      <c r="M364" s="6">
        <f t="shared" si="48"/>
        <v>1.3918066666666666</v>
      </c>
      <c r="N364" t="str">
        <f t="shared" si="49"/>
        <v>125-150%</v>
      </c>
      <c r="O364" s="7">
        <f>MIN(I364,H364)*INDEX('2018_commission_structure'!$A$11:$I$14,MATCH(Calculations!$E364,'2018_commission_structure'!$A$11:$A$14,0),MATCH(Calculations!O$1,'2018_commission_structure'!$A$11:$I$11,0))</f>
        <v>78000</v>
      </c>
      <c r="P364" s="7">
        <f>IF($H364&gt;I364,MIN($H364-I364,J364-I364)*INDEX('2018_commission_structure'!$A$11:$I$14,MATCH(Calculations!$E364,'2018_commission_structure'!$A$11:$A$14,0), MATCH(Calculations!P$1,'2018_commission_structure'!$A$11:$I$11,0)),0)</f>
        <v>25500.000000000004</v>
      </c>
      <c r="Q364" s="7">
        <f>IF($H364&gt;J364,MIN($H364-J364,K364-J364)*INDEX('2018_commission_structure'!$A$11:$I$14,MATCH(Calculations!$E364,'2018_commission_structure'!$A$11:$A$14,0), MATCH(Calculations!Q$1,'2018_commission_structure'!$A$11:$I$11,0)),0)</f>
        <v>17867.64</v>
      </c>
      <c r="R364" s="7">
        <f>IF($H364&gt;K364,MIN($H364-K364,L364-K364)*INDEX('2018_commission_structure'!$A$11:$I$14,MATCH(Calculations!$E364,'2018_commission_structure'!$A$11:$A$14,0), MATCH(Calculations!R$1,'2018_commission_structure'!$A$11:$I$11,0)),0)</f>
        <v>0</v>
      </c>
      <c r="S364" s="7">
        <f>IF(H364&gt;L364,(H364-L364)*INDEX('2018_commission_structure'!$A$11:$I$14,MATCH(Calculations!$E364,'2018_commission_structure'!$A$11:$A$14,0),MATCH(Calculations!S$1,'2018_commission_structure'!$A$11:$I$11,0)),0)</f>
        <v>0</v>
      </c>
      <c r="T364" s="7">
        <f t="shared" si="50"/>
        <v>121367.64</v>
      </c>
      <c r="U364" s="7">
        <f t="shared" si="51"/>
        <v>198578.64</v>
      </c>
      <c r="V364" s="7">
        <f>MIN(H364,I364)*INDEX('2018_commission_structure'!$A$5:$J$8,MATCH(Calculations!$E364,'2018_commission_structure'!$A$5:$A$8,0),MATCH(Calculations!V$1,'2018_commission_structure'!$A$5:$J$5,0))</f>
        <v>90000</v>
      </c>
      <c r="W364" s="2">
        <f>IF($H364&gt;I364,MIN($H364-I364,J364-I364)*INDEX('2018_commission_structure'!$A$5:$J$8,MATCH(Calculations!$E364,'2018_commission_structure'!$A$5:$A$8,0),MATCH(Calculations!W$1,'2018_commission_structure'!$A$5:$J$5,0)),0)</f>
        <v>27000</v>
      </c>
      <c r="X364" s="2">
        <f>IF($H364&gt;J364,MIN($H364-J364,K364-J364)*INDEX('2018_commission_structure'!$A$5:$J$8,MATCH(Calculations!$E364,'2018_commission_structure'!$A$5:$A$8,0),MATCH(Calculations!X$1,'2018_commission_structure'!$A$5:$J$5,0)),0)</f>
        <v>21271</v>
      </c>
      <c r="Y364" s="2">
        <f>IF($H364&gt;K364,MIN($H364-K364,L364-K364)*INDEX('2018_commission_structure'!$A$5:$J$8,MATCH(Calculations!$E364,'2018_commission_structure'!$A$5:$A$8,0),MATCH(Calculations!Y$1,'2018_commission_structure'!$A$5:$J$5,0)),0)</f>
        <v>0</v>
      </c>
      <c r="Z364" s="2">
        <f xml:space="preserve"> IF(H364&gt;L364,(H364-L364)*INDEX('2018_commission_structure'!$A$11:$I$14,MATCH(Calculations!$E364,'2018_commission_structure'!$A$11:$A$14,0),MATCH(Calculations!Z$1,'2018_commission_structure'!$A$11:$I$11,0)),0)</f>
        <v>0</v>
      </c>
      <c r="AA364" s="7">
        <f t="shared" si="52"/>
        <v>138271</v>
      </c>
      <c r="AB364" s="7">
        <f t="shared" si="53"/>
        <v>215482</v>
      </c>
    </row>
    <row r="365" spans="1:28" x14ac:dyDescent="0.25">
      <c r="A365">
        <v>6279928705</v>
      </c>
      <c r="B365" t="s">
        <v>264</v>
      </c>
      <c r="C365" t="s">
        <v>265</v>
      </c>
      <c r="D365" t="str">
        <f>B365&amp;" "&amp;C365</f>
        <v>Caroline Glidden</v>
      </c>
      <c r="E365" t="s">
        <v>29</v>
      </c>
      <c r="F365">
        <v>79834</v>
      </c>
      <c r="G365">
        <f>COUNTIF(deals_closed!D:D,Calculations!A365)</f>
        <v>31</v>
      </c>
      <c r="H365" s="2">
        <f>SUMIF(deals_closed!D:D,Calculations!A365,deals_closed!C:C)</f>
        <v>1128878</v>
      </c>
      <c r="I365" s="2">
        <f>VLOOKUP(E365,'2018_commission_structure'!$A$11:$I$14,9,FALSE)</f>
        <v>600000</v>
      </c>
      <c r="J365" s="2">
        <f t="shared" si="45"/>
        <v>750000</v>
      </c>
      <c r="K365" s="2">
        <f t="shared" si="46"/>
        <v>900000</v>
      </c>
      <c r="L365" s="2">
        <f t="shared" si="47"/>
        <v>1200000</v>
      </c>
      <c r="M365" s="6">
        <f t="shared" si="48"/>
        <v>1.8814633333333333</v>
      </c>
      <c r="N365" t="str">
        <f t="shared" si="49"/>
        <v>150-200%</v>
      </c>
      <c r="O365" s="7">
        <f>MIN(I365,H365)*INDEX('2018_commission_structure'!$A$11:$I$14,MATCH(Calculations!$E365,'2018_commission_structure'!$A$11:$A$14,0),MATCH(Calculations!O$1,'2018_commission_structure'!$A$11:$I$11,0))</f>
        <v>78000</v>
      </c>
      <c r="P365" s="7">
        <f>IF($H365&gt;I365,MIN($H365-I365,J365-I365)*INDEX('2018_commission_structure'!$A$11:$I$14,MATCH(Calculations!$E365,'2018_commission_structure'!$A$11:$A$14,0), MATCH(Calculations!P$1,'2018_commission_structure'!$A$11:$I$11,0)),0)</f>
        <v>25500.000000000004</v>
      </c>
      <c r="Q365" s="7">
        <f>IF($H365&gt;J365,MIN($H365-J365,K365-J365)*INDEX('2018_commission_structure'!$A$11:$I$14,MATCH(Calculations!$E365,'2018_commission_structure'!$A$11:$A$14,0), MATCH(Calculations!Q$1,'2018_commission_structure'!$A$11:$I$11,0)),0)</f>
        <v>31500</v>
      </c>
      <c r="R365" s="7">
        <f>IF($H365&gt;K365,MIN($H365-K365,L365-K365)*INDEX('2018_commission_structure'!$A$11:$I$14,MATCH(Calculations!$E365,'2018_commission_structure'!$A$11:$A$14,0), MATCH(Calculations!R$1,'2018_commission_structure'!$A$11:$I$11,0)),0)</f>
        <v>59508.28</v>
      </c>
      <c r="S365" s="7">
        <f>IF(H365&gt;L365,(H365-L365)*INDEX('2018_commission_structure'!$A$11:$I$14,MATCH(Calculations!$E365,'2018_commission_structure'!$A$11:$A$14,0),MATCH(Calculations!S$1,'2018_commission_structure'!$A$11:$I$11,0)),0)</f>
        <v>0</v>
      </c>
      <c r="T365" s="7">
        <f t="shared" si="50"/>
        <v>194508.28</v>
      </c>
      <c r="U365" s="7">
        <f t="shared" si="51"/>
        <v>274342.28000000003</v>
      </c>
      <c r="V365" s="7">
        <f>MIN(H365,I365)*INDEX('2018_commission_structure'!$A$5:$J$8,MATCH(Calculations!$E365,'2018_commission_structure'!$A$5:$A$8,0),MATCH(Calculations!V$1,'2018_commission_structure'!$A$5:$J$5,0))</f>
        <v>90000</v>
      </c>
      <c r="W365" s="2">
        <f>IF($H365&gt;I365,MIN($H365-I365,J365-I365)*INDEX('2018_commission_structure'!$A$5:$J$8,MATCH(Calculations!$E365,'2018_commission_structure'!$A$5:$A$8,0),MATCH(Calculations!W$1,'2018_commission_structure'!$A$5:$J$5,0)),0)</f>
        <v>27000</v>
      </c>
      <c r="X365" s="2">
        <f>IF($H365&gt;J365,MIN($H365-J365,K365-J365)*INDEX('2018_commission_structure'!$A$5:$J$8,MATCH(Calculations!$E365,'2018_commission_structure'!$A$5:$A$8,0),MATCH(Calculations!X$1,'2018_commission_structure'!$A$5:$J$5,0)),0)</f>
        <v>37500</v>
      </c>
      <c r="Y365" s="2">
        <f>IF($H365&gt;K365,MIN($H365-K365,L365-K365)*INDEX('2018_commission_structure'!$A$5:$J$8,MATCH(Calculations!$E365,'2018_commission_structure'!$A$5:$A$8,0),MATCH(Calculations!Y$1,'2018_commission_structure'!$A$5:$J$5,0)),0)</f>
        <v>68663.399999999994</v>
      </c>
      <c r="Z365" s="2">
        <f xml:space="preserve"> IF(H365&gt;L365,(H365-L365)*INDEX('2018_commission_structure'!$A$11:$I$14,MATCH(Calculations!$E365,'2018_commission_structure'!$A$11:$A$14,0),MATCH(Calculations!Z$1,'2018_commission_structure'!$A$11:$I$11,0)),0)</f>
        <v>0</v>
      </c>
      <c r="AA365" s="7">
        <f t="shared" si="52"/>
        <v>223163.4</v>
      </c>
      <c r="AB365" s="7">
        <f t="shared" si="53"/>
        <v>302997.40000000002</v>
      </c>
    </row>
    <row r="366" spans="1:28" x14ac:dyDescent="0.25">
      <c r="A366">
        <v>2579936017</v>
      </c>
      <c r="B366" t="s">
        <v>980</v>
      </c>
      <c r="C366" t="s">
        <v>981</v>
      </c>
      <c r="D366" t="str">
        <f>B366&amp;" "&amp;C366</f>
        <v>Sunny Glyne</v>
      </c>
      <c r="E366" t="s">
        <v>10</v>
      </c>
      <c r="F366">
        <v>97827</v>
      </c>
      <c r="G366">
        <f>COUNTIF(deals_closed!D:D,Calculations!A366)</f>
        <v>14</v>
      </c>
      <c r="H366" s="2">
        <f>SUMIF(deals_closed!D:D,Calculations!A366,deals_closed!C:C)</f>
        <v>400289</v>
      </c>
      <c r="I366" s="2">
        <f>VLOOKUP(E366,'2018_commission_structure'!$A$11:$I$14,9,FALSE)</f>
        <v>750000</v>
      </c>
      <c r="J366" s="2">
        <f t="shared" si="45"/>
        <v>937500</v>
      </c>
      <c r="K366" s="2">
        <f t="shared" si="46"/>
        <v>1125000</v>
      </c>
      <c r="L366" s="2">
        <f t="shared" si="47"/>
        <v>1500000</v>
      </c>
      <c r="M366" s="6">
        <f t="shared" si="48"/>
        <v>0.53371866666666667</v>
      </c>
      <c r="N366" t="str">
        <f t="shared" si="49"/>
        <v>0-100%</v>
      </c>
      <c r="O366" s="7">
        <f>MIN(I366,H366)*INDEX('2018_commission_structure'!$A$11:$I$14,MATCH(Calculations!$E366,'2018_commission_structure'!$A$11:$A$14,0),MATCH(Calculations!O$1,'2018_commission_structure'!$A$11:$I$11,0))</f>
        <v>60043.35</v>
      </c>
      <c r="P366" s="7">
        <f>IF($H366&gt;I366,MIN($H366-I366,J366-I366)*INDEX('2018_commission_structure'!$A$11:$I$14,MATCH(Calculations!$E366,'2018_commission_structure'!$A$11:$A$14,0), MATCH(Calculations!P$1,'2018_commission_structure'!$A$11:$I$11,0)),0)</f>
        <v>0</v>
      </c>
      <c r="Q366" s="7">
        <f>IF($H366&gt;J366,MIN($H366-J366,K366-J366)*INDEX('2018_commission_structure'!$A$11:$I$14,MATCH(Calculations!$E366,'2018_commission_structure'!$A$11:$A$14,0), MATCH(Calculations!Q$1,'2018_commission_structure'!$A$11:$I$11,0)),0)</f>
        <v>0</v>
      </c>
      <c r="R366" s="7">
        <f>IF($H366&gt;K366,MIN($H366-K366,L366-K366)*INDEX('2018_commission_structure'!$A$11:$I$14,MATCH(Calculations!$E366,'2018_commission_structure'!$A$11:$A$14,0), MATCH(Calculations!R$1,'2018_commission_structure'!$A$11:$I$11,0)),0)</f>
        <v>0</v>
      </c>
      <c r="S366" s="7">
        <f>IF(H366&gt;L366,(H366-L366)*INDEX('2018_commission_structure'!$A$11:$I$14,MATCH(Calculations!$E366,'2018_commission_structure'!$A$11:$A$14,0),MATCH(Calculations!S$1,'2018_commission_structure'!$A$11:$I$11,0)),0)</f>
        <v>0</v>
      </c>
      <c r="T366" s="7">
        <f t="shared" si="50"/>
        <v>60043.35</v>
      </c>
      <c r="U366" s="7">
        <f t="shared" si="51"/>
        <v>157870.35</v>
      </c>
      <c r="V366" s="7">
        <f>MIN(H366,I366)*INDEX('2018_commission_structure'!$A$5:$J$8,MATCH(Calculations!$E366,'2018_commission_structure'!$A$5:$A$8,0),MATCH(Calculations!V$1,'2018_commission_structure'!$A$5:$J$5,0))</f>
        <v>60043.35</v>
      </c>
      <c r="W366" s="2">
        <f>IF($H366&gt;I366,MIN($H366-I366,J366-I366)*INDEX('2018_commission_structure'!$A$5:$J$8,MATCH(Calculations!$E366,'2018_commission_structure'!$A$5:$A$8,0),MATCH(Calculations!W$1,'2018_commission_structure'!$A$5:$J$5,0)),0)</f>
        <v>0</v>
      </c>
      <c r="X366" s="2">
        <f>IF($H366&gt;J366,MIN($H366-J366,K366-J366)*INDEX('2018_commission_structure'!$A$5:$J$8,MATCH(Calculations!$E366,'2018_commission_structure'!$A$5:$A$8,0),MATCH(Calculations!X$1,'2018_commission_structure'!$A$5:$J$5,0)),0)</f>
        <v>0</v>
      </c>
      <c r="Y366" s="2">
        <f>IF($H366&gt;K366,MIN($H366-K366,L366-K366)*INDEX('2018_commission_structure'!$A$5:$J$8,MATCH(Calculations!$E366,'2018_commission_structure'!$A$5:$A$8,0),MATCH(Calculations!Y$1,'2018_commission_structure'!$A$5:$J$5,0)),0)</f>
        <v>0</v>
      </c>
      <c r="Z366" s="2">
        <f xml:space="preserve"> IF(H366&gt;L366,(H366-L366)*INDEX('2018_commission_structure'!$A$11:$I$14,MATCH(Calculations!$E366,'2018_commission_structure'!$A$11:$A$14,0),MATCH(Calculations!Z$1,'2018_commission_structure'!$A$11:$I$11,0)),0)</f>
        <v>0</v>
      </c>
      <c r="AA366" s="7">
        <f t="shared" si="52"/>
        <v>60043.35</v>
      </c>
      <c r="AB366" s="7">
        <f t="shared" si="53"/>
        <v>157870.35</v>
      </c>
    </row>
    <row r="367" spans="1:28" x14ac:dyDescent="0.25">
      <c r="A367">
        <v>5186660353</v>
      </c>
      <c r="B367" t="s">
        <v>1863</v>
      </c>
      <c r="C367" t="s">
        <v>1864</v>
      </c>
      <c r="D367" t="str">
        <f>B367&amp;" "&amp;C367</f>
        <v>Demetri Goatman</v>
      </c>
      <c r="E367" t="s">
        <v>29</v>
      </c>
      <c r="F367">
        <v>79767</v>
      </c>
      <c r="G367">
        <f>COUNTIF(deals_closed!D:D,Calculations!A367)</f>
        <v>27</v>
      </c>
      <c r="H367" s="2">
        <f>SUMIF(deals_closed!D:D,Calculations!A367,deals_closed!C:C)</f>
        <v>933223</v>
      </c>
      <c r="I367" s="2">
        <f>VLOOKUP(E367,'2018_commission_structure'!$A$11:$I$14,9,FALSE)</f>
        <v>600000</v>
      </c>
      <c r="J367" s="2">
        <f t="shared" si="45"/>
        <v>750000</v>
      </c>
      <c r="K367" s="2">
        <f t="shared" si="46"/>
        <v>900000</v>
      </c>
      <c r="L367" s="2">
        <f t="shared" si="47"/>
        <v>1200000</v>
      </c>
      <c r="M367" s="6">
        <f t="shared" si="48"/>
        <v>1.5553716666666666</v>
      </c>
      <c r="N367" t="str">
        <f t="shared" si="49"/>
        <v>150-200%</v>
      </c>
      <c r="O367" s="7">
        <f>MIN(I367,H367)*INDEX('2018_commission_structure'!$A$11:$I$14,MATCH(Calculations!$E367,'2018_commission_structure'!$A$11:$A$14,0),MATCH(Calculations!O$1,'2018_commission_structure'!$A$11:$I$11,0))</f>
        <v>78000</v>
      </c>
      <c r="P367" s="7">
        <f>IF($H367&gt;I367,MIN($H367-I367,J367-I367)*INDEX('2018_commission_structure'!$A$11:$I$14,MATCH(Calculations!$E367,'2018_commission_structure'!$A$11:$A$14,0), MATCH(Calculations!P$1,'2018_commission_structure'!$A$11:$I$11,0)),0)</f>
        <v>25500.000000000004</v>
      </c>
      <c r="Q367" s="7">
        <f>IF($H367&gt;J367,MIN($H367-J367,K367-J367)*INDEX('2018_commission_structure'!$A$11:$I$14,MATCH(Calculations!$E367,'2018_commission_structure'!$A$11:$A$14,0), MATCH(Calculations!Q$1,'2018_commission_structure'!$A$11:$I$11,0)),0)</f>
        <v>31500</v>
      </c>
      <c r="R367" s="7">
        <f>IF($H367&gt;K367,MIN($H367-K367,L367-K367)*INDEX('2018_commission_structure'!$A$11:$I$14,MATCH(Calculations!$E367,'2018_commission_structure'!$A$11:$A$14,0), MATCH(Calculations!R$1,'2018_commission_structure'!$A$11:$I$11,0)),0)</f>
        <v>8637.98</v>
      </c>
      <c r="S367" s="7">
        <f>IF(H367&gt;L367,(H367-L367)*INDEX('2018_commission_structure'!$A$11:$I$14,MATCH(Calculations!$E367,'2018_commission_structure'!$A$11:$A$14,0),MATCH(Calculations!S$1,'2018_commission_structure'!$A$11:$I$11,0)),0)</f>
        <v>0</v>
      </c>
      <c r="T367" s="7">
        <f t="shared" si="50"/>
        <v>143637.98000000001</v>
      </c>
      <c r="U367" s="7">
        <f t="shared" si="51"/>
        <v>223404.98</v>
      </c>
      <c r="V367" s="7">
        <f>MIN(H367,I367)*INDEX('2018_commission_structure'!$A$5:$J$8,MATCH(Calculations!$E367,'2018_commission_structure'!$A$5:$A$8,0),MATCH(Calculations!V$1,'2018_commission_structure'!$A$5:$J$5,0))</f>
        <v>90000</v>
      </c>
      <c r="W367" s="2">
        <f>IF($H367&gt;I367,MIN($H367-I367,J367-I367)*INDEX('2018_commission_structure'!$A$5:$J$8,MATCH(Calculations!$E367,'2018_commission_structure'!$A$5:$A$8,0),MATCH(Calculations!W$1,'2018_commission_structure'!$A$5:$J$5,0)),0)</f>
        <v>27000</v>
      </c>
      <c r="X367" s="2">
        <f>IF($H367&gt;J367,MIN($H367-J367,K367-J367)*INDEX('2018_commission_structure'!$A$5:$J$8,MATCH(Calculations!$E367,'2018_commission_structure'!$A$5:$A$8,0),MATCH(Calculations!X$1,'2018_commission_structure'!$A$5:$J$5,0)),0)</f>
        <v>37500</v>
      </c>
      <c r="Y367" s="2">
        <f>IF($H367&gt;K367,MIN($H367-K367,L367-K367)*INDEX('2018_commission_structure'!$A$5:$J$8,MATCH(Calculations!$E367,'2018_commission_structure'!$A$5:$A$8,0),MATCH(Calculations!Y$1,'2018_commission_structure'!$A$5:$J$5,0)),0)</f>
        <v>9966.9</v>
      </c>
      <c r="Z367" s="2">
        <f xml:space="preserve"> IF(H367&gt;L367,(H367-L367)*INDEX('2018_commission_structure'!$A$11:$I$14,MATCH(Calculations!$E367,'2018_commission_structure'!$A$11:$A$14,0),MATCH(Calculations!Z$1,'2018_commission_structure'!$A$11:$I$11,0)),0)</f>
        <v>0</v>
      </c>
      <c r="AA367" s="7">
        <f t="shared" si="52"/>
        <v>164466.9</v>
      </c>
      <c r="AB367" s="7">
        <f t="shared" si="53"/>
        <v>244233.9</v>
      </c>
    </row>
    <row r="368" spans="1:28" x14ac:dyDescent="0.25">
      <c r="A368">
        <v>1918356416</v>
      </c>
      <c r="B368" t="s">
        <v>946</v>
      </c>
      <c r="C368" t="s">
        <v>947</v>
      </c>
      <c r="D368" t="str">
        <f>B368&amp;" "&amp;C368</f>
        <v>Bea Gofton</v>
      </c>
      <c r="E368" t="s">
        <v>10</v>
      </c>
      <c r="F368">
        <v>114671</v>
      </c>
      <c r="G368">
        <f>COUNTIF(deals_closed!D:D,Calculations!A368)</f>
        <v>26</v>
      </c>
      <c r="H368" s="2">
        <f>SUMIF(deals_closed!D:D,Calculations!A368,deals_closed!C:C)</f>
        <v>954130</v>
      </c>
      <c r="I368" s="2">
        <f>VLOOKUP(E368,'2018_commission_structure'!$A$11:$I$14,9,FALSE)</f>
        <v>750000</v>
      </c>
      <c r="J368" s="2">
        <f t="shared" si="45"/>
        <v>937500</v>
      </c>
      <c r="K368" s="2">
        <f t="shared" si="46"/>
        <v>1125000</v>
      </c>
      <c r="L368" s="2">
        <f t="shared" si="47"/>
        <v>1500000</v>
      </c>
      <c r="M368" s="6">
        <f t="shared" si="48"/>
        <v>1.2721733333333334</v>
      </c>
      <c r="N368" t="str">
        <f t="shared" si="49"/>
        <v>125-150%</v>
      </c>
      <c r="O368" s="7">
        <f>MIN(I368,H368)*INDEX('2018_commission_structure'!$A$11:$I$14,MATCH(Calculations!$E368,'2018_commission_structure'!$A$11:$A$14,0),MATCH(Calculations!O$1,'2018_commission_structure'!$A$11:$I$11,0))</f>
        <v>112500</v>
      </c>
      <c r="P368" s="7">
        <f>IF($H368&gt;I368,MIN($H368-I368,J368-I368)*INDEX('2018_commission_structure'!$A$11:$I$14,MATCH(Calculations!$E368,'2018_commission_structure'!$A$11:$A$14,0), MATCH(Calculations!P$1,'2018_commission_structure'!$A$11:$I$11,0)),0)</f>
        <v>35625</v>
      </c>
      <c r="Q368" s="7">
        <f>IF($H368&gt;J368,MIN($H368-J368,K368-J368)*INDEX('2018_commission_structure'!$A$11:$I$14,MATCH(Calculations!$E368,'2018_commission_structure'!$A$11:$A$14,0), MATCH(Calculations!Q$1,'2018_commission_structure'!$A$11:$I$11,0)),0)</f>
        <v>3824.9</v>
      </c>
      <c r="R368" s="7">
        <f>IF($H368&gt;K368,MIN($H368-K368,L368-K368)*INDEX('2018_commission_structure'!$A$11:$I$14,MATCH(Calculations!$E368,'2018_commission_structure'!$A$11:$A$14,0), MATCH(Calculations!R$1,'2018_commission_structure'!$A$11:$I$11,0)),0)</f>
        <v>0</v>
      </c>
      <c r="S368" s="7">
        <f>IF(H368&gt;L368,(H368-L368)*INDEX('2018_commission_structure'!$A$11:$I$14,MATCH(Calculations!$E368,'2018_commission_structure'!$A$11:$A$14,0),MATCH(Calculations!S$1,'2018_commission_structure'!$A$11:$I$11,0)),0)</f>
        <v>0</v>
      </c>
      <c r="T368" s="7">
        <f t="shared" si="50"/>
        <v>151949.9</v>
      </c>
      <c r="U368" s="7">
        <f t="shared" si="51"/>
        <v>266620.90000000002</v>
      </c>
      <c r="V368" s="7">
        <f>MIN(H368,I368)*INDEX('2018_commission_structure'!$A$5:$J$8,MATCH(Calculations!$E368,'2018_commission_structure'!$A$5:$A$8,0),MATCH(Calculations!V$1,'2018_commission_structure'!$A$5:$J$5,0))</f>
        <v>112500</v>
      </c>
      <c r="W368" s="2">
        <f>IF($H368&gt;I368,MIN($H368-I368,J368-I368)*INDEX('2018_commission_structure'!$A$5:$J$8,MATCH(Calculations!$E368,'2018_commission_structure'!$A$5:$A$8,0),MATCH(Calculations!W$1,'2018_commission_structure'!$A$5:$J$5,0)),0)</f>
        <v>41250</v>
      </c>
      <c r="X368" s="2">
        <f>IF($H368&gt;J368,MIN($H368-J368,K368-J368)*INDEX('2018_commission_structure'!$A$5:$J$8,MATCH(Calculations!$E368,'2018_commission_structure'!$A$5:$A$8,0),MATCH(Calculations!X$1,'2018_commission_structure'!$A$5:$J$5,0)),0)</f>
        <v>4157.5</v>
      </c>
      <c r="Y368" s="2">
        <f>IF($H368&gt;K368,MIN($H368-K368,L368-K368)*INDEX('2018_commission_structure'!$A$5:$J$8,MATCH(Calculations!$E368,'2018_commission_structure'!$A$5:$A$8,0),MATCH(Calculations!Y$1,'2018_commission_structure'!$A$5:$J$5,0)),0)</f>
        <v>0</v>
      </c>
      <c r="Z368" s="2">
        <f xml:space="preserve"> IF(H368&gt;L368,(H368-L368)*INDEX('2018_commission_structure'!$A$11:$I$14,MATCH(Calculations!$E368,'2018_commission_structure'!$A$11:$A$14,0),MATCH(Calculations!Z$1,'2018_commission_structure'!$A$11:$I$11,0)),0)</f>
        <v>0</v>
      </c>
      <c r="AA368" s="7">
        <f t="shared" si="52"/>
        <v>157907.5</v>
      </c>
      <c r="AB368" s="7">
        <f t="shared" si="53"/>
        <v>272578.5</v>
      </c>
    </row>
    <row r="369" spans="1:28" x14ac:dyDescent="0.25">
      <c r="A369">
        <v>3824197065</v>
      </c>
      <c r="B369" t="s">
        <v>15</v>
      </c>
      <c r="C369" t="s">
        <v>16</v>
      </c>
      <c r="D369" t="str">
        <f>B369&amp;" "&amp;C369</f>
        <v>Orland Gommery</v>
      </c>
      <c r="E369" t="s">
        <v>10</v>
      </c>
      <c r="F369">
        <v>81431</v>
      </c>
      <c r="G369">
        <f>COUNTIF(deals_closed!D:D,Calculations!A369)</f>
        <v>22</v>
      </c>
      <c r="H369" s="2">
        <f>SUMIF(deals_closed!D:D,Calculations!A369,deals_closed!C:C)</f>
        <v>764531</v>
      </c>
      <c r="I369" s="2">
        <f>VLOOKUP(E369,'2018_commission_structure'!$A$11:$I$14,9,FALSE)</f>
        <v>750000</v>
      </c>
      <c r="J369" s="2">
        <f t="shared" si="45"/>
        <v>937500</v>
      </c>
      <c r="K369" s="2">
        <f t="shared" si="46"/>
        <v>1125000</v>
      </c>
      <c r="L369" s="2">
        <f t="shared" si="47"/>
        <v>1500000</v>
      </c>
      <c r="M369" s="6">
        <f t="shared" si="48"/>
        <v>1.0193746666666668</v>
      </c>
      <c r="N369" t="str">
        <f t="shared" si="49"/>
        <v>100-125%</v>
      </c>
      <c r="O369" s="7">
        <f>MIN(I369,H369)*INDEX('2018_commission_structure'!$A$11:$I$14,MATCH(Calculations!$E369,'2018_commission_structure'!$A$11:$A$14,0),MATCH(Calculations!O$1,'2018_commission_structure'!$A$11:$I$11,0))</f>
        <v>112500</v>
      </c>
      <c r="P369" s="7">
        <f>IF($H369&gt;I369,MIN($H369-I369,J369-I369)*INDEX('2018_commission_structure'!$A$11:$I$14,MATCH(Calculations!$E369,'2018_commission_structure'!$A$11:$A$14,0), MATCH(Calculations!P$1,'2018_commission_structure'!$A$11:$I$11,0)),0)</f>
        <v>2760.89</v>
      </c>
      <c r="Q369" s="7">
        <f>IF($H369&gt;J369,MIN($H369-J369,K369-J369)*INDEX('2018_commission_structure'!$A$11:$I$14,MATCH(Calculations!$E369,'2018_commission_structure'!$A$11:$A$14,0), MATCH(Calculations!Q$1,'2018_commission_structure'!$A$11:$I$11,0)),0)</f>
        <v>0</v>
      </c>
      <c r="R369" s="7">
        <f>IF($H369&gt;K369,MIN($H369-K369,L369-K369)*INDEX('2018_commission_structure'!$A$11:$I$14,MATCH(Calculations!$E369,'2018_commission_structure'!$A$11:$A$14,0), MATCH(Calculations!R$1,'2018_commission_structure'!$A$11:$I$11,0)),0)</f>
        <v>0</v>
      </c>
      <c r="S369" s="7">
        <f>IF(H369&gt;L369,(H369-L369)*INDEX('2018_commission_structure'!$A$11:$I$14,MATCH(Calculations!$E369,'2018_commission_structure'!$A$11:$A$14,0),MATCH(Calculations!S$1,'2018_commission_structure'!$A$11:$I$11,0)),0)</f>
        <v>0</v>
      </c>
      <c r="T369" s="7">
        <f t="shared" si="50"/>
        <v>115260.89</v>
      </c>
      <c r="U369" s="7">
        <f t="shared" si="51"/>
        <v>196691.89</v>
      </c>
      <c r="V369" s="7">
        <f>MIN(H369,I369)*INDEX('2018_commission_structure'!$A$5:$J$8,MATCH(Calculations!$E369,'2018_commission_structure'!$A$5:$A$8,0),MATCH(Calculations!V$1,'2018_commission_structure'!$A$5:$J$5,0))</f>
        <v>112500</v>
      </c>
      <c r="W369" s="2">
        <f>IF($H369&gt;I369,MIN($H369-I369,J369-I369)*INDEX('2018_commission_structure'!$A$5:$J$8,MATCH(Calculations!$E369,'2018_commission_structure'!$A$5:$A$8,0),MATCH(Calculations!W$1,'2018_commission_structure'!$A$5:$J$5,0)),0)</f>
        <v>3196.82</v>
      </c>
      <c r="X369" s="2">
        <f>IF($H369&gt;J369,MIN($H369-J369,K369-J369)*INDEX('2018_commission_structure'!$A$5:$J$8,MATCH(Calculations!$E369,'2018_commission_structure'!$A$5:$A$8,0),MATCH(Calculations!X$1,'2018_commission_structure'!$A$5:$J$5,0)),0)</f>
        <v>0</v>
      </c>
      <c r="Y369" s="2">
        <f>IF($H369&gt;K369,MIN($H369-K369,L369-K369)*INDEX('2018_commission_structure'!$A$5:$J$8,MATCH(Calculations!$E369,'2018_commission_structure'!$A$5:$A$8,0),MATCH(Calculations!Y$1,'2018_commission_structure'!$A$5:$J$5,0)),0)</f>
        <v>0</v>
      </c>
      <c r="Z369" s="2">
        <f xml:space="preserve"> IF(H369&gt;L369,(H369-L369)*INDEX('2018_commission_structure'!$A$11:$I$14,MATCH(Calculations!$E369,'2018_commission_structure'!$A$11:$A$14,0),MATCH(Calculations!Z$1,'2018_commission_structure'!$A$11:$I$11,0)),0)</f>
        <v>0</v>
      </c>
      <c r="AA369" s="7">
        <f t="shared" si="52"/>
        <v>115696.82</v>
      </c>
      <c r="AB369" s="7">
        <f t="shared" si="53"/>
        <v>197127.82</v>
      </c>
    </row>
    <row r="370" spans="1:28" x14ac:dyDescent="0.25">
      <c r="A370">
        <v>899126162</v>
      </c>
      <c r="B370" t="s">
        <v>1116</v>
      </c>
      <c r="C370" t="s">
        <v>1117</v>
      </c>
      <c r="D370" t="str">
        <f>B370&amp;" "&amp;C370</f>
        <v>Nolie Gonnin</v>
      </c>
      <c r="E370" t="s">
        <v>29</v>
      </c>
      <c r="F370">
        <v>61001</v>
      </c>
      <c r="G370">
        <f>COUNTIF(deals_closed!D:D,Calculations!A370)</f>
        <v>21</v>
      </c>
      <c r="H370" s="2">
        <f>SUMIF(deals_closed!D:D,Calculations!A370,deals_closed!C:C)</f>
        <v>695781</v>
      </c>
      <c r="I370" s="2">
        <f>VLOOKUP(E370,'2018_commission_structure'!$A$11:$I$14,9,FALSE)</f>
        <v>600000</v>
      </c>
      <c r="J370" s="2">
        <f t="shared" si="45"/>
        <v>750000</v>
      </c>
      <c r="K370" s="2">
        <f t="shared" si="46"/>
        <v>900000</v>
      </c>
      <c r="L370" s="2">
        <f t="shared" si="47"/>
        <v>1200000</v>
      </c>
      <c r="M370" s="6">
        <f t="shared" si="48"/>
        <v>1.159635</v>
      </c>
      <c r="N370" t="str">
        <f t="shared" si="49"/>
        <v>100-125%</v>
      </c>
      <c r="O370" s="7">
        <f>MIN(I370,H370)*INDEX('2018_commission_structure'!$A$11:$I$14,MATCH(Calculations!$E370,'2018_commission_structure'!$A$11:$A$14,0),MATCH(Calculations!O$1,'2018_commission_structure'!$A$11:$I$11,0))</f>
        <v>78000</v>
      </c>
      <c r="P370" s="7">
        <f>IF($H370&gt;I370,MIN($H370-I370,J370-I370)*INDEX('2018_commission_structure'!$A$11:$I$14,MATCH(Calculations!$E370,'2018_commission_structure'!$A$11:$A$14,0), MATCH(Calculations!P$1,'2018_commission_structure'!$A$11:$I$11,0)),0)</f>
        <v>16282.77</v>
      </c>
      <c r="Q370" s="7">
        <f>IF($H370&gt;J370,MIN($H370-J370,K370-J370)*INDEX('2018_commission_structure'!$A$11:$I$14,MATCH(Calculations!$E370,'2018_commission_structure'!$A$11:$A$14,0), MATCH(Calculations!Q$1,'2018_commission_structure'!$A$11:$I$11,0)),0)</f>
        <v>0</v>
      </c>
      <c r="R370" s="7">
        <f>IF($H370&gt;K370,MIN($H370-K370,L370-K370)*INDEX('2018_commission_structure'!$A$11:$I$14,MATCH(Calculations!$E370,'2018_commission_structure'!$A$11:$A$14,0), MATCH(Calculations!R$1,'2018_commission_structure'!$A$11:$I$11,0)),0)</f>
        <v>0</v>
      </c>
      <c r="S370" s="7">
        <f>IF(H370&gt;L370,(H370-L370)*INDEX('2018_commission_structure'!$A$11:$I$14,MATCH(Calculations!$E370,'2018_commission_structure'!$A$11:$A$14,0),MATCH(Calculations!S$1,'2018_commission_structure'!$A$11:$I$11,0)),0)</f>
        <v>0</v>
      </c>
      <c r="T370" s="7">
        <f t="shared" si="50"/>
        <v>94282.77</v>
      </c>
      <c r="U370" s="7">
        <f t="shared" si="51"/>
        <v>155283.77000000002</v>
      </c>
      <c r="V370" s="7">
        <f>MIN(H370,I370)*INDEX('2018_commission_structure'!$A$5:$J$8,MATCH(Calculations!$E370,'2018_commission_structure'!$A$5:$A$8,0),MATCH(Calculations!V$1,'2018_commission_structure'!$A$5:$J$5,0))</f>
        <v>90000</v>
      </c>
      <c r="W370" s="2">
        <f>IF($H370&gt;I370,MIN($H370-I370,J370-I370)*INDEX('2018_commission_structure'!$A$5:$J$8,MATCH(Calculations!$E370,'2018_commission_structure'!$A$5:$A$8,0),MATCH(Calculations!W$1,'2018_commission_structure'!$A$5:$J$5,0)),0)</f>
        <v>17240.579999999998</v>
      </c>
      <c r="X370" s="2">
        <f>IF($H370&gt;J370,MIN($H370-J370,K370-J370)*INDEX('2018_commission_structure'!$A$5:$J$8,MATCH(Calculations!$E370,'2018_commission_structure'!$A$5:$A$8,0),MATCH(Calculations!X$1,'2018_commission_structure'!$A$5:$J$5,0)),0)</f>
        <v>0</v>
      </c>
      <c r="Y370" s="2">
        <f>IF($H370&gt;K370,MIN($H370-K370,L370-K370)*INDEX('2018_commission_structure'!$A$5:$J$8,MATCH(Calculations!$E370,'2018_commission_structure'!$A$5:$A$8,0),MATCH(Calculations!Y$1,'2018_commission_structure'!$A$5:$J$5,0)),0)</f>
        <v>0</v>
      </c>
      <c r="Z370" s="2">
        <f xml:space="preserve"> IF(H370&gt;L370,(H370-L370)*INDEX('2018_commission_structure'!$A$11:$I$14,MATCH(Calculations!$E370,'2018_commission_structure'!$A$11:$A$14,0),MATCH(Calculations!Z$1,'2018_commission_structure'!$A$11:$I$11,0)),0)</f>
        <v>0</v>
      </c>
      <c r="AA370" s="7">
        <f t="shared" si="52"/>
        <v>107240.58</v>
      </c>
      <c r="AB370" s="7">
        <f t="shared" si="53"/>
        <v>168241.58000000002</v>
      </c>
    </row>
    <row r="371" spans="1:28" x14ac:dyDescent="0.25">
      <c r="A371">
        <v>2411473303</v>
      </c>
      <c r="B371" t="s">
        <v>1093</v>
      </c>
      <c r="C371" t="s">
        <v>395</v>
      </c>
      <c r="D371" t="str">
        <f>B371&amp;" "&amp;C371</f>
        <v>Ivan Gonzalo</v>
      </c>
      <c r="E371" t="s">
        <v>29</v>
      </c>
      <c r="F371">
        <v>76803</v>
      </c>
      <c r="G371">
        <f>COUNTIF(deals_closed!D:D,Calculations!A371)</f>
        <v>14</v>
      </c>
      <c r="H371" s="2">
        <f>SUMIF(deals_closed!D:D,Calculations!A371,deals_closed!C:C)</f>
        <v>480741</v>
      </c>
      <c r="I371" s="2">
        <f>VLOOKUP(E371,'2018_commission_structure'!$A$11:$I$14,9,FALSE)</f>
        <v>600000</v>
      </c>
      <c r="J371" s="2">
        <f t="shared" si="45"/>
        <v>750000</v>
      </c>
      <c r="K371" s="2">
        <f t="shared" si="46"/>
        <v>900000</v>
      </c>
      <c r="L371" s="2">
        <f t="shared" si="47"/>
        <v>1200000</v>
      </c>
      <c r="M371" s="6">
        <f t="shared" si="48"/>
        <v>0.80123500000000003</v>
      </c>
      <c r="N371" t="str">
        <f t="shared" si="49"/>
        <v>0-100%</v>
      </c>
      <c r="O371" s="7">
        <f>MIN(I371,H371)*INDEX('2018_commission_structure'!$A$11:$I$14,MATCH(Calculations!$E371,'2018_commission_structure'!$A$11:$A$14,0),MATCH(Calculations!O$1,'2018_commission_structure'!$A$11:$I$11,0))</f>
        <v>62496.33</v>
      </c>
      <c r="P371" s="7">
        <f>IF($H371&gt;I371,MIN($H371-I371,J371-I371)*INDEX('2018_commission_structure'!$A$11:$I$14,MATCH(Calculations!$E371,'2018_commission_structure'!$A$11:$A$14,0), MATCH(Calculations!P$1,'2018_commission_structure'!$A$11:$I$11,0)),0)</f>
        <v>0</v>
      </c>
      <c r="Q371" s="7">
        <f>IF($H371&gt;J371,MIN($H371-J371,K371-J371)*INDEX('2018_commission_structure'!$A$11:$I$14,MATCH(Calculations!$E371,'2018_commission_structure'!$A$11:$A$14,0), MATCH(Calculations!Q$1,'2018_commission_structure'!$A$11:$I$11,0)),0)</f>
        <v>0</v>
      </c>
      <c r="R371" s="7">
        <f>IF($H371&gt;K371,MIN($H371-K371,L371-K371)*INDEX('2018_commission_structure'!$A$11:$I$14,MATCH(Calculations!$E371,'2018_commission_structure'!$A$11:$A$14,0), MATCH(Calculations!R$1,'2018_commission_structure'!$A$11:$I$11,0)),0)</f>
        <v>0</v>
      </c>
      <c r="S371" s="7">
        <f>IF(H371&gt;L371,(H371-L371)*INDEX('2018_commission_structure'!$A$11:$I$14,MATCH(Calculations!$E371,'2018_commission_structure'!$A$11:$A$14,0),MATCH(Calculations!S$1,'2018_commission_structure'!$A$11:$I$11,0)),0)</f>
        <v>0</v>
      </c>
      <c r="T371" s="7">
        <f t="shared" si="50"/>
        <v>62496.33</v>
      </c>
      <c r="U371" s="7">
        <f t="shared" si="51"/>
        <v>139299.33000000002</v>
      </c>
      <c r="V371" s="7">
        <f>MIN(H371,I371)*INDEX('2018_commission_structure'!$A$5:$J$8,MATCH(Calculations!$E371,'2018_commission_structure'!$A$5:$A$8,0),MATCH(Calculations!V$1,'2018_commission_structure'!$A$5:$J$5,0))</f>
        <v>72111.149999999994</v>
      </c>
      <c r="W371" s="2">
        <f>IF($H371&gt;I371,MIN($H371-I371,J371-I371)*INDEX('2018_commission_structure'!$A$5:$J$8,MATCH(Calculations!$E371,'2018_commission_structure'!$A$5:$A$8,0),MATCH(Calculations!W$1,'2018_commission_structure'!$A$5:$J$5,0)),0)</f>
        <v>0</v>
      </c>
      <c r="X371" s="2">
        <f>IF($H371&gt;J371,MIN($H371-J371,K371-J371)*INDEX('2018_commission_structure'!$A$5:$J$8,MATCH(Calculations!$E371,'2018_commission_structure'!$A$5:$A$8,0),MATCH(Calculations!X$1,'2018_commission_structure'!$A$5:$J$5,0)),0)</f>
        <v>0</v>
      </c>
      <c r="Y371" s="2">
        <f>IF($H371&gt;K371,MIN($H371-K371,L371-K371)*INDEX('2018_commission_structure'!$A$5:$J$8,MATCH(Calculations!$E371,'2018_commission_structure'!$A$5:$A$8,0),MATCH(Calculations!Y$1,'2018_commission_structure'!$A$5:$J$5,0)),0)</f>
        <v>0</v>
      </c>
      <c r="Z371" s="2">
        <f xml:space="preserve"> IF(H371&gt;L371,(H371-L371)*INDEX('2018_commission_structure'!$A$11:$I$14,MATCH(Calculations!$E371,'2018_commission_structure'!$A$11:$A$14,0),MATCH(Calculations!Z$1,'2018_commission_structure'!$A$11:$I$11,0)),0)</f>
        <v>0</v>
      </c>
      <c r="AA371" s="7">
        <f t="shared" si="52"/>
        <v>72111.149999999994</v>
      </c>
      <c r="AB371" s="7">
        <f t="shared" si="53"/>
        <v>148914.15</v>
      </c>
    </row>
    <row r="372" spans="1:28" x14ac:dyDescent="0.25">
      <c r="A372">
        <v>2074776004</v>
      </c>
      <c r="B372" t="s">
        <v>1110</v>
      </c>
      <c r="C372" t="s">
        <v>1111</v>
      </c>
      <c r="D372" t="str">
        <f>B372&amp;" "&amp;C372</f>
        <v>Salli Gooda</v>
      </c>
      <c r="E372" t="s">
        <v>29</v>
      </c>
      <c r="F372">
        <v>77087</v>
      </c>
      <c r="G372">
        <f>COUNTIF(deals_closed!D:D,Calculations!A372)</f>
        <v>21</v>
      </c>
      <c r="H372" s="2">
        <f>SUMIF(deals_closed!D:D,Calculations!A372,deals_closed!C:C)</f>
        <v>805766</v>
      </c>
      <c r="I372" s="2">
        <f>VLOOKUP(E372,'2018_commission_structure'!$A$11:$I$14,9,FALSE)</f>
        <v>600000</v>
      </c>
      <c r="J372" s="2">
        <f t="shared" si="45"/>
        <v>750000</v>
      </c>
      <c r="K372" s="2">
        <f t="shared" si="46"/>
        <v>900000</v>
      </c>
      <c r="L372" s="2">
        <f t="shared" si="47"/>
        <v>1200000</v>
      </c>
      <c r="M372" s="6">
        <f t="shared" si="48"/>
        <v>1.3429433333333334</v>
      </c>
      <c r="N372" t="str">
        <f t="shared" si="49"/>
        <v>125-150%</v>
      </c>
      <c r="O372" s="7">
        <f>MIN(I372,H372)*INDEX('2018_commission_structure'!$A$11:$I$14,MATCH(Calculations!$E372,'2018_commission_structure'!$A$11:$A$14,0),MATCH(Calculations!O$1,'2018_commission_structure'!$A$11:$I$11,0))</f>
        <v>78000</v>
      </c>
      <c r="P372" s="7">
        <f>IF($H372&gt;I372,MIN($H372-I372,J372-I372)*INDEX('2018_commission_structure'!$A$11:$I$14,MATCH(Calculations!$E372,'2018_commission_structure'!$A$11:$A$14,0), MATCH(Calculations!P$1,'2018_commission_structure'!$A$11:$I$11,0)),0)</f>
        <v>25500.000000000004</v>
      </c>
      <c r="Q372" s="7">
        <f>IF($H372&gt;J372,MIN($H372-J372,K372-J372)*INDEX('2018_commission_structure'!$A$11:$I$14,MATCH(Calculations!$E372,'2018_commission_structure'!$A$11:$A$14,0), MATCH(Calculations!Q$1,'2018_commission_structure'!$A$11:$I$11,0)),0)</f>
        <v>11710.859999999999</v>
      </c>
      <c r="R372" s="7">
        <f>IF($H372&gt;K372,MIN($H372-K372,L372-K372)*INDEX('2018_commission_structure'!$A$11:$I$14,MATCH(Calculations!$E372,'2018_commission_structure'!$A$11:$A$14,0), MATCH(Calculations!R$1,'2018_commission_structure'!$A$11:$I$11,0)),0)</f>
        <v>0</v>
      </c>
      <c r="S372" s="7">
        <f>IF(H372&gt;L372,(H372-L372)*INDEX('2018_commission_structure'!$A$11:$I$14,MATCH(Calculations!$E372,'2018_commission_structure'!$A$11:$A$14,0),MATCH(Calculations!S$1,'2018_commission_structure'!$A$11:$I$11,0)),0)</f>
        <v>0</v>
      </c>
      <c r="T372" s="7">
        <f t="shared" si="50"/>
        <v>115210.86</v>
      </c>
      <c r="U372" s="7">
        <f t="shared" si="51"/>
        <v>192297.86</v>
      </c>
      <c r="V372" s="7">
        <f>MIN(H372,I372)*INDEX('2018_commission_structure'!$A$5:$J$8,MATCH(Calculations!$E372,'2018_commission_structure'!$A$5:$A$8,0),MATCH(Calculations!V$1,'2018_commission_structure'!$A$5:$J$5,0))</f>
        <v>90000</v>
      </c>
      <c r="W372" s="2">
        <f>IF($H372&gt;I372,MIN($H372-I372,J372-I372)*INDEX('2018_commission_structure'!$A$5:$J$8,MATCH(Calculations!$E372,'2018_commission_structure'!$A$5:$A$8,0),MATCH(Calculations!W$1,'2018_commission_structure'!$A$5:$J$5,0)),0)</f>
        <v>27000</v>
      </c>
      <c r="X372" s="2">
        <f>IF($H372&gt;J372,MIN($H372-J372,K372-J372)*INDEX('2018_commission_structure'!$A$5:$J$8,MATCH(Calculations!$E372,'2018_commission_structure'!$A$5:$A$8,0),MATCH(Calculations!X$1,'2018_commission_structure'!$A$5:$J$5,0)),0)</f>
        <v>13941.5</v>
      </c>
      <c r="Y372" s="2">
        <f>IF($H372&gt;K372,MIN($H372-K372,L372-K372)*INDEX('2018_commission_structure'!$A$5:$J$8,MATCH(Calculations!$E372,'2018_commission_structure'!$A$5:$A$8,0),MATCH(Calculations!Y$1,'2018_commission_structure'!$A$5:$J$5,0)),0)</f>
        <v>0</v>
      </c>
      <c r="Z372" s="2">
        <f xml:space="preserve"> IF(H372&gt;L372,(H372-L372)*INDEX('2018_commission_structure'!$A$11:$I$14,MATCH(Calculations!$E372,'2018_commission_structure'!$A$11:$A$14,0),MATCH(Calculations!Z$1,'2018_commission_structure'!$A$11:$I$11,0)),0)</f>
        <v>0</v>
      </c>
      <c r="AA372" s="7">
        <f t="shared" si="52"/>
        <v>130941.5</v>
      </c>
      <c r="AB372" s="7">
        <f t="shared" si="53"/>
        <v>208028.5</v>
      </c>
    </row>
    <row r="373" spans="1:28" x14ac:dyDescent="0.25">
      <c r="A373">
        <v>9829586073</v>
      </c>
      <c r="B373" t="s">
        <v>733</v>
      </c>
      <c r="C373" t="s">
        <v>734</v>
      </c>
      <c r="D373" t="str">
        <f>B373&amp;" "&amp;C373</f>
        <v>Cordelia Goodered</v>
      </c>
      <c r="E373" t="s">
        <v>10</v>
      </c>
      <c r="F373">
        <v>88725</v>
      </c>
      <c r="G373">
        <f>COUNTIF(deals_closed!D:D,Calculations!A373)</f>
        <v>23</v>
      </c>
      <c r="H373" s="2">
        <f>SUMIF(deals_closed!D:D,Calculations!A373,deals_closed!C:C)</f>
        <v>767064</v>
      </c>
      <c r="I373" s="2">
        <f>VLOOKUP(E373,'2018_commission_structure'!$A$11:$I$14,9,FALSE)</f>
        <v>750000</v>
      </c>
      <c r="J373" s="2">
        <f t="shared" si="45"/>
        <v>937500</v>
      </c>
      <c r="K373" s="2">
        <f t="shared" si="46"/>
        <v>1125000</v>
      </c>
      <c r="L373" s="2">
        <f t="shared" si="47"/>
        <v>1500000</v>
      </c>
      <c r="M373" s="6">
        <f t="shared" si="48"/>
        <v>1.0227520000000001</v>
      </c>
      <c r="N373" t="str">
        <f t="shared" si="49"/>
        <v>100-125%</v>
      </c>
      <c r="O373" s="7">
        <f>MIN(I373,H373)*INDEX('2018_commission_structure'!$A$11:$I$14,MATCH(Calculations!$E373,'2018_commission_structure'!$A$11:$A$14,0),MATCH(Calculations!O$1,'2018_commission_structure'!$A$11:$I$11,0))</f>
        <v>112500</v>
      </c>
      <c r="P373" s="7">
        <f>IF($H373&gt;I373,MIN($H373-I373,J373-I373)*INDEX('2018_commission_structure'!$A$11:$I$14,MATCH(Calculations!$E373,'2018_commission_structure'!$A$11:$A$14,0), MATCH(Calculations!P$1,'2018_commission_structure'!$A$11:$I$11,0)),0)</f>
        <v>3242.16</v>
      </c>
      <c r="Q373" s="7">
        <f>IF($H373&gt;J373,MIN($H373-J373,K373-J373)*INDEX('2018_commission_structure'!$A$11:$I$14,MATCH(Calculations!$E373,'2018_commission_structure'!$A$11:$A$14,0), MATCH(Calculations!Q$1,'2018_commission_structure'!$A$11:$I$11,0)),0)</f>
        <v>0</v>
      </c>
      <c r="R373" s="7">
        <f>IF($H373&gt;K373,MIN($H373-K373,L373-K373)*INDEX('2018_commission_structure'!$A$11:$I$14,MATCH(Calculations!$E373,'2018_commission_structure'!$A$11:$A$14,0), MATCH(Calculations!R$1,'2018_commission_structure'!$A$11:$I$11,0)),0)</f>
        <v>0</v>
      </c>
      <c r="S373" s="7">
        <f>IF(H373&gt;L373,(H373-L373)*INDEX('2018_commission_structure'!$A$11:$I$14,MATCH(Calculations!$E373,'2018_commission_structure'!$A$11:$A$14,0),MATCH(Calculations!S$1,'2018_commission_structure'!$A$11:$I$11,0)),0)</f>
        <v>0</v>
      </c>
      <c r="T373" s="7">
        <f t="shared" si="50"/>
        <v>115742.16</v>
      </c>
      <c r="U373" s="7">
        <f t="shared" si="51"/>
        <v>204467.16</v>
      </c>
      <c r="V373" s="7">
        <f>MIN(H373,I373)*INDEX('2018_commission_structure'!$A$5:$J$8,MATCH(Calculations!$E373,'2018_commission_structure'!$A$5:$A$8,0),MATCH(Calculations!V$1,'2018_commission_structure'!$A$5:$J$5,0))</f>
        <v>112500</v>
      </c>
      <c r="W373" s="2">
        <f>IF($H373&gt;I373,MIN($H373-I373,J373-I373)*INDEX('2018_commission_structure'!$A$5:$J$8,MATCH(Calculations!$E373,'2018_commission_structure'!$A$5:$A$8,0),MATCH(Calculations!W$1,'2018_commission_structure'!$A$5:$J$5,0)),0)</f>
        <v>3754.08</v>
      </c>
      <c r="X373" s="2">
        <f>IF($H373&gt;J373,MIN($H373-J373,K373-J373)*INDEX('2018_commission_structure'!$A$5:$J$8,MATCH(Calculations!$E373,'2018_commission_structure'!$A$5:$A$8,0),MATCH(Calculations!X$1,'2018_commission_structure'!$A$5:$J$5,0)),0)</f>
        <v>0</v>
      </c>
      <c r="Y373" s="2">
        <f>IF($H373&gt;K373,MIN($H373-K373,L373-K373)*INDEX('2018_commission_structure'!$A$5:$J$8,MATCH(Calculations!$E373,'2018_commission_structure'!$A$5:$A$8,0),MATCH(Calculations!Y$1,'2018_commission_structure'!$A$5:$J$5,0)),0)</f>
        <v>0</v>
      </c>
      <c r="Z373" s="2">
        <f xml:space="preserve"> IF(H373&gt;L373,(H373-L373)*INDEX('2018_commission_structure'!$A$11:$I$14,MATCH(Calculations!$E373,'2018_commission_structure'!$A$11:$A$14,0),MATCH(Calculations!Z$1,'2018_commission_structure'!$A$11:$I$11,0)),0)</f>
        <v>0</v>
      </c>
      <c r="AA373" s="7">
        <f t="shared" si="52"/>
        <v>116254.08</v>
      </c>
      <c r="AB373" s="7">
        <f t="shared" si="53"/>
        <v>204979.08000000002</v>
      </c>
    </row>
    <row r="374" spans="1:28" x14ac:dyDescent="0.25">
      <c r="A374">
        <v>4525743115</v>
      </c>
      <c r="B374" t="s">
        <v>901</v>
      </c>
      <c r="C374" t="s">
        <v>902</v>
      </c>
      <c r="D374" t="str">
        <f>B374&amp;" "&amp;C374</f>
        <v>Pablo Goodhand</v>
      </c>
      <c r="E374" t="s">
        <v>10</v>
      </c>
      <c r="F374">
        <v>96928</v>
      </c>
      <c r="G374">
        <f>COUNTIF(deals_closed!D:D,Calculations!A374)</f>
        <v>25</v>
      </c>
      <c r="H374" s="2">
        <f>SUMIF(deals_closed!D:D,Calculations!A374,deals_closed!C:C)</f>
        <v>938038</v>
      </c>
      <c r="I374" s="2">
        <f>VLOOKUP(E374,'2018_commission_structure'!$A$11:$I$14,9,FALSE)</f>
        <v>750000</v>
      </c>
      <c r="J374" s="2">
        <f t="shared" si="45"/>
        <v>937500</v>
      </c>
      <c r="K374" s="2">
        <f t="shared" si="46"/>
        <v>1125000</v>
      </c>
      <c r="L374" s="2">
        <f t="shared" si="47"/>
        <v>1500000</v>
      </c>
      <c r="M374" s="6">
        <f t="shared" si="48"/>
        <v>1.2507173333333332</v>
      </c>
      <c r="N374" t="str">
        <f t="shared" si="49"/>
        <v>125-150%</v>
      </c>
      <c r="O374" s="7">
        <f>MIN(I374,H374)*INDEX('2018_commission_structure'!$A$11:$I$14,MATCH(Calculations!$E374,'2018_commission_structure'!$A$11:$A$14,0),MATCH(Calculations!O$1,'2018_commission_structure'!$A$11:$I$11,0))</f>
        <v>112500</v>
      </c>
      <c r="P374" s="7">
        <f>IF($H374&gt;I374,MIN($H374-I374,J374-I374)*INDEX('2018_commission_structure'!$A$11:$I$14,MATCH(Calculations!$E374,'2018_commission_structure'!$A$11:$A$14,0), MATCH(Calculations!P$1,'2018_commission_structure'!$A$11:$I$11,0)),0)</f>
        <v>35625</v>
      </c>
      <c r="Q374" s="7">
        <f>IF($H374&gt;J374,MIN($H374-J374,K374-J374)*INDEX('2018_commission_structure'!$A$11:$I$14,MATCH(Calculations!$E374,'2018_commission_structure'!$A$11:$A$14,0), MATCH(Calculations!Q$1,'2018_commission_structure'!$A$11:$I$11,0)),0)</f>
        <v>123.74000000000001</v>
      </c>
      <c r="R374" s="7">
        <f>IF($H374&gt;K374,MIN($H374-K374,L374-K374)*INDEX('2018_commission_structure'!$A$11:$I$14,MATCH(Calculations!$E374,'2018_commission_structure'!$A$11:$A$14,0), MATCH(Calculations!R$1,'2018_commission_structure'!$A$11:$I$11,0)),0)</f>
        <v>0</v>
      </c>
      <c r="S374" s="7">
        <f>IF(H374&gt;L374,(H374-L374)*INDEX('2018_commission_structure'!$A$11:$I$14,MATCH(Calculations!$E374,'2018_commission_structure'!$A$11:$A$14,0),MATCH(Calculations!S$1,'2018_commission_structure'!$A$11:$I$11,0)),0)</f>
        <v>0</v>
      </c>
      <c r="T374" s="7">
        <f t="shared" si="50"/>
        <v>148248.74</v>
      </c>
      <c r="U374" s="7">
        <f t="shared" si="51"/>
        <v>245176.74</v>
      </c>
      <c r="V374" s="7">
        <f>MIN(H374,I374)*INDEX('2018_commission_structure'!$A$5:$J$8,MATCH(Calculations!$E374,'2018_commission_structure'!$A$5:$A$8,0),MATCH(Calculations!V$1,'2018_commission_structure'!$A$5:$J$5,0))</f>
        <v>112500</v>
      </c>
      <c r="W374" s="2">
        <f>IF($H374&gt;I374,MIN($H374-I374,J374-I374)*INDEX('2018_commission_structure'!$A$5:$J$8,MATCH(Calculations!$E374,'2018_commission_structure'!$A$5:$A$8,0),MATCH(Calculations!W$1,'2018_commission_structure'!$A$5:$J$5,0)),0)</f>
        <v>41250</v>
      </c>
      <c r="X374" s="2">
        <f>IF($H374&gt;J374,MIN($H374-J374,K374-J374)*INDEX('2018_commission_structure'!$A$5:$J$8,MATCH(Calculations!$E374,'2018_commission_structure'!$A$5:$A$8,0),MATCH(Calculations!X$1,'2018_commission_structure'!$A$5:$J$5,0)),0)</f>
        <v>134.5</v>
      </c>
      <c r="Y374" s="2">
        <f>IF($H374&gt;K374,MIN($H374-K374,L374-K374)*INDEX('2018_commission_structure'!$A$5:$J$8,MATCH(Calculations!$E374,'2018_commission_structure'!$A$5:$A$8,0),MATCH(Calculations!Y$1,'2018_commission_structure'!$A$5:$J$5,0)),0)</f>
        <v>0</v>
      </c>
      <c r="Z374" s="2">
        <f xml:space="preserve"> IF(H374&gt;L374,(H374-L374)*INDEX('2018_commission_structure'!$A$11:$I$14,MATCH(Calculations!$E374,'2018_commission_structure'!$A$11:$A$14,0),MATCH(Calculations!Z$1,'2018_commission_structure'!$A$11:$I$11,0)),0)</f>
        <v>0</v>
      </c>
      <c r="AA374" s="7">
        <f t="shared" si="52"/>
        <v>153884.5</v>
      </c>
      <c r="AB374" s="7">
        <f t="shared" si="53"/>
        <v>250812.5</v>
      </c>
    </row>
    <row r="375" spans="1:28" x14ac:dyDescent="0.25">
      <c r="A375">
        <v>8460683117</v>
      </c>
      <c r="B375" t="s">
        <v>1668</v>
      </c>
      <c r="C375" t="s">
        <v>1669</v>
      </c>
      <c r="D375" t="str">
        <f>B375&amp;" "&amp;C375</f>
        <v>Jonathon Goodrum</v>
      </c>
      <c r="E375" t="s">
        <v>10</v>
      </c>
      <c r="F375">
        <v>117035</v>
      </c>
      <c r="G375">
        <f>COUNTIF(deals_closed!D:D,Calculations!A375)</f>
        <v>23</v>
      </c>
      <c r="H375" s="2">
        <f>SUMIF(deals_closed!D:D,Calculations!A375,deals_closed!C:C)</f>
        <v>893432</v>
      </c>
      <c r="I375" s="2">
        <f>VLOOKUP(E375,'2018_commission_structure'!$A$11:$I$14,9,FALSE)</f>
        <v>750000</v>
      </c>
      <c r="J375" s="2">
        <f t="shared" si="45"/>
        <v>937500</v>
      </c>
      <c r="K375" s="2">
        <f t="shared" si="46"/>
        <v>1125000</v>
      </c>
      <c r="L375" s="2">
        <f t="shared" si="47"/>
        <v>1500000</v>
      </c>
      <c r="M375" s="6">
        <f t="shared" si="48"/>
        <v>1.1912426666666667</v>
      </c>
      <c r="N375" t="str">
        <f t="shared" si="49"/>
        <v>100-125%</v>
      </c>
      <c r="O375" s="7">
        <f>MIN(I375,H375)*INDEX('2018_commission_structure'!$A$11:$I$14,MATCH(Calculations!$E375,'2018_commission_structure'!$A$11:$A$14,0),MATCH(Calculations!O$1,'2018_commission_structure'!$A$11:$I$11,0))</f>
        <v>112500</v>
      </c>
      <c r="P375" s="7">
        <f>IF($H375&gt;I375,MIN($H375-I375,J375-I375)*INDEX('2018_commission_structure'!$A$11:$I$14,MATCH(Calculations!$E375,'2018_commission_structure'!$A$11:$A$14,0), MATCH(Calculations!P$1,'2018_commission_structure'!$A$11:$I$11,0)),0)</f>
        <v>27252.080000000002</v>
      </c>
      <c r="Q375" s="7">
        <f>IF($H375&gt;J375,MIN($H375-J375,K375-J375)*INDEX('2018_commission_structure'!$A$11:$I$14,MATCH(Calculations!$E375,'2018_commission_structure'!$A$11:$A$14,0), MATCH(Calculations!Q$1,'2018_commission_structure'!$A$11:$I$11,0)),0)</f>
        <v>0</v>
      </c>
      <c r="R375" s="7">
        <f>IF($H375&gt;K375,MIN($H375-K375,L375-K375)*INDEX('2018_commission_structure'!$A$11:$I$14,MATCH(Calculations!$E375,'2018_commission_structure'!$A$11:$A$14,0), MATCH(Calculations!R$1,'2018_commission_structure'!$A$11:$I$11,0)),0)</f>
        <v>0</v>
      </c>
      <c r="S375" s="7">
        <f>IF(H375&gt;L375,(H375-L375)*INDEX('2018_commission_structure'!$A$11:$I$14,MATCH(Calculations!$E375,'2018_commission_structure'!$A$11:$A$14,0),MATCH(Calculations!S$1,'2018_commission_structure'!$A$11:$I$11,0)),0)</f>
        <v>0</v>
      </c>
      <c r="T375" s="7">
        <f t="shared" si="50"/>
        <v>139752.08000000002</v>
      </c>
      <c r="U375" s="7">
        <f t="shared" si="51"/>
        <v>256787.08000000002</v>
      </c>
      <c r="V375" s="7">
        <f>MIN(H375,I375)*INDEX('2018_commission_structure'!$A$5:$J$8,MATCH(Calculations!$E375,'2018_commission_structure'!$A$5:$A$8,0),MATCH(Calculations!V$1,'2018_commission_structure'!$A$5:$J$5,0))</f>
        <v>112500</v>
      </c>
      <c r="W375" s="2">
        <f>IF($H375&gt;I375,MIN($H375-I375,J375-I375)*INDEX('2018_commission_structure'!$A$5:$J$8,MATCH(Calculations!$E375,'2018_commission_structure'!$A$5:$A$8,0),MATCH(Calculations!W$1,'2018_commission_structure'!$A$5:$J$5,0)),0)</f>
        <v>31555.040000000001</v>
      </c>
      <c r="X375" s="2">
        <f>IF($H375&gt;J375,MIN($H375-J375,K375-J375)*INDEX('2018_commission_structure'!$A$5:$J$8,MATCH(Calculations!$E375,'2018_commission_structure'!$A$5:$A$8,0),MATCH(Calculations!X$1,'2018_commission_structure'!$A$5:$J$5,0)),0)</f>
        <v>0</v>
      </c>
      <c r="Y375" s="2">
        <f>IF($H375&gt;K375,MIN($H375-K375,L375-K375)*INDEX('2018_commission_structure'!$A$5:$J$8,MATCH(Calculations!$E375,'2018_commission_structure'!$A$5:$A$8,0),MATCH(Calculations!Y$1,'2018_commission_structure'!$A$5:$J$5,0)),0)</f>
        <v>0</v>
      </c>
      <c r="Z375" s="2">
        <f xml:space="preserve"> IF(H375&gt;L375,(H375-L375)*INDEX('2018_commission_structure'!$A$11:$I$14,MATCH(Calculations!$E375,'2018_commission_structure'!$A$11:$A$14,0),MATCH(Calculations!Z$1,'2018_commission_structure'!$A$11:$I$11,0)),0)</f>
        <v>0</v>
      </c>
      <c r="AA375" s="7">
        <f t="shared" si="52"/>
        <v>144055.04000000001</v>
      </c>
      <c r="AB375" s="7">
        <f t="shared" si="53"/>
        <v>261090.04</v>
      </c>
    </row>
    <row r="376" spans="1:28" x14ac:dyDescent="0.25">
      <c r="A376">
        <v>8550875457</v>
      </c>
      <c r="B376" t="s">
        <v>505</v>
      </c>
      <c r="C376" t="s">
        <v>506</v>
      </c>
      <c r="D376" t="str">
        <f>B376&amp;" "&amp;C376</f>
        <v>Darnall Goodship</v>
      </c>
      <c r="E376" t="s">
        <v>7</v>
      </c>
      <c r="F376">
        <v>32108</v>
      </c>
      <c r="G376">
        <f>COUNTIF(deals_closed!D:D,Calculations!A376)</f>
        <v>14</v>
      </c>
      <c r="H376" s="2">
        <f>SUMIF(deals_closed!D:D,Calculations!A376,deals_closed!C:C)</f>
        <v>551513</v>
      </c>
      <c r="I376" s="2">
        <f>VLOOKUP(E376,'2018_commission_structure'!$A$11:$I$14,9,FALSE)</f>
        <v>500000</v>
      </c>
      <c r="J376" s="2">
        <f t="shared" si="45"/>
        <v>625000</v>
      </c>
      <c r="K376" s="2">
        <f t="shared" si="46"/>
        <v>750000</v>
      </c>
      <c r="L376" s="2">
        <f t="shared" si="47"/>
        <v>1000000</v>
      </c>
      <c r="M376" s="6">
        <f t="shared" si="48"/>
        <v>1.1030260000000001</v>
      </c>
      <c r="N376" t="str">
        <f t="shared" si="49"/>
        <v>100-125%</v>
      </c>
      <c r="O376" s="7">
        <f>MIN(I376,H376)*INDEX('2018_commission_structure'!$A$11:$I$14,MATCH(Calculations!$E376,'2018_commission_structure'!$A$11:$A$14,0),MATCH(Calculations!O$1,'2018_commission_structure'!$A$11:$I$11,0))</f>
        <v>50000</v>
      </c>
      <c r="P376" s="7">
        <f>IF($H376&gt;I376,MIN($H376-I376,J376-I376)*INDEX('2018_commission_structure'!$A$11:$I$14,MATCH(Calculations!$E376,'2018_commission_structure'!$A$11:$A$14,0), MATCH(Calculations!P$1,'2018_commission_structure'!$A$11:$I$11,0)),0)</f>
        <v>7726.95</v>
      </c>
      <c r="Q376" s="7">
        <f>IF($H376&gt;J376,MIN($H376-J376,K376-J376)*INDEX('2018_commission_structure'!$A$11:$I$14,MATCH(Calculations!$E376,'2018_commission_structure'!$A$11:$A$14,0), MATCH(Calculations!Q$1,'2018_commission_structure'!$A$11:$I$11,0)),0)</f>
        <v>0</v>
      </c>
      <c r="R376" s="7">
        <f>IF($H376&gt;K376,MIN($H376-K376,L376-K376)*INDEX('2018_commission_structure'!$A$11:$I$14,MATCH(Calculations!$E376,'2018_commission_structure'!$A$11:$A$14,0), MATCH(Calculations!R$1,'2018_commission_structure'!$A$11:$I$11,0)),0)</f>
        <v>0</v>
      </c>
      <c r="S376" s="7">
        <f>IF(H376&gt;L376,(H376-L376)*INDEX('2018_commission_structure'!$A$11:$I$14,MATCH(Calculations!$E376,'2018_commission_structure'!$A$11:$A$14,0),MATCH(Calculations!S$1,'2018_commission_structure'!$A$11:$I$11,0)),0)</f>
        <v>0</v>
      </c>
      <c r="T376" s="7">
        <f t="shared" si="50"/>
        <v>57726.95</v>
      </c>
      <c r="U376" s="7">
        <f t="shared" si="51"/>
        <v>89834.95</v>
      </c>
      <c r="V376" s="7">
        <f>MIN(H376,I376)*INDEX('2018_commission_structure'!$A$5:$J$8,MATCH(Calculations!$E376,'2018_commission_structure'!$A$5:$A$8,0),MATCH(Calculations!V$1,'2018_commission_structure'!$A$5:$J$5,0))</f>
        <v>60000</v>
      </c>
      <c r="W376" s="2">
        <f>IF($H376&gt;I376,MIN($H376-I376,J376-I376)*INDEX('2018_commission_structure'!$A$5:$J$8,MATCH(Calculations!$E376,'2018_commission_structure'!$A$5:$A$8,0),MATCH(Calculations!W$1,'2018_commission_structure'!$A$5:$J$5,0)),0)</f>
        <v>8757.2100000000009</v>
      </c>
      <c r="X376" s="2">
        <f>IF($H376&gt;J376,MIN($H376-J376,K376-J376)*INDEX('2018_commission_structure'!$A$5:$J$8,MATCH(Calculations!$E376,'2018_commission_structure'!$A$5:$A$8,0),MATCH(Calculations!X$1,'2018_commission_structure'!$A$5:$J$5,0)),0)</f>
        <v>0</v>
      </c>
      <c r="Y376" s="2">
        <f>IF($H376&gt;K376,MIN($H376-K376,L376-K376)*INDEX('2018_commission_structure'!$A$5:$J$8,MATCH(Calculations!$E376,'2018_commission_structure'!$A$5:$A$8,0),MATCH(Calculations!Y$1,'2018_commission_structure'!$A$5:$J$5,0)),0)</f>
        <v>0</v>
      </c>
      <c r="Z376" s="2">
        <f xml:space="preserve"> IF(H376&gt;L376,(H376-L376)*INDEX('2018_commission_structure'!$A$11:$I$14,MATCH(Calculations!$E376,'2018_commission_structure'!$A$11:$A$14,0),MATCH(Calculations!Z$1,'2018_commission_structure'!$A$11:$I$11,0)),0)</f>
        <v>0</v>
      </c>
      <c r="AA376" s="7">
        <f t="shared" si="52"/>
        <v>68757.210000000006</v>
      </c>
      <c r="AB376" s="7">
        <f t="shared" si="53"/>
        <v>100865.21</v>
      </c>
    </row>
    <row r="377" spans="1:28" x14ac:dyDescent="0.25">
      <c r="A377">
        <v>7033916019</v>
      </c>
      <c r="B377" t="s">
        <v>137</v>
      </c>
      <c r="C377" t="s">
        <v>138</v>
      </c>
      <c r="D377" t="str">
        <f>B377&amp;" "&amp;C377</f>
        <v>Jaquenetta Gorelli</v>
      </c>
      <c r="E377" t="s">
        <v>29</v>
      </c>
      <c r="F377">
        <v>57801</v>
      </c>
      <c r="G377">
        <f>COUNTIF(deals_closed!D:D,Calculations!A377)</f>
        <v>9</v>
      </c>
      <c r="H377" s="2">
        <f>SUMIF(deals_closed!D:D,Calculations!A377,deals_closed!C:C)</f>
        <v>277209</v>
      </c>
      <c r="I377" s="2">
        <f>VLOOKUP(E377,'2018_commission_structure'!$A$11:$I$14,9,FALSE)</f>
        <v>600000</v>
      </c>
      <c r="J377" s="2">
        <f t="shared" si="45"/>
        <v>750000</v>
      </c>
      <c r="K377" s="2">
        <f t="shared" si="46"/>
        <v>900000</v>
      </c>
      <c r="L377" s="2">
        <f t="shared" si="47"/>
        <v>1200000</v>
      </c>
      <c r="M377" s="6">
        <f t="shared" si="48"/>
        <v>0.46201500000000001</v>
      </c>
      <c r="N377" t="str">
        <f t="shared" si="49"/>
        <v>0-100%</v>
      </c>
      <c r="O377" s="7">
        <f>MIN(I377,H377)*INDEX('2018_commission_structure'!$A$11:$I$14,MATCH(Calculations!$E377,'2018_commission_structure'!$A$11:$A$14,0),MATCH(Calculations!O$1,'2018_commission_structure'!$A$11:$I$11,0))</f>
        <v>36037.17</v>
      </c>
      <c r="P377" s="7">
        <f>IF($H377&gt;I377,MIN($H377-I377,J377-I377)*INDEX('2018_commission_structure'!$A$11:$I$14,MATCH(Calculations!$E377,'2018_commission_structure'!$A$11:$A$14,0), MATCH(Calculations!P$1,'2018_commission_structure'!$A$11:$I$11,0)),0)</f>
        <v>0</v>
      </c>
      <c r="Q377" s="7">
        <f>IF($H377&gt;J377,MIN($H377-J377,K377-J377)*INDEX('2018_commission_structure'!$A$11:$I$14,MATCH(Calculations!$E377,'2018_commission_structure'!$A$11:$A$14,0), MATCH(Calculations!Q$1,'2018_commission_structure'!$A$11:$I$11,0)),0)</f>
        <v>0</v>
      </c>
      <c r="R377" s="7">
        <f>IF($H377&gt;K377,MIN($H377-K377,L377-K377)*INDEX('2018_commission_structure'!$A$11:$I$14,MATCH(Calculations!$E377,'2018_commission_structure'!$A$11:$A$14,0), MATCH(Calculations!R$1,'2018_commission_structure'!$A$11:$I$11,0)),0)</f>
        <v>0</v>
      </c>
      <c r="S377" s="7">
        <f>IF(H377&gt;L377,(H377-L377)*INDEX('2018_commission_structure'!$A$11:$I$14,MATCH(Calculations!$E377,'2018_commission_structure'!$A$11:$A$14,0),MATCH(Calculations!S$1,'2018_commission_structure'!$A$11:$I$11,0)),0)</f>
        <v>0</v>
      </c>
      <c r="T377" s="7">
        <f t="shared" si="50"/>
        <v>36037.17</v>
      </c>
      <c r="U377" s="7">
        <f t="shared" si="51"/>
        <v>93838.17</v>
      </c>
      <c r="V377" s="7">
        <f>MIN(H377,I377)*INDEX('2018_commission_structure'!$A$5:$J$8,MATCH(Calculations!$E377,'2018_commission_structure'!$A$5:$A$8,0),MATCH(Calculations!V$1,'2018_commission_structure'!$A$5:$J$5,0))</f>
        <v>41581.35</v>
      </c>
      <c r="W377" s="2">
        <f>IF($H377&gt;I377,MIN($H377-I377,J377-I377)*INDEX('2018_commission_structure'!$A$5:$J$8,MATCH(Calculations!$E377,'2018_commission_structure'!$A$5:$A$8,0),MATCH(Calculations!W$1,'2018_commission_structure'!$A$5:$J$5,0)),0)</f>
        <v>0</v>
      </c>
      <c r="X377" s="2">
        <f>IF($H377&gt;J377,MIN($H377-J377,K377-J377)*INDEX('2018_commission_structure'!$A$5:$J$8,MATCH(Calculations!$E377,'2018_commission_structure'!$A$5:$A$8,0),MATCH(Calculations!X$1,'2018_commission_structure'!$A$5:$J$5,0)),0)</f>
        <v>0</v>
      </c>
      <c r="Y377" s="2">
        <f>IF($H377&gt;K377,MIN($H377-K377,L377-K377)*INDEX('2018_commission_structure'!$A$5:$J$8,MATCH(Calculations!$E377,'2018_commission_structure'!$A$5:$A$8,0),MATCH(Calculations!Y$1,'2018_commission_structure'!$A$5:$J$5,0)),0)</f>
        <v>0</v>
      </c>
      <c r="Z377" s="2">
        <f xml:space="preserve"> IF(H377&gt;L377,(H377-L377)*INDEX('2018_commission_structure'!$A$11:$I$14,MATCH(Calculations!$E377,'2018_commission_structure'!$A$11:$A$14,0),MATCH(Calculations!Z$1,'2018_commission_structure'!$A$11:$I$11,0)),0)</f>
        <v>0</v>
      </c>
      <c r="AA377" s="7">
        <f t="shared" si="52"/>
        <v>41581.35</v>
      </c>
      <c r="AB377" s="7">
        <f t="shared" si="53"/>
        <v>99382.35</v>
      </c>
    </row>
    <row r="378" spans="1:28" x14ac:dyDescent="0.25">
      <c r="A378">
        <v>325547246</v>
      </c>
      <c r="B378" t="s">
        <v>272</v>
      </c>
      <c r="C378" t="s">
        <v>273</v>
      </c>
      <c r="D378" t="str">
        <f>B378&amp;" "&amp;C378</f>
        <v>Murdock Gorton</v>
      </c>
      <c r="E378" t="s">
        <v>10</v>
      </c>
      <c r="F378">
        <v>89591</v>
      </c>
      <c r="G378">
        <f>COUNTIF(deals_closed!D:D,Calculations!A378)</f>
        <v>25</v>
      </c>
      <c r="H378" s="2">
        <f>SUMIF(deals_closed!D:D,Calculations!A378,deals_closed!C:C)</f>
        <v>983343</v>
      </c>
      <c r="I378" s="2">
        <f>VLOOKUP(E378,'2018_commission_structure'!$A$11:$I$14,9,FALSE)</f>
        <v>750000</v>
      </c>
      <c r="J378" s="2">
        <f t="shared" si="45"/>
        <v>937500</v>
      </c>
      <c r="K378" s="2">
        <f t="shared" si="46"/>
        <v>1125000</v>
      </c>
      <c r="L378" s="2">
        <f t="shared" si="47"/>
        <v>1500000</v>
      </c>
      <c r="M378" s="6">
        <f t="shared" si="48"/>
        <v>1.311124</v>
      </c>
      <c r="N378" t="str">
        <f t="shared" si="49"/>
        <v>125-150%</v>
      </c>
      <c r="O378" s="7">
        <f>MIN(I378,H378)*INDEX('2018_commission_structure'!$A$11:$I$14,MATCH(Calculations!$E378,'2018_commission_structure'!$A$11:$A$14,0),MATCH(Calculations!O$1,'2018_commission_structure'!$A$11:$I$11,0))</f>
        <v>112500</v>
      </c>
      <c r="P378" s="7">
        <f>IF($H378&gt;I378,MIN($H378-I378,J378-I378)*INDEX('2018_commission_structure'!$A$11:$I$14,MATCH(Calculations!$E378,'2018_commission_structure'!$A$11:$A$14,0), MATCH(Calculations!P$1,'2018_commission_structure'!$A$11:$I$11,0)),0)</f>
        <v>35625</v>
      </c>
      <c r="Q378" s="7">
        <f>IF($H378&gt;J378,MIN($H378-J378,K378-J378)*INDEX('2018_commission_structure'!$A$11:$I$14,MATCH(Calculations!$E378,'2018_commission_structure'!$A$11:$A$14,0), MATCH(Calculations!Q$1,'2018_commission_structure'!$A$11:$I$11,0)),0)</f>
        <v>10543.890000000001</v>
      </c>
      <c r="R378" s="7">
        <f>IF($H378&gt;K378,MIN($H378-K378,L378-K378)*INDEX('2018_commission_structure'!$A$11:$I$14,MATCH(Calculations!$E378,'2018_commission_structure'!$A$11:$A$14,0), MATCH(Calculations!R$1,'2018_commission_structure'!$A$11:$I$11,0)),0)</f>
        <v>0</v>
      </c>
      <c r="S378" s="7">
        <f>IF(H378&gt;L378,(H378-L378)*INDEX('2018_commission_structure'!$A$11:$I$14,MATCH(Calculations!$E378,'2018_commission_structure'!$A$11:$A$14,0),MATCH(Calculations!S$1,'2018_commission_structure'!$A$11:$I$11,0)),0)</f>
        <v>0</v>
      </c>
      <c r="T378" s="7">
        <f t="shared" si="50"/>
        <v>158668.89000000001</v>
      </c>
      <c r="U378" s="7">
        <f t="shared" si="51"/>
        <v>248259.89</v>
      </c>
      <c r="V378" s="7">
        <f>MIN(H378,I378)*INDEX('2018_commission_structure'!$A$5:$J$8,MATCH(Calculations!$E378,'2018_commission_structure'!$A$5:$A$8,0),MATCH(Calculations!V$1,'2018_commission_structure'!$A$5:$J$5,0))</f>
        <v>112500</v>
      </c>
      <c r="W378" s="2">
        <f>IF($H378&gt;I378,MIN($H378-I378,J378-I378)*INDEX('2018_commission_structure'!$A$5:$J$8,MATCH(Calculations!$E378,'2018_commission_structure'!$A$5:$A$8,0),MATCH(Calculations!W$1,'2018_commission_structure'!$A$5:$J$5,0)),0)</f>
        <v>41250</v>
      </c>
      <c r="X378" s="2">
        <f>IF($H378&gt;J378,MIN($H378-J378,K378-J378)*INDEX('2018_commission_structure'!$A$5:$J$8,MATCH(Calculations!$E378,'2018_commission_structure'!$A$5:$A$8,0),MATCH(Calculations!X$1,'2018_commission_structure'!$A$5:$J$5,0)),0)</f>
        <v>11460.75</v>
      </c>
      <c r="Y378" s="2">
        <f>IF($H378&gt;K378,MIN($H378-K378,L378-K378)*INDEX('2018_commission_structure'!$A$5:$J$8,MATCH(Calculations!$E378,'2018_commission_structure'!$A$5:$A$8,0),MATCH(Calculations!Y$1,'2018_commission_structure'!$A$5:$J$5,0)),0)</f>
        <v>0</v>
      </c>
      <c r="Z378" s="2">
        <f xml:space="preserve"> IF(H378&gt;L378,(H378-L378)*INDEX('2018_commission_structure'!$A$11:$I$14,MATCH(Calculations!$E378,'2018_commission_structure'!$A$11:$A$14,0),MATCH(Calculations!Z$1,'2018_commission_structure'!$A$11:$I$11,0)),0)</f>
        <v>0</v>
      </c>
      <c r="AA378" s="7">
        <f t="shared" si="52"/>
        <v>165210.75</v>
      </c>
      <c r="AB378" s="7">
        <f t="shared" si="53"/>
        <v>254801.75</v>
      </c>
    </row>
    <row r="379" spans="1:28" x14ac:dyDescent="0.25">
      <c r="A379">
        <v>806065796</v>
      </c>
      <c r="B379" t="s">
        <v>999</v>
      </c>
      <c r="C379" t="s">
        <v>1000</v>
      </c>
      <c r="D379" t="str">
        <f>B379&amp;" "&amp;C379</f>
        <v>Verine Gouldstone</v>
      </c>
      <c r="E379" t="s">
        <v>10</v>
      </c>
      <c r="F379">
        <v>109896</v>
      </c>
      <c r="G379">
        <f>COUNTIF(deals_closed!D:D,Calculations!A379)</f>
        <v>17</v>
      </c>
      <c r="H379" s="2">
        <f>SUMIF(deals_closed!D:D,Calculations!A379,deals_closed!C:C)</f>
        <v>619591</v>
      </c>
      <c r="I379" s="2">
        <f>VLOOKUP(E379,'2018_commission_structure'!$A$11:$I$14,9,FALSE)</f>
        <v>750000</v>
      </c>
      <c r="J379" s="2">
        <f t="shared" si="45"/>
        <v>937500</v>
      </c>
      <c r="K379" s="2">
        <f t="shared" si="46"/>
        <v>1125000</v>
      </c>
      <c r="L379" s="2">
        <f t="shared" si="47"/>
        <v>1500000</v>
      </c>
      <c r="M379" s="6">
        <f t="shared" si="48"/>
        <v>0.82612133333333337</v>
      </c>
      <c r="N379" t="str">
        <f t="shared" si="49"/>
        <v>0-100%</v>
      </c>
      <c r="O379" s="7">
        <f>MIN(I379,H379)*INDEX('2018_commission_structure'!$A$11:$I$14,MATCH(Calculations!$E379,'2018_commission_structure'!$A$11:$A$14,0),MATCH(Calculations!O$1,'2018_commission_structure'!$A$11:$I$11,0))</f>
        <v>92938.65</v>
      </c>
      <c r="P379" s="7">
        <f>IF($H379&gt;I379,MIN($H379-I379,J379-I379)*INDEX('2018_commission_structure'!$A$11:$I$14,MATCH(Calculations!$E379,'2018_commission_structure'!$A$11:$A$14,0), MATCH(Calculations!P$1,'2018_commission_structure'!$A$11:$I$11,0)),0)</f>
        <v>0</v>
      </c>
      <c r="Q379" s="7">
        <f>IF($H379&gt;J379,MIN($H379-J379,K379-J379)*INDEX('2018_commission_structure'!$A$11:$I$14,MATCH(Calculations!$E379,'2018_commission_structure'!$A$11:$A$14,0), MATCH(Calculations!Q$1,'2018_commission_structure'!$A$11:$I$11,0)),0)</f>
        <v>0</v>
      </c>
      <c r="R379" s="7">
        <f>IF($H379&gt;K379,MIN($H379-K379,L379-K379)*INDEX('2018_commission_structure'!$A$11:$I$14,MATCH(Calculations!$E379,'2018_commission_structure'!$A$11:$A$14,0), MATCH(Calculations!R$1,'2018_commission_structure'!$A$11:$I$11,0)),0)</f>
        <v>0</v>
      </c>
      <c r="S379" s="7">
        <f>IF(H379&gt;L379,(H379-L379)*INDEX('2018_commission_structure'!$A$11:$I$14,MATCH(Calculations!$E379,'2018_commission_structure'!$A$11:$A$14,0),MATCH(Calculations!S$1,'2018_commission_structure'!$A$11:$I$11,0)),0)</f>
        <v>0</v>
      </c>
      <c r="T379" s="7">
        <f t="shared" si="50"/>
        <v>92938.65</v>
      </c>
      <c r="U379" s="7">
        <f t="shared" si="51"/>
        <v>202834.65</v>
      </c>
      <c r="V379" s="7">
        <f>MIN(H379,I379)*INDEX('2018_commission_structure'!$A$5:$J$8,MATCH(Calculations!$E379,'2018_commission_structure'!$A$5:$A$8,0),MATCH(Calculations!V$1,'2018_commission_structure'!$A$5:$J$5,0))</f>
        <v>92938.65</v>
      </c>
      <c r="W379" s="2">
        <f>IF($H379&gt;I379,MIN($H379-I379,J379-I379)*INDEX('2018_commission_structure'!$A$5:$J$8,MATCH(Calculations!$E379,'2018_commission_structure'!$A$5:$A$8,0),MATCH(Calculations!W$1,'2018_commission_structure'!$A$5:$J$5,0)),0)</f>
        <v>0</v>
      </c>
      <c r="X379" s="2">
        <f>IF($H379&gt;J379,MIN($H379-J379,K379-J379)*INDEX('2018_commission_structure'!$A$5:$J$8,MATCH(Calculations!$E379,'2018_commission_structure'!$A$5:$A$8,0),MATCH(Calculations!X$1,'2018_commission_structure'!$A$5:$J$5,0)),0)</f>
        <v>0</v>
      </c>
      <c r="Y379" s="2">
        <f>IF($H379&gt;K379,MIN($H379-K379,L379-K379)*INDEX('2018_commission_structure'!$A$5:$J$8,MATCH(Calculations!$E379,'2018_commission_structure'!$A$5:$A$8,0),MATCH(Calculations!Y$1,'2018_commission_structure'!$A$5:$J$5,0)),0)</f>
        <v>0</v>
      </c>
      <c r="Z379" s="2">
        <f xml:space="preserve"> IF(H379&gt;L379,(H379-L379)*INDEX('2018_commission_structure'!$A$11:$I$14,MATCH(Calculations!$E379,'2018_commission_structure'!$A$11:$A$14,0),MATCH(Calculations!Z$1,'2018_commission_structure'!$A$11:$I$11,0)),0)</f>
        <v>0</v>
      </c>
      <c r="AA379" s="7">
        <f t="shared" si="52"/>
        <v>92938.65</v>
      </c>
      <c r="AB379" s="7">
        <f t="shared" si="53"/>
        <v>202834.65</v>
      </c>
    </row>
    <row r="380" spans="1:28" x14ac:dyDescent="0.25">
      <c r="A380">
        <v>3000763902</v>
      </c>
      <c r="B380" t="s">
        <v>648</v>
      </c>
      <c r="C380" t="s">
        <v>649</v>
      </c>
      <c r="D380" t="str">
        <f>B380&amp;" "&amp;C380</f>
        <v>Elbertina Gounet</v>
      </c>
      <c r="E380" t="s">
        <v>10</v>
      </c>
      <c r="F380">
        <v>109550</v>
      </c>
      <c r="G380">
        <f>COUNTIF(deals_closed!D:D,Calculations!A380)</f>
        <v>26</v>
      </c>
      <c r="H380" s="2">
        <f>SUMIF(deals_closed!D:D,Calculations!A380,deals_closed!C:C)</f>
        <v>968439</v>
      </c>
      <c r="I380" s="2">
        <f>VLOOKUP(E380,'2018_commission_structure'!$A$11:$I$14,9,FALSE)</f>
        <v>750000</v>
      </c>
      <c r="J380" s="2">
        <f t="shared" si="45"/>
        <v>937500</v>
      </c>
      <c r="K380" s="2">
        <f t="shared" si="46"/>
        <v>1125000</v>
      </c>
      <c r="L380" s="2">
        <f t="shared" si="47"/>
        <v>1500000</v>
      </c>
      <c r="M380" s="6">
        <f t="shared" si="48"/>
        <v>1.2912520000000001</v>
      </c>
      <c r="N380" t="str">
        <f t="shared" si="49"/>
        <v>125-150%</v>
      </c>
      <c r="O380" s="7">
        <f>MIN(I380,H380)*INDEX('2018_commission_structure'!$A$11:$I$14,MATCH(Calculations!$E380,'2018_commission_structure'!$A$11:$A$14,0),MATCH(Calculations!O$1,'2018_commission_structure'!$A$11:$I$11,0))</f>
        <v>112500</v>
      </c>
      <c r="P380" s="7">
        <f>IF($H380&gt;I380,MIN($H380-I380,J380-I380)*INDEX('2018_commission_structure'!$A$11:$I$14,MATCH(Calculations!$E380,'2018_commission_structure'!$A$11:$A$14,0), MATCH(Calculations!P$1,'2018_commission_structure'!$A$11:$I$11,0)),0)</f>
        <v>35625</v>
      </c>
      <c r="Q380" s="7">
        <f>IF($H380&gt;J380,MIN($H380-J380,K380-J380)*INDEX('2018_commission_structure'!$A$11:$I$14,MATCH(Calculations!$E380,'2018_commission_structure'!$A$11:$A$14,0), MATCH(Calculations!Q$1,'2018_commission_structure'!$A$11:$I$11,0)),0)</f>
        <v>7115.97</v>
      </c>
      <c r="R380" s="7">
        <f>IF($H380&gt;K380,MIN($H380-K380,L380-K380)*INDEX('2018_commission_structure'!$A$11:$I$14,MATCH(Calculations!$E380,'2018_commission_structure'!$A$11:$A$14,0), MATCH(Calculations!R$1,'2018_commission_structure'!$A$11:$I$11,0)),0)</f>
        <v>0</v>
      </c>
      <c r="S380" s="7">
        <f>IF(H380&gt;L380,(H380-L380)*INDEX('2018_commission_structure'!$A$11:$I$14,MATCH(Calculations!$E380,'2018_commission_structure'!$A$11:$A$14,0),MATCH(Calculations!S$1,'2018_commission_structure'!$A$11:$I$11,0)),0)</f>
        <v>0</v>
      </c>
      <c r="T380" s="7">
        <f t="shared" si="50"/>
        <v>155240.97</v>
      </c>
      <c r="U380" s="7">
        <f t="shared" si="51"/>
        <v>264790.96999999997</v>
      </c>
      <c r="V380" s="7">
        <f>MIN(H380,I380)*INDEX('2018_commission_structure'!$A$5:$J$8,MATCH(Calculations!$E380,'2018_commission_structure'!$A$5:$A$8,0),MATCH(Calculations!V$1,'2018_commission_structure'!$A$5:$J$5,0))</f>
        <v>112500</v>
      </c>
      <c r="W380" s="2">
        <f>IF($H380&gt;I380,MIN($H380-I380,J380-I380)*INDEX('2018_commission_structure'!$A$5:$J$8,MATCH(Calculations!$E380,'2018_commission_structure'!$A$5:$A$8,0),MATCH(Calculations!W$1,'2018_commission_structure'!$A$5:$J$5,0)),0)</f>
        <v>41250</v>
      </c>
      <c r="X380" s="2">
        <f>IF($H380&gt;J380,MIN($H380-J380,K380-J380)*INDEX('2018_commission_structure'!$A$5:$J$8,MATCH(Calculations!$E380,'2018_commission_structure'!$A$5:$A$8,0),MATCH(Calculations!X$1,'2018_commission_structure'!$A$5:$J$5,0)),0)</f>
        <v>7734.75</v>
      </c>
      <c r="Y380" s="2">
        <f>IF($H380&gt;K380,MIN($H380-K380,L380-K380)*INDEX('2018_commission_structure'!$A$5:$J$8,MATCH(Calculations!$E380,'2018_commission_structure'!$A$5:$A$8,0),MATCH(Calculations!Y$1,'2018_commission_structure'!$A$5:$J$5,0)),0)</f>
        <v>0</v>
      </c>
      <c r="Z380" s="2">
        <f xml:space="preserve"> IF(H380&gt;L380,(H380-L380)*INDEX('2018_commission_structure'!$A$11:$I$14,MATCH(Calculations!$E380,'2018_commission_structure'!$A$11:$A$14,0),MATCH(Calculations!Z$1,'2018_commission_structure'!$A$11:$I$11,0)),0)</f>
        <v>0</v>
      </c>
      <c r="AA380" s="7">
        <f t="shared" si="52"/>
        <v>161484.75</v>
      </c>
      <c r="AB380" s="7">
        <f t="shared" si="53"/>
        <v>271034.75</v>
      </c>
    </row>
    <row r="381" spans="1:28" x14ac:dyDescent="0.25">
      <c r="A381">
        <v>3040116061</v>
      </c>
      <c r="B381" t="s">
        <v>1205</v>
      </c>
      <c r="C381" t="s">
        <v>1206</v>
      </c>
      <c r="D381" t="str">
        <f>B381&amp;" "&amp;C381</f>
        <v>Antonina Grammer</v>
      </c>
      <c r="E381" t="s">
        <v>29</v>
      </c>
      <c r="F381">
        <v>65836</v>
      </c>
      <c r="G381">
        <f>COUNTIF(deals_closed!D:D,Calculations!A381)</f>
        <v>21</v>
      </c>
      <c r="H381" s="2">
        <f>SUMIF(deals_closed!D:D,Calculations!A381,deals_closed!C:C)</f>
        <v>762478</v>
      </c>
      <c r="I381" s="2">
        <f>VLOOKUP(E381,'2018_commission_structure'!$A$11:$I$14,9,FALSE)</f>
        <v>600000</v>
      </c>
      <c r="J381" s="2">
        <f t="shared" si="45"/>
        <v>750000</v>
      </c>
      <c r="K381" s="2">
        <f t="shared" si="46"/>
        <v>900000</v>
      </c>
      <c r="L381" s="2">
        <f t="shared" si="47"/>
        <v>1200000</v>
      </c>
      <c r="M381" s="6">
        <f t="shared" si="48"/>
        <v>1.2707966666666666</v>
      </c>
      <c r="N381" t="str">
        <f t="shared" si="49"/>
        <v>125-150%</v>
      </c>
      <c r="O381" s="7">
        <f>MIN(I381,H381)*INDEX('2018_commission_structure'!$A$11:$I$14,MATCH(Calculations!$E381,'2018_commission_structure'!$A$11:$A$14,0),MATCH(Calculations!O$1,'2018_commission_structure'!$A$11:$I$11,0))</f>
        <v>78000</v>
      </c>
      <c r="P381" s="7">
        <f>IF($H381&gt;I381,MIN($H381-I381,J381-I381)*INDEX('2018_commission_structure'!$A$11:$I$14,MATCH(Calculations!$E381,'2018_commission_structure'!$A$11:$A$14,0), MATCH(Calculations!P$1,'2018_commission_structure'!$A$11:$I$11,0)),0)</f>
        <v>25500.000000000004</v>
      </c>
      <c r="Q381" s="7">
        <f>IF($H381&gt;J381,MIN($H381-J381,K381-J381)*INDEX('2018_commission_structure'!$A$11:$I$14,MATCH(Calculations!$E381,'2018_commission_structure'!$A$11:$A$14,0), MATCH(Calculations!Q$1,'2018_commission_structure'!$A$11:$I$11,0)),0)</f>
        <v>2620.38</v>
      </c>
      <c r="R381" s="7">
        <f>IF($H381&gt;K381,MIN($H381-K381,L381-K381)*INDEX('2018_commission_structure'!$A$11:$I$14,MATCH(Calculations!$E381,'2018_commission_structure'!$A$11:$A$14,0), MATCH(Calculations!R$1,'2018_commission_structure'!$A$11:$I$11,0)),0)</f>
        <v>0</v>
      </c>
      <c r="S381" s="7">
        <f>IF(H381&gt;L381,(H381-L381)*INDEX('2018_commission_structure'!$A$11:$I$14,MATCH(Calculations!$E381,'2018_commission_structure'!$A$11:$A$14,0),MATCH(Calculations!S$1,'2018_commission_structure'!$A$11:$I$11,0)),0)</f>
        <v>0</v>
      </c>
      <c r="T381" s="7">
        <f t="shared" si="50"/>
        <v>106120.38</v>
      </c>
      <c r="U381" s="7">
        <f t="shared" si="51"/>
        <v>171956.38</v>
      </c>
      <c r="V381" s="7">
        <f>MIN(H381,I381)*INDEX('2018_commission_structure'!$A$5:$J$8,MATCH(Calculations!$E381,'2018_commission_structure'!$A$5:$A$8,0),MATCH(Calculations!V$1,'2018_commission_structure'!$A$5:$J$5,0))</f>
        <v>90000</v>
      </c>
      <c r="W381" s="2">
        <f>IF($H381&gt;I381,MIN($H381-I381,J381-I381)*INDEX('2018_commission_structure'!$A$5:$J$8,MATCH(Calculations!$E381,'2018_commission_structure'!$A$5:$A$8,0),MATCH(Calculations!W$1,'2018_commission_structure'!$A$5:$J$5,0)),0)</f>
        <v>27000</v>
      </c>
      <c r="X381" s="2">
        <f>IF($H381&gt;J381,MIN($H381-J381,K381-J381)*INDEX('2018_commission_structure'!$A$5:$J$8,MATCH(Calculations!$E381,'2018_commission_structure'!$A$5:$A$8,0),MATCH(Calculations!X$1,'2018_commission_structure'!$A$5:$J$5,0)),0)</f>
        <v>3119.5</v>
      </c>
      <c r="Y381" s="2">
        <f>IF($H381&gt;K381,MIN($H381-K381,L381-K381)*INDEX('2018_commission_structure'!$A$5:$J$8,MATCH(Calculations!$E381,'2018_commission_structure'!$A$5:$A$8,0),MATCH(Calculations!Y$1,'2018_commission_structure'!$A$5:$J$5,0)),0)</f>
        <v>0</v>
      </c>
      <c r="Z381" s="2">
        <f xml:space="preserve"> IF(H381&gt;L381,(H381-L381)*INDEX('2018_commission_structure'!$A$11:$I$14,MATCH(Calculations!$E381,'2018_commission_structure'!$A$11:$A$14,0),MATCH(Calculations!Z$1,'2018_commission_structure'!$A$11:$I$11,0)),0)</f>
        <v>0</v>
      </c>
      <c r="AA381" s="7">
        <f t="shared" si="52"/>
        <v>120119.5</v>
      </c>
      <c r="AB381" s="7">
        <f t="shared" si="53"/>
        <v>185955.5</v>
      </c>
    </row>
    <row r="382" spans="1:28" x14ac:dyDescent="0.25">
      <c r="A382">
        <v>8682006391</v>
      </c>
      <c r="B382" t="s">
        <v>492</v>
      </c>
      <c r="C382" t="s">
        <v>493</v>
      </c>
      <c r="D382" t="str">
        <f>B382&amp;" "&amp;C382</f>
        <v>Nicola Granleese</v>
      </c>
      <c r="E382" t="s">
        <v>29</v>
      </c>
      <c r="F382">
        <v>63897</v>
      </c>
      <c r="G382">
        <f>COUNTIF(deals_closed!D:D,Calculations!A382)</f>
        <v>19</v>
      </c>
      <c r="H382" s="2">
        <f>SUMIF(deals_closed!D:D,Calculations!A382,deals_closed!C:C)</f>
        <v>746728</v>
      </c>
      <c r="I382" s="2">
        <f>VLOOKUP(E382,'2018_commission_structure'!$A$11:$I$14,9,FALSE)</f>
        <v>600000</v>
      </c>
      <c r="J382" s="2">
        <f t="shared" si="45"/>
        <v>750000</v>
      </c>
      <c r="K382" s="2">
        <f t="shared" si="46"/>
        <v>900000</v>
      </c>
      <c r="L382" s="2">
        <f t="shared" si="47"/>
        <v>1200000</v>
      </c>
      <c r="M382" s="6">
        <f t="shared" si="48"/>
        <v>1.2445466666666667</v>
      </c>
      <c r="N382" t="str">
        <f t="shared" si="49"/>
        <v>100-125%</v>
      </c>
      <c r="O382" s="7">
        <f>MIN(I382,H382)*INDEX('2018_commission_structure'!$A$11:$I$14,MATCH(Calculations!$E382,'2018_commission_structure'!$A$11:$A$14,0),MATCH(Calculations!O$1,'2018_commission_structure'!$A$11:$I$11,0))</f>
        <v>78000</v>
      </c>
      <c r="P382" s="7">
        <f>IF($H382&gt;I382,MIN($H382-I382,J382-I382)*INDEX('2018_commission_structure'!$A$11:$I$14,MATCH(Calculations!$E382,'2018_commission_structure'!$A$11:$A$14,0), MATCH(Calculations!P$1,'2018_commission_structure'!$A$11:$I$11,0)),0)</f>
        <v>24943.760000000002</v>
      </c>
      <c r="Q382" s="7">
        <f>IF($H382&gt;J382,MIN($H382-J382,K382-J382)*INDEX('2018_commission_structure'!$A$11:$I$14,MATCH(Calculations!$E382,'2018_commission_structure'!$A$11:$A$14,0), MATCH(Calculations!Q$1,'2018_commission_structure'!$A$11:$I$11,0)),0)</f>
        <v>0</v>
      </c>
      <c r="R382" s="7">
        <f>IF($H382&gt;K382,MIN($H382-K382,L382-K382)*INDEX('2018_commission_structure'!$A$11:$I$14,MATCH(Calculations!$E382,'2018_commission_structure'!$A$11:$A$14,0), MATCH(Calculations!R$1,'2018_commission_structure'!$A$11:$I$11,0)),0)</f>
        <v>0</v>
      </c>
      <c r="S382" s="7">
        <f>IF(H382&gt;L382,(H382-L382)*INDEX('2018_commission_structure'!$A$11:$I$14,MATCH(Calculations!$E382,'2018_commission_structure'!$A$11:$A$14,0),MATCH(Calculations!S$1,'2018_commission_structure'!$A$11:$I$11,0)),0)</f>
        <v>0</v>
      </c>
      <c r="T382" s="7">
        <f t="shared" si="50"/>
        <v>102943.76000000001</v>
      </c>
      <c r="U382" s="7">
        <f t="shared" si="51"/>
        <v>166840.76</v>
      </c>
      <c r="V382" s="7">
        <f>MIN(H382,I382)*INDEX('2018_commission_structure'!$A$5:$J$8,MATCH(Calculations!$E382,'2018_commission_structure'!$A$5:$A$8,0),MATCH(Calculations!V$1,'2018_commission_structure'!$A$5:$J$5,0))</f>
        <v>90000</v>
      </c>
      <c r="W382" s="2">
        <f>IF($H382&gt;I382,MIN($H382-I382,J382-I382)*INDEX('2018_commission_structure'!$A$5:$J$8,MATCH(Calculations!$E382,'2018_commission_structure'!$A$5:$A$8,0),MATCH(Calculations!W$1,'2018_commission_structure'!$A$5:$J$5,0)),0)</f>
        <v>26411.039999999997</v>
      </c>
      <c r="X382" s="2">
        <f>IF($H382&gt;J382,MIN($H382-J382,K382-J382)*INDEX('2018_commission_structure'!$A$5:$J$8,MATCH(Calculations!$E382,'2018_commission_structure'!$A$5:$A$8,0),MATCH(Calculations!X$1,'2018_commission_structure'!$A$5:$J$5,0)),0)</f>
        <v>0</v>
      </c>
      <c r="Y382" s="2">
        <f>IF($H382&gt;K382,MIN($H382-K382,L382-K382)*INDEX('2018_commission_structure'!$A$5:$J$8,MATCH(Calculations!$E382,'2018_commission_structure'!$A$5:$A$8,0),MATCH(Calculations!Y$1,'2018_commission_structure'!$A$5:$J$5,0)),0)</f>
        <v>0</v>
      </c>
      <c r="Z382" s="2">
        <f xml:space="preserve"> IF(H382&gt;L382,(H382-L382)*INDEX('2018_commission_structure'!$A$11:$I$14,MATCH(Calculations!$E382,'2018_commission_structure'!$A$11:$A$14,0),MATCH(Calculations!Z$1,'2018_commission_structure'!$A$11:$I$11,0)),0)</f>
        <v>0</v>
      </c>
      <c r="AA382" s="7">
        <f t="shared" si="52"/>
        <v>116411.04</v>
      </c>
      <c r="AB382" s="7">
        <f t="shared" si="53"/>
        <v>180308.03999999998</v>
      </c>
    </row>
    <row r="383" spans="1:28" x14ac:dyDescent="0.25">
      <c r="A383">
        <v>2497321256</v>
      </c>
      <c r="B383" t="s">
        <v>613</v>
      </c>
      <c r="C383" t="s">
        <v>614</v>
      </c>
      <c r="D383" t="str">
        <f>B383&amp;" "&amp;C383</f>
        <v>Brandi Gratton</v>
      </c>
      <c r="E383" t="s">
        <v>10</v>
      </c>
      <c r="F383">
        <v>95857</v>
      </c>
      <c r="G383">
        <f>COUNTIF(deals_closed!D:D,Calculations!A383)</f>
        <v>28</v>
      </c>
      <c r="H383" s="2">
        <f>SUMIF(deals_closed!D:D,Calculations!A383,deals_closed!C:C)</f>
        <v>1074426</v>
      </c>
      <c r="I383" s="2">
        <f>VLOOKUP(E383,'2018_commission_structure'!$A$11:$I$14,9,FALSE)</f>
        <v>750000</v>
      </c>
      <c r="J383" s="2">
        <f t="shared" si="45"/>
        <v>937500</v>
      </c>
      <c r="K383" s="2">
        <f t="shared" si="46"/>
        <v>1125000</v>
      </c>
      <c r="L383" s="2">
        <f t="shared" si="47"/>
        <v>1500000</v>
      </c>
      <c r="M383" s="6">
        <f t="shared" si="48"/>
        <v>1.4325680000000001</v>
      </c>
      <c r="N383" t="str">
        <f t="shared" si="49"/>
        <v>125-150%</v>
      </c>
      <c r="O383" s="7">
        <f>MIN(I383,H383)*INDEX('2018_commission_structure'!$A$11:$I$14,MATCH(Calculations!$E383,'2018_commission_structure'!$A$11:$A$14,0),MATCH(Calculations!O$1,'2018_commission_structure'!$A$11:$I$11,0))</f>
        <v>112500</v>
      </c>
      <c r="P383" s="7">
        <f>IF($H383&gt;I383,MIN($H383-I383,J383-I383)*INDEX('2018_commission_structure'!$A$11:$I$14,MATCH(Calculations!$E383,'2018_commission_structure'!$A$11:$A$14,0), MATCH(Calculations!P$1,'2018_commission_structure'!$A$11:$I$11,0)),0)</f>
        <v>35625</v>
      </c>
      <c r="Q383" s="7">
        <f>IF($H383&gt;J383,MIN($H383-J383,K383-J383)*INDEX('2018_commission_structure'!$A$11:$I$14,MATCH(Calculations!$E383,'2018_commission_structure'!$A$11:$A$14,0), MATCH(Calculations!Q$1,'2018_commission_structure'!$A$11:$I$11,0)),0)</f>
        <v>31492.98</v>
      </c>
      <c r="R383" s="7">
        <f>IF($H383&gt;K383,MIN($H383-K383,L383-K383)*INDEX('2018_commission_structure'!$A$11:$I$14,MATCH(Calculations!$E383,'2018_commission_structure'!$A$11:$A$14,0), MATCH(Calculations!R$1,'2018_commission_structure'!$A$11:$I$11,0)),0)</f>
        <v>0</v>
      </c>
      <c r="S383" s="7">
        <f>IF(H383&gt;L383,(H383-L383)*INDEX('2018_commission_structure'!$A$11:$I$14,MATCH(Calculations!$E383,'2018_commission_structure'!$A$11:$A$14,0),MATCH(Calculations!S$1,'2018_commission_structure'!$A$11:$I$11,0)),0)</f>
        <v>0</v>
      </c>
      <c r="T383" s="7">
        <f t="shared" si="50"/>
        <v>179617.98</v>
      </c>
      <c r="U383" s="7">
        <f t="shared" si="51"/>
        <v>275474.98</v>
      </c>
      <c r="V383" s="7">
        <f>MIN(H383,I383)*INDEX('2018_commission_structure'!$A$5:$J$8,MATCH(Calculations!$E383,'2018_commission_structure'!$A$5:$A$8,0),MATCH(Calculations!V$1,'2018_commission_structure'!$A$5:$J$5,0))</f>
        <v>112500</v>
      </c>
      <c r="W383" s="2">
        <f>IF($H383&gt;I383,MIN($H383-I383,J383-I383)*INDEX('2018_commission_structure'!$A$5:$J$8,MATCH(Calculations!$E383,'2018_commission_structure'!$A$5:$A$8,0),MATCH(Calculations!W$1,'2018_commission_structure'!$A$5:$J$5,0)),0)</f>
        <v>41250</v>
      </c>
      <c r="X383" s="2">
        <f>IF($H383&gt;J383,MIN($H383-J383,K383-J383)*INDEX('2018_commission_structure'!$A$5:$J$8,MATCH(Calculations!$E383,'2018_commission_structure'!$A$5:$A$8,0),MATCH(Calculations!X$1,'2018_commission_structure'!$A$5:$J$5,0)),0)</f>
        <v>34231.5</v>
      </c>
      <c r="Y383" s="2">
        <f>IF($H383&gt;K383,MIN($H383-K383,L383-K383)*INDEX('2018_commission_structure'!$A$5:$J$8,MATCH(Calculations!$E383,'2018_commission_structure'!$A$5:$A$8,0),MATCH(Calculations!Y$1,'2018_commission_structure'!$A$5:$J$5,0)),0)</f>
        <v>0</v>
      </c>
      <c r="Z383" s="2">
        <f xml:space="preserve"> IF(H383&gt;L383,(H383-L383)*INDEX('2018_commission_structure'!$A$11:$I$14,MATCH(Calculations!$E383,'2018_commission_structure'!$A$11:$A$14,0),MATCH(Calculations!Z$1,'2018_commission_structure'!$A$11:$I$11,0)),0)</f>
        <v>0</v>
      </c>
      <c r="AA383" s="7">
        <f t="shared" si="52"/>
        <v>187981.5</v>
      </c>
      <c r="AB383" s="7">
        <f t="shared" si="53"/>
        <v>283838.5</v>
      </c>
    </row>
    <row r="384" spans="1:28" x14ac:dyDescent="0.25">
      <c r="A384">
        <v>9885165231</v>
      </c>
      <c r="B384" t="s">
        <v>856</v>
      </c>
      <c r="C384" t="s">
        <v>857</v>
      </c>
      <c r="D384" t="str">
        <f>B384&amp;" "&amp;C384</f>
        <v>Andros Graveson</v>
      </c>
      <c r="E384" t="s">
        <v>10</v>
      </c>
      <c r="F384">
        <v>113819</v>
      </c>
      <c r="G384">
        <f>COUNTIF(deals_closed!D:D,Calculations!A384)</f>
        <v>26</v>
      </c>
      <c r="H384" s="2">
        <f>SUMIF(deals_closed!D:D,Calculations!A384,deals_closed!C:C)</f>
        <v>865380</v>
      </c>
      <c r="I384" s="2">
        <f>VLOOKUP(E384,'2018_commission_structure'!$A$11:$I$14,9,FALSE)</f>
        <v>750000</v>
      </c>
      <c r="J384" s="2">
        <f t="shared" si="45"/>
        <v>937500</v>
      </c>
      <c r="K384" s="2">
        <f t="shared" si="46"/>
        <v>1125000</v>
      </c>
      <c r="L384" s="2">
        <f t="shared" si="47"/>
        <v>1500000</v>
      </c>
      <c r="M384" s="6">
        <f t="shared" si="48"/>
        <v>1.15384</v>
      </c>
      <c r="N384" t="str">
        <f t="shared" si="49"/>
        <v>100-125%</v>
      </c>
      <c r="O384" s="7">
        <f>MIN(I384,H384)*INDEX('2018_commission_structure'!$A$11:$I$14,MATCH(Calculations!$E384,'2018_commission_structure'!$A$11:$A$14,0),MATCH(Calculations!O$1,'2018_commission_structure'!$A$11:$I$11,0))</f>
        <v>112500</v>
      </c>
      <c r="P384" s="7">
        <f>IF($H384&gt;I384,MIN($H384-I384,J384-I384)*INDEX('2018_commission_structure'!$A$11:$I$14,MATCH(Calculations!$E384,'2018_commission_structure'!$A$11:$A$14,0), MATCH(Calculations!P$1,'2018_commission_structure'!$A$11:$I$11,0)),0)</f>
        <v>21922.2</v>
      </c>
      <c r="Q384" s="7">
        <f>IF($H384&gt;J384,MIN($H384-J384,K384-J384)*INDEX('2018_commission_structure'!$A$11:$I$14,MATCH(Calculations!$E384,'2018_commission_structure'!$A$11:$A$14,0), MATCH(Calculations!Q$1,'2018_commission_structure'!$A$11:$I$11,0)),0)</f>
        <v>0</v>
      </c>
      <c r="R384" s="7">
        <f>IF($H384&gt;K384,MIN($H384-K384,L384-K384)*INDEX('2018_commission_structure'!$A$11:$I$14,MATCH(Calculations!$E384,'2018_commission_structure'!$A$11:$A$14,0), MATCH(Calculations!R$1,'2018_commission_structure'!$A$11:$I$11,0)),0)</f>
        <v>0</v>
      </c>
      <c r="S384" s="7">
        <f>IF(H384&gt;L384,(H384-L384)*INDEX('2018_commission_structure'!$A$11:$I$14,MATCH(Calculations!$E384,'2018_commission_structure'!$A$11:$A$14,0),MATCH(Calculations!S$1,'2018_commission_structure'!$A$11:$I$11,0)),0)</f>
        <v>0</v>
      </c>
      <c r="T384" s="7">
        <f t="shared" si="50"/>
        <v>134422.20000000001</v>
      </c>
      <c r="U384" s="7">
        <f t="shared" si="51"/>
        <v>248241.2</v>
      </c>
      <c r="V384" s="7">
        <f>MIN(H384,I384)*INDEX('2018_commission_structure'!$A$5:$J$8,MATCH(Calculations!$E384,'2018_commission_structure'!$A$5:$A$8,0),MATCH(Calculations!V$1,'2018_commission_structure'!$A$5:$J$5,0))</f>
        <v>112500</v>
      </c>
      <c r="W384" s="2">
        <f>IF($H384&gt;I384,MIN($H384-I384,J384-I384)*INDEX('2018_commission_structure'!$A$5:$J$8,MATCH(Calculations!$E384,'2018_commission_structure'!$A$5:$A$8,0),MATCH(Calculations!W$1,'2018_commission_structure'!$A$5:$J$5,0)),0)</f>
        <v>25383.599999999999</v>
      </c>
      <c r="X384" s="2">
        <f>IF($H384&gt;J384,MIN($H384-J384,K384-J384)*INDEX('2018_commission_structure'!$A$5:$J$8,MATCH(Calculations!$E384,'2018_commission_structure'!$A$5:$A$8,0),MATCH(Calculations!X$1,'2018_commission_structure'!$A$5:$J$5,0)),0)</f>
        <v>0</v>
      </c>
      <c r="Y384" s="2">
        <f>IF($H384&gt;K384,MIN($H384-K384,L384-K384)*INDEX('2018_commission_structure'!$A$5:$J$8,MATCH(Calculations!$E384,'2018_commission_structure'!$A$5:$A$8,0),MATCH(Calculations!Y$1,'2018_commission_structure'!$A$5:$J$5,0)),0)</f>
        <v>0</v>
      </c>
      <c r="Z384" s="2">
        <f xml:space="preserve"> IF(H384&gt;L384,(H384-L384)*INDEX('2018_commission_structure'!$A$11:$I$14,MATCH(Calculations!$E384,'2018_commission_structure'!$A$11:$A$14,0),MATCH(Calculations!Z$1,'2018_commission_structure'!$A$11:$I$11,0)),0)</f>
        <v>0</v>
      </c>
      <c r="AA384" s="7">
        <f t="shared" si="52"/>
        <v>137883.6</v>
      </c>
      <c r="AB384" s="7">
        <f t="shared" si="53"/>
        <v>251702.6</v>
      </c>
    </row>
    <row r="385" spans="1:28" x14ac:dyDescent="0.25">
      <c r="A385">
        <v>7775126329</v>
      </c>
      <c r="B385" t="s">
        <v>592</v>
      </c>
      <c r="C385" t="s">
        <v>593</v>
      </c>
      <c r="D385" t="str">
        <f>B385&amp;" "&amp;C385</f>
        <v>Peggie Grayland</v>
      </c>
      <c r="E385" t="s">
        <v>7</v>
      </c>
      <c r="F385">
        <v>30158</v>
      </c>
      <c r="G385">
        <f>COUNTIF(deals_closed!D:D,Calculations!A385)</f>
        <v>17</v>
      </c>
      <c r="H385" s="2">
        <f>SUMIF(deals_closed!D:D,Calculations!A385,deals_closed!C:C)</f>
        <v>544437</v>
      </c>
      <c r="I385" s="2">
        <f>VLOOKUP(E385,'2018_commission_structure'!$A$11:$I$14,9,FALSE)</f>
        <v>500000</v>
      </c>
      <c r="J385" s="2">
        <f t="shared" si="45"/>
        <v>625000</v>
      </c>
      <c r="K385" s="2">
        <f t="shared" si="46"/>
        <v>750000</v>
      </c>
      <c r="L385" s="2">
        <f t="shared" si="47"/>
        <v>1000000</v>
      </c>
      <c r="M385" s="6">
        <f t="shared" si="48"/>
        <v>1.0888739999999999</v>
      </c>
      <c r="N385" t="str">
        <f t="shared" si="49"/>
        <v>100-125%</v>
      </c>
      <c r="O385" s="7">
        <f>MIN(I385,H385)*INDEX('2018_commission_structure'!$A$11:$I$14,MATCH(Calculations!$E385,'2018_commission_structure'!$A$11:$A$14,0),MATCH(Calculations!O$1,'2018_commission_structure'!$A$11:$I$11,0))</f>
        <v>50000</v>
      </c>
      <c r="P385" s="7">
        <f>IF($H385&gt;I385,MIN($H385-I385,J385-I385)*INDEX('2018_commission_structure'!$A$11:$I$14,MATCH(Calculations!$E385,'2018_commission_structure'!$A$11:$A$14,0), MATCH(Calculations!P$1,'2018_commission_structure'!$A$11:$I$11,0)),0)</f>
        <v>6665.55</v>
      </c>
      <c r="Q385" s="7">
        <f>IF($H385&gt;J385,MIN($H385-J385,K385-J385)*INDEX('2018_commission_structure'!$A$11:$I$14,MATCH(Calculations!$E385,'2018_commission_structure'!$A$11:$A$14,0), MATCH(Calculations!Q$1,'2018_commission_structure'!$A$11:$I$11,0)),0)</f>
        <v>0</v>
      </c>
      <c r="R385" s="7">
        <f>IF($H385&gt;K385,MIN($H385-K385,L385-K385)*INDEX('2018_commission_structure'!$A$11:$I$14,MATCH(Calculations!$E385,'2018_commission_structure'!$A$11:$A$14,0), MATCH(Calculations!R$1,'2018_commission_structure'!$A$11:$I$11,0)),0)</f>
        <v>0</v>
      </c>
      <c r="S385" s="7">
        <f>IF(H385&gt;L385,(H385-L385)*INDEX('2018_commission_structure'!$A$11:$I$14,MATCH(Calculations!$E385,'2018_commission_structure'!$A$11:$A$14,0),MATCH(Calculations!S$1,'2018_commission_structure'!$A$11:$I$11,0)),0)</f>
        <v>0</v>
      </c>
      <c r="T385" s="7">
        <f t="shared" si="50"/>
        <v>56665.55</v>
      </c>
      <c r="U385" s="7">
        <f t="shared" si="51"/>
        <v>86823.55</v>
      </c>
      <c r="V385" s="7">
        <f>MIN(H385,I385)*INDEX('2018_commission_structure'!$A$5:$J$8,MATCH(Calculations!$E385,'2018_commission_structure'!$A$5:$A$8,0),MATCH(Calculations!V$1,'2018_commission_structure'!$A$5:$J$5,0))</f>
        <v>60000</v>
      </c>
      <c r="W385" s="2">
        <f>IF($H385&gt;I385,MIN($H385-I385,J385-I385)*INDEX('2018_commission_structure'!$A$5:$J$8,MATCH(Calculations!$E385,'2018_commission_structure'!$A$5:$A$8,0),MATCH(Calculations!W$1,'2018_commission_structure'!$A$5:$J$5,0)),0)</f>
        <v>7554.2900000000009</v>
      </c>
      <c r="X385" s="2">
        <f>IF($H385&gt;J385,MIN($H385-J385,K385-J385)*INDEX('2018_commission_structure'!$A$5:$J$8,MATCH(Calculations!$E385,'2018_commission_structure'!$A$5:$A$8,0),MATCH(Calculations!X$1,'2018_commission_structure'!$A$5:$J$5,0)),0)</f>
        <v>0</v>
      </c>
      <c r="Y385" s="2">
        <f>IF($H385&gt;K385,MIN($H385-K385,L385-K385)*INDEX('2018_commission_structure'!$A$5:$J$8,MATCH(Calculations!$E385,'2018_commission_structure'!$A$5:$A$8,0),MATCH(Calculations!Y$1,'2018_commission_structure'!$A$5:$J$5,0)),0)</f>
        <v>0</v>
      </c>
      <c r="Z385" s="2">
        <f xml:space="preserve"> IF(H385&gt;L385,(H385-L385)*INDEX('2018_commission_structure'!$A$11:$I$14,MATCH(Calculations!$E385,'2018_commission_structure'!$A$11:$A$14,0),MATCH(Calculations!Z$1,'2018_commission_structure'!$A$11:$I$11,0)),0)</f>
        <v>0</v>
      </c>
      <c r="AA385" s="7">
        <f t="shared" si="52"/>
        <v>67554.290000000008</v>
      </c>
      <c r="AB385" s="7">
        <f t="shared" si="53"/>
        <v>97712.290000000008</v>
      </c>
    </row>
    <row r="386" spans="1:28" x14ac:dyDescent="0.25">
      <c r="A386">
        <v>7516977292</v>
      </c>
      <c r="B386" t="s">
        <v>710</v>
      </c>
      <c r="C386" t="s">
        <v>711</v>
      </c>
      <c r="D386" t="str">
        <f>B386&amp;" "&amp;C386</f>
        <v>Geoff Greenmon</v>
      </c>
      <c r="E386" t="s">
        <v>10</v>
      </c>
      <c r="F386">
        <v>89295</v>
      </c>
      <c r="G386">
        <f>COUNTIF(deals_closed!D:D,Calculations!A386)</f>
        <v>18</v>
      </c>
      <c r="H386" s="2">
        <f>SUMIF(deals_closed!D:D,Calculations!A386,deals_closed!C:C)</f>
        <v>669220</v>
      </c>
      <c r="I386" s="2">
        <f>VLOOKUP(E386,'2018_commission_structure'!$A$11:$I$14,9,FALSE)</f>
        <v>750000</v>
      </c>
      <c r="J386" s="2">
        <f t="shared" ref="J386:J449" si="54">I386*1.25</f>
        <v>937500</v>
      </c>
      <c r="K386" s="2">
        <f t="shared" ref="K386:K449" si="55">I386*1.5</f>
        <v>1125000</v>
      </c>
      <c r="L386" s="2">
        <f t="shared" ref="L386:L449" si="56">I386*2</f>
        <v>1500000</v>
      </c>
      <c r="M386" s="6">
        <f t="shared" ref="M386:M449" si="57">H386/I386</f>
        <v>0.89229333333333338</v>
      </c>
      <c r="N386" t="str">
        <f t="shared" ref="N386:N449" si="58">IF(M386&lt;=1, "0-100%", IF(M386&lt;=1.25, "100-125%", IF(M386&lt;=1.5, "125-150%", IF(M386&lt;=2, "150-200%", "&gt;200%"))))</f>
        <v>0-100%</v>
      </c>
      <c r="O386" s="7">
        <f>MIN(I386,H386)*INDEX('2018_commission_structure'!$A$11:$I$14,MATCH(Calculations!$E386,'2018_commission_structure'!$A$11:$A$14,0),MATCH(Calculations!O$1,'2018_commission_structure'!$A$11:$I$11,0))</f>
        <v>100383</v>
      </c>
      <c r="P386" s="7">
        <f>IF($H386&gt;I386,MIN($H386-I386,J386-I386)*INDEX('2018_commission_structure'!$A$11:$I$14,MATCH(Calculations!$E386,'2018_commission_structure'!$A$11:$A$14,0), MATCH(Calculations!P$1,'2018_commission_structure'!$A$11:$I$11,0)),0)</f>
        <v>0</v>
      </c>
      <c r="Q386" s="7">
        <f>IF($H386&gt;J386,MIN($H386-J386,K386-J386)*INDEX('2018_commission_structure'!$A$11:$I$14,MATCH(Calculations!$E386,'2018_commission_structure'!$A$11:$A$14,0), MATCH(Calculations!Q$1,'2018_commission_structure'!$A$11:$I$11,0)),0)</f>
        <v>0</v>
      </c>
      <c r="R386" s="7">
        <f>IF($H386&gt;K386,MIN($H386-K386,L386-K386)*INDEX('2018_commission_structure'!$A$11:$I$14,MATCH(Calculations!$E386,'2018_commission_structure'!$A$11:$A$14,0), MATCH(Calculations!R$1,'2018_commission_structure'!$A$11:$I$11,0)),0)</f>
        <v>0</v>
      </c>
      <c r="S386" s="7">
        <f>IF(H386&gt;L386,(H386-L386)*INDEX('2018_commission_structure'!$A$11:$I$14,MATCH(Calculations!$E386,'2018_commission_structure'!$A$11:$A$14,0),MATCH(Calculations!S$1,'2018_commission_structure'!$A$11:$I$11,0)),0)</f>
        <v>0</v>
      </c>
      <c r="T386" s="7">
        <f t="shared" ref="T386:T449" si="59">SUM(O386:S386)</f>
        <v>100383</v>
      </c>
      <c r="U386" s="7">
        <f t="shared" ref="U386:U449" si="60">T386+F386</f>
        <v>189678</v>
      </c>
      <c r="V386" s="7">
        <f>MIN(H386,I386)*INDEX('2018_commission_structure'!$A$5:$J$8,MATCH(Calculations!$E386,'2018_commission_structure'!$A$5:$A$8,0),MATCH(Calculations!V$1,'2018_commission_structure'!$A$5:$J$5,0))</f>
        <v>100383</v>
      </c>
      <c r="W386" s="2">
        <f>IF($H386&gt;I386,MIN($H386-I386,J386-I386)*INDEX('2018_commission_structure'!$A$5:$J$8,MATCH(Calculations!$E386,'2018_commission_structure'!$A$5:$A$8,0),MATCH(Calculations!W$1,'2018_commission_structure'!$A$5:$J$5,0)),0)</f>
        <v>0</v>
      </c>
      <c r="X386" s="2">
        <f>IF($H386&gt;J386,MIN($H386-J386,K386-J386)*INDEX('2018_commission_structure'!$A$5:$J$8,MATCH(Calculations!$E386,'2018_commission_structure'!$A$5:$A$8,0),MATCH(Calculations!X$1,'2018_commission_structure'!$A$5:$J$5,0)),0)</f>
        <v>0</v>
      </c>
      <c r="Y386" s="2">
        <f>IF($H386&gt;K386,MIN($H386-K386,L386-K386)*INDEX('2018_commission_structure'!$A$5:$J$8,MATCH(Calculations!$E386,'2018_commission_structure'!$A$5:$A$8,0),MATCH(Calculations!Y$1,'2018_commission_structure'!$A$5:$J$5,0)),0)</f>
        <v>0</v>
      </c>
      <c r="Z386" s="2">
        <f xml:space="preserve"> IF(H386&gt;L386,(H386-L386)*INDEX('2018_commission_structure'!$A$11:$I$14,MATCH(Calculations!$E386,'2018_commission_structure'!$A$11:$A$14,0),MATCH(Calculations!Z$1,'2018_commission_structure'!$A$11:$I$11,0)),0)</f>
        <v>0</v>
      </c>
      <c r="AA386" s="7">
        <f t="shared" si="52"/>
        <v>100383</v>
      </c>
      <c r="AB386" s="7">
        <f t="shared" si="53"/>
        <v>189678</v>
      </c>
    </row>
    <row r="387" spans="1:28" x14ac:dyDescent="0.25">
      <c r="A387">
        <v>3867281491</v>
      </c>
      <c r="B387" t="s">
        <v>691</v>
      </c>
      <c r="C387" t="s">
        <v>1277</v>
      </c>
      <c r="D387" t="str">
        <f>B387&amp;" "&amp;C387</f>
        <v>Phillipe Greenroyd</v>
      </c>
      <c r="E387" t="s">
        <v>7</v>
      </c>
      <c r="F387">
        <v>44350</v>
      </c>
      <c r="G387">
        <f>COUNTIF(deals_closed!D:D,Calculations!A387)</f>
        <v>19</v>
      </c>
      <c r="H387" s="2">
        <f>SUMIF(deals_closed!D:D,Calculations!A387,deals_closed!C:C)</f>
        <v>722389</v>
      </c>
      <c r="I387" s="2">
        <f>VLOOKUP(E387,'2018_commission_structure'!$A$11:$I$14,9,FALSE)</f>
        <v>500000</v>
      </c>
      <c r="J387" s="2">
        <f t="shared" si="54"/>
        <v>625000</v>
      </c>
      <c r="K387" s="2">
        <f t="shared" si="55"/>
        <v>750000</v>
      </c>
      <c r="L387" s="2">
        <f t="shared" si="56"/>
        <v>1000000</v>
      </c>
      <c r="M387" s="6">
        <f t="shared" si="57"/>
        <v>1.4447779999999999</v>
      </c>
      <c r="N387" t="str">
        <f t="shared" si="58"/>
        <v>125-150%</v>
      </c>
      <c r="O387" s="7">
        <f>MIN(I387,H387)*INDEX('2018_commission_structure'!$A$11:$I$14,MATCH(Calculations!$E387,'2018_commission_structure'!$A$11:$A$14,0),MATCH(Calculations!O$1,'2018_commission_structure'!$A$11:$I$11,0))</f>
        <v>50000</v>
      </c>
      <c r="P387" s="7">
        <f>IF($H387&gt;I387,MIN($H387-I387,J387-I387)*INDEX('2018_commission_structure'!$A$11:$I$14,MATCH(Calculations!$E387,'2018_commission_structure'!$A$11:$A$14,0), MATCH(Calculations!P$1,'2018_commission_structure'!$A$11:$I$11,0)),0)</f>
        <v>18750</v>
      </c>
      <c r="Q387" s="7">
        <f>IF($H387&gt;J387,MIN($H387-J387,K387-J387)*INDEX('2018_commission_structure'!$A$11:$I$14,MATCH(Calculations!$E387,'2018_commission_structure'!$A$11:$A$14,0), MATCH(Calculations!Q$1,'2018_commission_structure'!$A$11:$I$11,0)),0)</f>
        <v>17530.02</v>
      </c>
      <c r="R387" s="7">
        <f>IF($H387&gt;K387,MIN($H387-K387,L387-K387)*INDEX('2018_commission_structure'!$A$11:$I$14,MATCH(Calculations!$E387,'2018_commission_structure'!$A$11:$A$14,0), MATCH(Calculations!R$1,'2018_commission_structure'!$A$11:$I$11,0)),0)</f>
        <v>0</v>
      </c>
      <c r="S387" s="7">
        <f>IF(H387&gt;L387,(H387-L387)*INDEX('2018_commission_structure'!$A$11:$I$14,MATCH(Calculations!$E387,'2018_commission_structure'!$A$11:$A$14,0),MATCH(Calculations!S$1,'2018_commission_structure'!$A$11:$I$11,0)),0)</f>
        <v>0</v>
      </c>
      <c r="T387" s="7">
        <f t="shared" si="59"/>
        <v>86280.02</v>
      </c>
      <c r="U387" s="7">
        <f t="shared" si="60"/>
        <v>130630.02</v>
      </c>
      <c r="V387" s="7">
        <f>MIN(H387,I387)*INDEX('2018_commission_structure'!$A$5:$J$8,MATCH(Calculations!$E387,'2018_commission_structure'!$A$5:$A$8,0),MATCH(Calculations!V$1,'2018_commission_structure'!$A$5:$J$5,0))</f>
        <v>60000</v>
      </c>
      <c r="W387" s="2">
        <f>IF($H387&gt;I387,MIN($H387-I387,J387-I387)*INDEX('2018_commission_structure'!$A$5:$J$8,MATCH(Calculations!$E387,'2018_commission_structure'!$A$5:$A$8,0),MATCH(Calculations!W$1,'2018_commission_structure'!$A$5:$J$5,0)),0)</f>
        <v>21250</v>
      </c>
      <c r="X387" s="2">
        <f>IF($H387&gt;J387,MIN($H387-J387,K387-J387)*INDEX('2018_commission_structure'!$A$5:$J$8,MATCH(Calculations!$E387,'2018_commission_structure'!$A$5:$A$8,0),MATCH(Calculations!X$1,'2018_commission_structure'!$A$5:$J$5,0)),0)</f>
        <v>19477.8</v>
      </c>
      <c r="Y387" s="2">
        <f>IF($H387&gt;K387,MIN($H387-K387,L387-K387)*INDEX('2018_commission_structure'!$A$5:$J$8,MATCH(Calculations!$E387,'2018_commission_structure'!$A$5:$A$8,0),MATCH(Calculations!Y$1,'2018_commission_structure'!$A$5:$J$5,0)),0)</f>
        <v>0</v>
      </c>
      <c r="Z387" s="2">
        <f xml:space="preserve"> IF(H387&gt;L387,(H387-L387)*INDEX('2018_commission_structure'!$A$11:$I$14,MATCH(Calculations!$E387,'2018_commission_structure'!$A$11:$A$14,0),MATCH(Calculations!Z$1,'2018_commission_structure'!$A$11:$I$11,0)),0)</f>
        <v>0</v>
      </c>
      <c r="AA387" s="7">
        <f t="shared" ref="AA387:AA450" si="61">SUM(V387:Z387)</f>
        <v>100727.8</v>
      </c>
      <c r="AB387" s="7">
        <f t="shared" ref="AB387:AB450" si="62">AA387+F387</f>
        <v>145077.79999999999</v>
      </c>
    </row>
    <row r="388" spans="1:28" x14ac:dyDescent="0.25">
      <c r="A388">
        <v>3877279783</v>
      </c>
      <c r="B388" t="s">
        <v>938</v>
      </c>
      <c r="C388" t="s">
        <v>939</v>
      </c>
      <c r="D388" t="str">
        <f>B388&amp;" "&amp;C388</f>
        <v>Shayne Greensall</v>
      </c>
      <c r="E388" t="s">
        <v>29</v>
      </c>
      <c r="F388">
        <v>61805</v>
      </c>
      <c r="G388">
        <f>COUNTIF(deals_closed!D:D,Calculations!A388)</f>
        <v>22</v>
      </c>
      <c r="H388" s="2">
        <f>SUMIF(deals_closed!D:D,Calculations!A388,deals_closed!C:C)</f>
        <v>679482</v>
      </c>
      <c r="I388" s="2">
        <f>VLOOKUP(E388,'2018_commission_structure'!$A$11:$I$14,9,FALSE)</f>
        <v>600000</v>
      </c>
      <c r="J388" s="2">
        <f t="shared" si="54"/>
        <v>750000</v>
      </c>
      <c r="K388" s="2">
        <f t="shared" si="55"/>
        <v>900000</v>
      </c>
      <c r="L388" s="2">
        <f t="shared" si="56"/>
        <v>1200000</v>
      </c>
      <c r="M388" s="6">
        <f t="shared" si="57"/>
        <v>1.1324700000000001</v>
      </c>
      <c r="N388" t="str">
        <f t="shared" si="58"/>
        <v>100-125%</v>
      </c>
      <c r="O388" s="7">
        <f>MIN(I388,H388)*INDEX('2018_commission_structure'!$A$11:$I$14,MATCH(Calculations!$E388,'2018_commission_structure'!$A$11:$A$14,0),MATCH(Calculations!O$1,'2018_commission_structure'!$A$11:$I$11,0))</f>
        <v>78000</v>
      </c>
      <c r="P388" s="7">
        <f>IF($H388&gt;I388,MIN($H388-I388,J388-I388)*INDEX('2018_commission_structure'!$A$11:$I$14,MATCH(Calculations!$E388,'2018_commission_structure'!$A$11:$A$14,0), MATCH(Calculations!P$1,'2018_commission_structure'!$A$11:$I$11,0)),0)</f>
        <v>13511.94</v>
      </c>
      <c r="Q388" s="7">
        <f>IF($H388&gt;J388,MIN($H388-J388,K388-J388)*INDEX('2018_commission_structure'!$A$11:$I$14,MATCH(Calculations!$E388,'2018_commission_structure'!$A$11:$A$14,0), MATCH(Calculations!Q$1,'2018_commission_structure'!$A$11:$I$11,0)),0)</f>
        <v>0</v>
      </c>
      <c r="R388" s="7">
        <f>IF($H388&gt;K388,MIN($H388-K388,L388-K388)*INDEX('2018_commission_structure'!$A$11:$I$14,MATCH(Calculations!$E388,'2018_commission_structure'!$A$11:$A$14,0), MATCH(Calculations!R$1,'2018_commission_structure'!$A$11:$I$11,0)),0)</f>
        <v>0</v>
      </c>
      <c r="S388" s="7">
        <f>IF(H388&gt;L388,(H388-L388)*INDEX('2018_commission_structure'!$A$11:$I$14,MATCH(Calculations!$E388,'2018_commission_structure'!$A$11:$A$14,0),MATCH(Calculations!S$1,'2018_commission_structure'!$A$11:$I$11,0)),0)</f>
        <v>0</v>
      </c>
      <c r="T388" s="7">
        <f t="shared" si="59"/>
        <v>91511.94</v>
      </c>
      <c r="U388" s="7">
        <f t="shared" si="60"/>
        <v>153316.94</v>
      </c>
      <c r="V388" s="7">
        <f>MIN(H388,I388)*INDEX('2018_commission_structure'!$A$5:$J$8,MATCH(Calculations!$E388,'2018_commission_structure'!$A$5:$A$8,0),MATCH(Calculations!V$1,'2018_commission_structure'!$A$5:$J$5,0))</f>
        <v>90000</v>
      </c>
      <c r="W388" s="2">
        <f>IF($H388&gt;I388,MIN($H388-I388,J388-I388)*INDEX('2018_commission_structure'!$A$5:$J$8,MATCH(Calculations!$E388,'2018_commission_structure'!$A$5:$A$8,0),MATCH(Calculations!W$1,'2018_commission_structure'!$A$5:$J$5,0)),0)</f>
        <v>14306.76</v>
      </c>
      <c r="X388" s="2">
        <f>IF($H388&gt;J388,MIN($H388-J388,K388-J388)*INDEX('2018_commission_structure'!$A$5:$J$8,MATCH(Calculations!$E388,'2018_commission_structure'!$A$5:$A$8,0),MATCH(Calculations!X$1,'2018_commission_structure'!$A$5:$J$5,0)),0)</f>
        <v>0</v>
      </c>
      <c r="Y388" s="2">
        <f>IF($H388&gt;K388,MIN($H388-K388,L388-K388)*INDEX('2018_commission_structure'!$A$5:$J$8,MATCH(Calculations!$E388,'2018_commission_structure'!$A$5:$A$8,0),MATCH(Calculations!Y$1,'2018_commission_structure'!$A$5:$J$5,0)),0)</f>
        <v>0</v>
      </c>
      <c r="Z388" s="2">
        <f xml:space="preserve"> IF(H388&gt;L388,(H388-L388)*INDEX('2018_commission_structure'!$A$11:$I$14,MATCH(Calculations!$E388,'2018_commission_structure'!$A$11:$A$14,0),MATCH(Calculations!Z$1,'2018_commission_structure'!$A$11:$I$11,0)),0)</f>
        <v>0</v>
      </c>
      <c r="AA388" s="7">
        <f t="shared" si="61"/>
        <v>104306.76</v>
      </c>
      <c r="AB388" s="7">
        <f t="shared" si="62"/>
        <v>166111.76</v>
      </c>
    </row>
    <row r="389" spans="1:28" x14ac:dyDescent="0.25">
      <c r="A389">
        <v>8350412399</v>
      </c>
      <c r="B389" t="s">
        <v>1406</v>
      </c>
      <c r="C389" t="s">
        <v>1407</v>
      </c>
      <c r="D389" t="str">
        <f>B389&amp;" "&amp;C389</f>
        <v>Meg Greensides</v>
      </c>
      <c r="E389" t="s">
        <v>10</v>
      </c>
      <c r="F389">
        <v>85407</v>
      </c>
      <c r="G389">
        <f>COUNTIF(deals_closed!D:D,Calculations!A389)</f>
        <v>11</v>
      </c>
      <c r="H389" s="2">
        <f>SUMIF(deals_closed!D:D,Calculations!A389,deals_closed!C:C)</f>
        <v>290823</v>
      </c>
      <c r="I389" s="2">
        <f>VLOOKUP(E389,'2018_commission_structure'!$A$11:$I$14,9,FALSE)</f>
        <v>750000</v>
      </c>
      <c r="J389" s="2">
        <f t="shared" si="54"/>
        <v>937500</v>
      </c>
      <c r="K389" s="2">
        <f t="shared" si="55"/>
        <v>1125000</v>
      </c>
      <c r="L389" s="2">
        <f t="shared" si="56"/>
        <v>1500000</v>
      </c>
      <c r="M389" s="6">
        <f t="shared" si="57"/>
        <v>0.387764</v>
      </c>
      <c r="N389" t="str">
        <f t="shared" si="58"/>
        <v>0-100%</v>
      </c>
      <c r="O389" s="7">
        <f>MIN(I389,H389)*INDEX('2018_commission_structure'!$A$11:$I$14,MATCH(Calculations!$E389,'2018_commission_structure'!$A$11:$A$14,0),MATCH(Calculations!O$1,'2018_commission_structure'!$A$11:$I$11,0))</f>
        <v>43623.45</v>
      </c>
      <c r="P389" s="7">
        <f>IF($H389&gt;I389,MIN($H389-I389,J389-I389)*INDEX('2018_commission_structure'!$A$11:$I$14,MATCH(Calculations!$E389,'2018_commission_structure'!$A$11:$A$14,0), MATCH(Calculations!P$1,'2018_commission_structure'!$A$11:$I$11,0)),0)</f>
        <v>0</v>
      </c>
      <c r="Q389" s="7">
        <f>IF($H389&gt;J389,MIN($H389-J389,K389-J389)*INDEX('2018_commission_structure'!$A$11:$I$14,MATCH(Calculations!$E389,'2018_commission_structure'!$A$11:$A$14,0), MATCH(Calculations!Q$1,'2018_commission_structure'!$A$11:$I$11,0)),0)</f>
        <v>0</v>
      </c>
      <c r="R389" s="7">
        <f>IF($H389&gt;K389,MIN($H389-K389,L389-K389)*INDEX('2018_commission_structure'!$A$11:$I$14,MATCH(Calculations!$E389,'2018_commission_structure'!$A$11:$A$14,0), MATCH(Calculations!R$1,'2018_commission_structure'!$A$11:$I$11,0)),0)</f>
        <v>0</v>
      </c>
      <c r="S389" s="7">
        <f>IF(H389&gt;L389,(H389-L389)*INDEX('2018_commission_structure'!$A$11:$I$14,MATCH(Calculations!$E389,'2018_commission_structure'!$A$11:$A$14,0),MATCH(Calculations!S$1,'2018_commission_structure'!$A$11:$I$11,0)),0)</f>
        <v>0</v>
      </c>
      <c r="T389" s="7">
        <f t="shared" si="59"/>
        <v>43623.45</v>
      </c>
      <c r="U389" s="7">
        <f t="shared" si="60"/>
        <v>129030.45</v>
      </c>
      <c r="V389" s="7">
        <f>MIN(H389,I389)*INDEX('2018_commission_structure'!$A$5:$J$8,MATCH(Calculations!$E389,'2018_commission_structure'!$A$5:$A$8,0),MATCH(Calculations!V$1,'2018_commission_structure'!$A$5:$J$5,0))</f>
        <v>43623.45</v>
      </c>
      <c r="W389" s="2">
        <f>IF($H389&gt;I389,MIN($H389-I389,J389-I389)*INDEX('2018_commission_structure'!$A$5:$J$8,MATCH(Calculations!$E389,'2018_commission_structure'!$A$5:$A$8,0),MATCH(Calculations!W$1,'2018_commission_structure'!$A$5:$J$5,0)),0)</f>
        <v>0</v>
      </c>
      <c r="X389" s="2">
        <f>IF($H389&gt;J389,MIN($H389-J389,K389-J389)*INDEX('2018_commission_structure'!$A$5:$J$8,MATCH(Calculations!$E389,'2018_commission_structure'!$A$5:$A$8,0),MATCH(Calculations!X$1,'2018_commission_structure'!$A$5:$J$5,0)),0)</f>
        <v>0</v>
      </c>
      <c r="Y389" s="2">
        <f>IF($H389&gt;K389,MIN($H389-K389,L389-K389)*INDEX('2018_commission_structure'!$A$5:$J$8,MATCH(Calculations!$E389,'2018_commission_structure'!$A$5:$A$8,0),MATCH(Calculations!Y$1,'2018_commission_structure'!$A$5:$J$5,0)),0)</f>
        <v>0</v>
      </c>
      <c r="Z389" s="2">
        <f xml:space="preserve"> IF(H389&gt;L389,(H389-L389)*INDEX('2018_commission_structure'!$A$11:$I$14,MATCH(Calculations!$E389,'2018_commission_structure'!$A$11:$A$14,0),MATCH(Calculations!Z$1,'2018_commission_structure'!$A$11:$I$11,0)),0)</f>
        <v>0</v>
      </c>
      <c r="AA389" s="7">
        <f t="shared" si="61"/>
        <v>43623.45</v>
      </c>
      <c r="AB389" s="7">
        <f t="shared" si="62"/>
        <v>129030.45</v>
      </c>
    </row>
    <row r="390" spans="1:28" x14ac:dyDescent="0.25">
      <c r="A390">
        <v>4453705328</v>
      </c>
      <c r="B390" t="s">
        <v>478</v>
      </c>
      <c r="C390" t="s">
        <v>479</v>
      </c>
      <c r="D390" t="str">
        <f>B390&amp;" "&amp;C390</f>
        <v>Stephan Greeve</v>
      </c>
      <c r="E390" t="s">
        <v>29</v>
      </c>
      <c r="F390">
        <v>57398</v>
      </c>
      <c r="G390">
        <f>COUNTIF(deals_closed!D:D,Calculations!A390)</f>
        <v>23</v>
      </c>
      <c r="H390" s="2">
        <f>SUMIF(deals_closed!D:D,Calculations!A390,deals_closed!C:C)</f>
        <v>834572</v>
      </c>
      <c r="I390" s="2">
        <f>VLOOKUP(E390,'2018_commission_structure'!$A$11:$I$14,9,FALSE)</f>
        <v>600000</v>
      </c>
      <c r="J390" s="2">
        <f t="shared" si="54"/>
        <v>750000</v>
      </c>
      <c r="K390" s="2">
        <f t="shared" si="55"/>
        <v>900000</v>
      </c>
      <c r="L390" s="2">
        <f t="shared" si="56"/>
        <v>1200000</v>
      </c>
      <c r="M390" s="6">
        <f t="shared" si="57"/>
        <v>1.3909533333333333</v>
      </c>
      <c r="N390" t="str">
        <f t="shared" si="58"/>
        <v>125-150%</v>
      </c>
      <c r="O390" s="7">
        <f>MIN(I390,H390)*INDEX('2018_commission_structure'!$A$11:$I$14,MATCH(Calculations!$E390,'2018_commission_structure'!$A$11:$A$14,0),MATCH(Calculations!O$1,'2018_commission_structure'!$A$11:$I$11,0))</f>
        <v>78000</v>
      </c>
      <c r="P390" s="7">
        <f>IF($H390&gt;I390,MIN($H390-I390,J390-I390)*INDEX('2018_commission_structure'!$A$11:$I$14,MATCH(Calculations!$E390,'2018_commission_structure'!$A$11:$A$14,0), MATCH(Calculations!P$1,'2018_commission_structure'!$A$11:$I$11,0)),0)</f>
        <v>25500.000000000004</v>
      </c>
      <c r="Q390" s="7">
        <f>IF($H390&gt;J390,MIN($H390-J390,K390-J390)*INDEX('2018_commission_structure'!$A$11:$I$14,MATCH(Calculations!$E390,'2018_commission_structure'!$A$11:$A$14,0), MATCH(Calculations!Q$1,'2018_commission_structure'!$A$11:$I$11,0)),0)</f>
        <v>17760.12</v>
      </c>
      <c r="R390" s="7">
        <f>IF($H390&gt;K390,MIN($H390-K390,L390-K390)*INDEX('2018_commission_structure'!$A$11:$I$14,MATCH(Calculations!$E390,'2018_commission_structure'!$A$11:$A$14,0), MATCH(Calculations!R$1,'2018_commission_structure'!$A$11:$I$11,0)),0)</f>
        <v>0</v>
      </c>
      <c r="S390" s="7">
        <f>IF(H390&gt;L390,(H390-L390)*INDEX('2018_commission_structure'!$A$11:$I$14,MATCH(Calculations!$E390,'2018_commission_structure'!$A$11:$A$14,0),MATCH(Calculations!S$1,'2018_commission_structure'!$A$11:$I$11,0)),0)</f>
        <v>0</v>
      </c>
      <c r="T390" s="7">
        <f t="shared" si="59"/>
        <v>121260.12</v>
      </c>
      <c r="U390" s="7">
        <f t="shared" si="60"/>
        <v>178658.12</v>
      </c>
      <c r="V390" s="7">
        <f>MIN(H390,I390)*INDEX('2018_commission_structure'!$A$5:$J$8,MATCH(Calculations!$E390,'2018_commission_structure'!$A$5:$A$8,0),MATCH(Calculations!V$1,'2018_commission_structure'!$A$5:$J$5,0))</f>
        <v>90000</v>
      </c>
      <c r="W390" s="2">
        <f>IF($H390&gt;I390,MIN($H390-I390,J390-I390)*INDEX('2018_commission_structure'!$A$5:$J$8,MATCH(Calculations!$E390,'2018_commission_structure'!$A$5:$A$8,0),MATCH(Calculations!W$1,'2018_commission_structure'!$A$5:$J$5,0)),0)</f>
        <v>27000</v>
      </c>
      <c r="X390" s="2">
        <f>IF($H390&gt;J390,MIN($H390-J390,K390-J390)*INDEX('2018_commission_structure'!$A$5:$J$8,MATCH(Calculations!$E390,'2018_commission_structure'!$A$5:$A$8,0),MATCH(Calculations!X$1,'2018_commission_structure'!$A$5:$J$5,0)),0)</f>
        <v>21143</v>
      </c>
      <c r="Y390" s="2">
        <f>IF($H390&gt;K390,MIN($H390-K390,L390-K390)*INDEX('2018_commission_structure'!$A$5:$J$8,MATCH(Calculations!$E390,'2018_commission_structure'!$A$5:$A$8,0),MATCH(Calculations!Y$1,'2018_commission_structure'!$A$5:$J$5,0)),0)</f>
        <v>0</v>
      </c>
      <c r="Z390" s="2">
        <f xml:space="preserve"> IF(H390&gt;L390,(H390-L390)*INDEX('2018_commission_structure'!$A$11:$I$14,MATCH(Calculations!$E390,'2018_commission_structure'!$A$11:$A$14,0),MATCH(Calculations!Z$1,'2018_commission_structure'!$A$11:$I$11,0)),0)</f>
        <v>0</v>
      </c>
      <c r="AA390" s="7">
        <f t="shared" si="61"/>
        <v>138143</v>
      </c>
      <c r="AB390" s="7">
        <f t="shared" si="62"/>
        <v>195541</v>
      </c>
    </row>
    <row r="391" spans="1:28" x14ac:dyDescent="0.25">
      <c r="A391">
        <v>9854387496</v>
      </c>
      <c r="B391" t="s">
        <v>1267</v>
      </c>
      <c r="C391" t="s">
        <v>1268</v>
      </c>
      <c r="D391" t="str">
        <f>B391&amp;" "&amp;C391</f>
        <v>Kaitlin Greeveson</v>
      </c>
      <c r="E391" t="s">
        <v>10</v>
      </c>
      <c r="F391">
        <v>120820</v>
      </c>
      <c r="G391">
        <f>COUNTIF(deals_closed!D:D,Calculations!A391)</f>
        <v>26</v>
      </c>
      <c r="H391" s="2">
        <f>SUMIF(deals_closed!D:D,Calculations!A391,deals_closed!C:C)</f>
        <v>956782</v>
      </c>
      <c r="I391" s="2">
        <f>VLOOKUP(E391,'2018_commission_structure'!$A$11:$I$14,9,FALSE)</f>
        <v>750000</v>
      </c>
      <c r="J391" s="2">
        <f t="shared" si="54"/>
        <v>937500</v>
      </c>
      <c r="K391" s="2">
        <f t="shared" si="55"/>
        <v>1125000</v>
      </c>
      <c r="L391" s="2">
        <f t="shared" si="56"/>
        <v>1500000</v>
      </c>
      <c r="M391" s="6">
        <f t="shared" si="57"/>
        <v>1.2757093333333334</v>
      </c>
      <c r="N391" t="str">
        <f t="shared" si="58"/>
        <v>125-150%</v>
      </c>
      <c r="O391" s="7">
        <f>MIN(I391,H391)*INDEX('2018_commission_structure'!$A$11:$I$14,MATCH(Calculations!$E391,'2018_commission_structure'!$A$11:$A$14,0),MATCH(Calculations!O$1,'2018_commission_structure'!$A$11:$I$11,0))</f>
        <v>112500</v>
      </c>
      <c r="P391" s="7">
        <f>IF($H391&gt;I391,MIN($H391-I391,J391-I391)*INDEX('2018_commission_structure'!$A$11:$I$14,MATCH(Calculations!$E391,'2018_commission_structure'!$A$11:$A$14,0), MATCH(Calculations!P$1,'2018_commission_structure'!$A$11:$I$11,0)),0)</f>
        <v>35625</v>
      </c>
      <c r="Q391" s="7">
        <f>IF($H391&gt;J391,MIN($H391-J391,K391-J391)*INDEX('2018_commission_structure'!$A$11:$I$14,MATCH(Calculations!$E391,'2018_commission_structure'!$A$11:$A$14,0), MATCH(Calculations!Q$1,'2018_commission_structure'!$A$11:$I$11,0)),0)</f>
        <v>4434.8600000000006</v>
      </c>
      <c r="R391" s="7">
        <f>IF($H391&gt;K391,MIN($H391-K391,L391-K391)*INDEX('2018_commission_structure'!$A$11:$I$14,MATCH(Calculations!$E391,'2018_commission_structure'!$A$11:$A$14,0), MATCH(Calculations!R$1,'2018_commission_structure'!$A$11:$I$11,0)),0)</f>
        <v>0</v>
      </c>
      <c r="S391" s="7">
        <f>IF(H391&gt;L391,(H391-L391)*INDEX('2018_commission_structure'!$A$11:$I$14,MATCH(Calculations!$E391,'2018_commission_structure'!$A$11:$A$14,0),MATCH(Calculations!S$1,'2018_commission_structure'!$A$11:$I$11,0)),0)</f>
        <v>0</v>
      </c>
      <c r="T391" s="7">
        <f t="shared" si="59"/>
        <v>152559.85999999999</v>
      </c>
      <c r="U391" s="7">
        <f t="shared" si="60"/>
        <v>273379.86</v>
      </c>
      <c r="V391" s="7">
        <f>MIN(H391,I391)*INDEX('2018_commission_structure'!$A$5:$J$8,MATCH(Calculations!$E391,'2018_commission_structure'!$A$5:$A$8,0),MATCH(Calculations!V$1,'2018_commission_structure'!$A$5:$J$5,0))</f>
        <v>112500</v>
      </c>
      <c r="W391" s="2">
        <f>IF($H391&gt;I391,MIN($H391-I391,J391-I391)*INDEX('2018_commission_structure'!$A$5:$J$8,MATCH(Calculations!$E391,'2018_commission_structure'!$A$5:$A$8,0),MATCH(Calculations!W$1,'2018_commission_structure'!$A$5:$J$5,0)),0)</f>
        <v>41250</v>
      </c>
      <c r="X391" s="2">
        <f>IF($H391&gt;J391,MIN($H391-J391,K391-J391)*INDEX('2018_commission_structure'!$A$5:$J$8,MATCH(Calculations!$E391,'2018_commission_structure'!$A$5:$A$8,0),MATCH(Calculations!X$1,'2018_commission_structure'!$A$5:$J$5,0)),0)</f>
        <v>4820.5</v>
      </c>
      <c r="Y391" s="2">
        <f>IF($H391&gt;K391,MIN($H391-K391,L391-K391)*INDEX('2018_commission_structure'!$A$5:$J$8,MATCH(Calculations!$E391,'2018_commission_structure'!$A$5:$A$8,0),MATCH(Calculations!Y$1,'2018_commission_structure'!$A$5:$J$5,0)),0)</f>
        <v>0</v>
      </c>
      <c r="Z391" s="2">
        <f xml:space="preserve"> IF(H391&gt;L391,(H391-L391)*INDEX('2018_commission_structure'!$A$11:$I$14,MATCH(Calculations!$E391,'2018_commission_structure'!$A$11:$A$14,0),MATCH(Calculations!Z$1,'2018_commission_structure'!$A$11:$I$11,0)),0)</f>
        <v>0</v>
      </c>
      <c r="AA391" s="7">
        <f t="shared" si="61"/>
        <v>158570.5</v>
      </c>
      <c r="AB391" s="7">
        <f t="shared" si="62"/>
        <v>279390.5</v>
      </c>
    </row>
    <row r="392" spans="1:28" x14ac:dyDescent="0.25">
      <c r="A392">
        <v>3772653790</v>
      </c>
      <c r="B392" t="s">
        <v>1916</v>
      </c>
      <c r="C392" t="s">
        <v>1917</v>
      </c>
      <c r="D392" t="str">
        <f>B392&amp;" "&amp;C392</f>
        <v>Trevor Greschik</v>
      </c>
      <c r="E392" t="s">
        <v>29</v>
      </c>
      <c r="F392">
        <v>68355</v>
      </c>
      <c r="G392">
        <f>COUNTIF(deals_closed!D:D,Calculations!A392)</f>
        <v>22</v>
      </c>
      <c r="H392" s="2">
        <f>SUMIF(deals_closed!D:D,Calculations!A392,deals_closed!C:C)</f>
        <v>877959</v>
      </c>
      <c r="I392" s="2">
        <f>VLOOKUP(E392,'2018_commission_structure'!$A$11:$I$14,9,FALSE)</f>
        <v>600000</v>
      </c>
      <c r="J392" s="2">
        <f t="shared" si="54"/>
        <v>750000</v>
      </c>
      <c r="K392" s="2">
        <f t="shared" si="55"/>
        <v>900000</v>
      </c>
      <c r="L392" s="2">
        <f t="shared" si="56"/>
        <v>1200000</v>
      </c>
      <c r="M392" s="6">
        <f t="shared" si="57"/>
        <v>1.463265</v>
      </c>
      <c r="N392" t="str">
        <f t="shared" si="58"/>
        <v>125-150%</v>
      </c>
      <c r="O392" s="7">
        <f>MIN(I392,H392)*INDEX('2018_commission_structure'!$A$11:$I$14,MATCH(Calculations!$E392,'2018_commission_structure'!$A$11:$A$14,0),MATCH(Calculations!O$1,'2018_commission_structure'!$A$11:$I$11,0))</f>
        <v>78000</v>
      </c>
      <c r="P392" s="7">
        <f>IF($H392&gt;I392,MIN($H392-I392,J392-I392)*INDEX('2018_commission_structure'!$A$11:$I$14,MATCH(Calculations!$E392,'2018_commission_structure'!$A$11:$A$14,0), MATCH(Calculations!P$1,'2018_commission_structure'!$A$11:$I$11,0)),0)</f>
        <v>25500.000000000004</v>
      </c>
      <c r="Q392" s="7">
        <f>IF($H392&gt;J392,MIN($H392-J392,K392-J392)*INDEX('2018_commission_structure'!$A$11:$I$14,MATCH(Calculations!$E392,'2018_commission_structure'!$A$11:$A$14,0), MATCH(Calculations!Q$1,'2018_commission_structure'!$A$11:$I$11,0)),0)</f>
        <v>26871.39</v>
      </c>
      <c r="R392" s="7">
        <f>IF($H392&gt;K392,MIN($H392-K392,L392-K392)*INDEX('2018_commission_structure'!$A$11:$I$14,MATCH(Calculations!$E392,'2018_commission_structure'!$A$11:$A$14,0), MATCH(Calculations!R$1,'2018_commission_structure'!$A$11:$I$11,0)),0)</f>
        <v>0</v>
      </c>
      <c r="S392" s="7">
        <f>IF(H392&gt;L392,(H392-L392)*INDEX('2018_commission_structure'!$A$11:$I$14,MATCH(Calculations!$E392,'2018_commission_structure'!$A$11:$A$14,0),MATCH(Calculations!S$1,'2018_commission_structure'!$A$11:$I$11,0)),0)</f>
        <v>0</v>
      </c>
      <c r="T392" s="7">
        <f t="shared" si="59"/>
        <v>130371.39</v>
      </c>
      <c r="U392" s="7">
        <f t="shared" si="60"/>
        <v>198726.39</v>
      </c>
      <c r="V392" s="7">
        <f>MIN(H392,I392)*INDEX('2018_commission_structure'!$A$5:$J$8,MATCH(Calculations!$E392,'2018_commission_structure'!$A$5:$A$8,0),MATCH(Calculations!V$1,'2018_commission_structure'!$A$5:$J$5,0))</f>
        <v>90000</v>
      </c>
      <c r="W392" s="2">
        <f>IF($H392&gt;I392,MIN($H392-I392,J392-I392)*INDEX('2018_commission_structure'!$A$5:$J$8,MATCH(Calculations!$E392,'2018_commission_structure'!$A$5:$A$8,0),MATCH(Calculations!W$1,'2018_commission_structure'!$A$5:$J$5,0)),0)</f>
        <v>27000</v>
      </c>
      <c r="X392" s="2">
        <f>IF($H392&gt;J392,MIN($H392-J392,K392-J392)*INDEX('2018_commission_structure'!$A$5:$J$8,MATCH(Calculations!$E392,'2018_commission_structure'!$A$5:$A$8,0),MATCH(Calculations!X$1,'2018_commission_structure'!$A$5:$J$5,0)),0)</f>
        <v>31989.75</v>
      </c>
      <c r="Y392" s="2">
        <f>IF($H392&gt;K392,MIN($H392-K392,L392-K392)*INDEX('2018_commission_structure'!$A$5:$J$8,MATCH(Calculations!$E392,'2018_commission_structure'!$A$5:$A$8,0),MATCH(Calculations!Y$1,'2018_commission_structure'!$A$5:$J$5,0)),0)</f>
        <v>0</v>
      </c>
      <c r="Z392" s="2">
        <f xml:space="preserve"> IF(H392&gt;L392,(H392-L392)*INDEX('2018_commission_structure'!$A$11:$I$14,MATCH(Calculations!$E392,'2018_commission_structure'!$A$11:$A$14,0),MATCH(Calculations!Z$1,'2018_commission_structure'!$A$11:$I$11,0)),0)</f>
        <v>0</v>
      </c>
      <c r="AA392" s="7">
        <f t="shared" si="61"/>
        <v>148989.75</v>
      </c>
      <c r="AB392" s="7">
        <f t="shared" si="62"/>
        <v>217344.75</v>
      </c>
    </row>
    <row r="393" spans="1:28" x14ac:dyDescent="0.25">
      <c r="A393">
        <v>8841637323</v>
      </c>
      <c r="B393" t="s">
        <v>1737</v>
      </c>
      <c r="C393" t="s">
        <v>1738</v>
      </c>
      <c r="D393" t="str">
        <f>B393&amp;" "&amp;C393</f>
        <v>Madeline Grief</v>
      </c>
      <c r="E393" t="s">
        <v>7</v>
      </c>
      <c r="F393">
        <v>40631</v>
      </c>
      <c r="G393">
        <f>COUNTIF(deals_closed!D:D,Calculations!A393)</f>
        <v>11</v>
      </c>
      <c r="H393" s="2">
        <f>SUMIF(deals_closed!D:D,Calculations!A393,deals_closed!C:C)</f>
        <v>371993</v>
      </c>
      <c r="I393" s="2">
        <f>VLOOKUP(E393,'2018_commission_structure'!$A$11:$I$14,9,FALSE)</f>
        <v>500000</v>
      </c>
      <c r="J393" s="2">
        <f t="shared" si="54"/>
        <v>625000</v>
      </c>
      <c r="K393" s="2">
        <f t="shared" si="55"/>
        <v>750000</v>
      </c>
      <c r="L393" s="2">
        <f t="shared" si="56"/>
        <v>1000000</v>
      </c>
      <c r="M393" s="6">
        <f t="shared" si="57"/>
        <v>0.74398600000000004</v>
      </c>
      <c r="N393" t="str">
        <f t="shared" si="58"/>
        <v>0-100%</v>
      </c>
      <c r="O393" s="7">
        <f>MIN(I393,H393)*INDEX('2018_commission_structure'!$A$11:$I$14,MATCH(Calculations!$E393,'2018_commission_structure'!$A$11:$A$14,0),MATCH(Calculations!O$1,'2018_commission_structure'!$A$11:$I$11,0))</f>
        <v>37199.300000000003</v>
      </c>
      <c r="P393" s="7">
        <f>IF($H393&gt;I393,MIN($H393-I393,J393-I393)*INDEX('2018_commission_structure'!$A$11:$I$14,MATCH(Calculations!$E393,'2018_commission_structure'!$A$11:$A$14,0), MATCH(Calculations!P$1,'2018_commission_structure'!$A$11:$I$11,0)),0)</f>
        <v>0</v>
      </c>
      <c r="Q393" s="7">
        <f>IF($H393&gt;J393,MIN($H393-J393,K393-J393)*INDEX('2018_commission_structure'!$A$11:$I$14,MATCH(Calculations!$E393,'2018_commission_structure'!$A$11:$A$14,0), MATCH(Calculations!Q$1,'2018_commission_structure'!$A$11:$I$11,0)),0)</f>
        <v>0</v>
      </c>
      <c r="R393" s="7">
        <f>IF($H393&gt;K393,MIN($H393-K393,L393-K393)*INDEX('2018_commission_structure'!$A$11:$I$14,MATCH(Calculations!$E393,'2018_commission_structure'!$A$11:$A$14,0), MATCH(Calculations!R$1,'2018_commission_structure'!$A$11:$I$11,0)),0)</f>
        <v>0</v>
      </c>
      <c r="S393" s="7">
        <f>IF(H393&gt;L393,(H393-L393)*INDEX('2018_commission_structure'!$A$11:$I$14,MATCH(Calculations!$E393,'2018_commission_structure'!$A$11:$A$14,0),MATCH(Calculations!S$1,'2018_commission_structure'!$A$11:$I$11,0)),0)</f>
        <v>0</v>
      </c>
      <c r="T393" s="7">
        <f t="shared" si="59"/>
        <v>37199.300000000003</v>
      </c>
      <c r="U393" s="7">
        <f t="shared" si="60"/>
        <v>77830.3</v>
      </c>
      <c r="V393" s="7">
        <f>MIN(H393,I393)*INDEX('2018_commission_structure'!$A$5:$J$8,MATCH(Calculations!$E393,'2018_commission_structure'!$A$5:$A$8,0),MATCH(Calculations!V$1,'2018_commission_structure'!$A$5:$J$5,0))</f>
        <v>44639.159999999996</v>
      </c>
      <c r="W393" s="2">
        <f>IF($H393&gt;I393,MIN($H393-I393,J393-I393)*INDEX('2018_commission_structure'!$A$5:$J$8,MATCH(Calculations!$E393,'2018_commission_structure'!$A$5:$A$8,0),MATCH(Calculations!W$1,'2018_commission_structure'!$A$5:$J$5,0)),0)</f>
        <v>0</v>
      </c>
      <c r="X393" s="2">
        <f>IF($H393&gt;J393,MIN($H393-J393,K393-J393)*INDEX('2018_commission_structure'!$A$5:$J$8,MATCH(Calculations!$E393,'2018_commission_structure'!$A$5:$A$8,0),MATCH(Calculations!X$1,'2018_commission_structure'!$A$5:$J$5,0)),0)</f>
        <v>0</v>
      </c>
      <c r="Y393" s="2">
        <f>IF($H393&gt;K393,MIN($H393-K393,L393-K393)*INDEX('2018_commission_structure'!$A$5:$J$8,MATCH(Calculations!$E393,'2018_commission_structure'!$A$5:$A$8,0),MATCH(Calculations!Y$1,'2018_commission_structure'!$A$5:$J$5,0)),0)</f>
        <v>0</v>
      </c>
      <c r="Z393" s="2">
        <f xml:space="preserve"> IF(H393&gt;L393,(H393-L393)*INDEX('2018_commission_structure'!$A$11:$I$14,MATCH(Calculations!$E393,'2018_commission_structure'!$A$11:$A$14,0),MATCH(Calculations!Z$1,'2018_commission_structure'!$A$11:$I$11,0)),0)</f>
        <v>0</v>
      </c>
      <c r="AA393" s="7">
        <f t="shared" si="61"/>
        <v>44639.159999999996</v>
      </c>
      <c r="AB393" s="7">
        <f t="shared" si="62"/>
        <v>85270.16</v>
      </c>
    </row>
    <row r="394" spans="1:28" x14ac:dyDescent="0.25">
      <c r="A394">
        <v>4986200380</v>
      </c>
      <c r="B394" t="s">
        <v>117</v>
      </c>
      <c r="C394" t="s">
        <v>118</v>
      </c>
      <c r="D394" t="str">
        <f>B394&amp;" "&amp;C394</f>
        <v>Becki Grigorini</v>
      </c>
      <c r="E394" t="s">
        <v>29</v>
      </c>
      <c r="F394">
        <v>72309</v>
      </c>
      <c r="G394">
        <f>COUNTIF(deals_closed!D:D,Calculations!A394)</f>
        <v>23</v>
      </c>
      <c r="H394" s="2">
        <f>SUMIF(deals_closed!D:D,Calculations!A394,deals_closed!C:C)</f>
        <v>804790</v>
      </c>
      <c r="I394" s="2">
        <f>VLOOKUP(E394,'2018_commission_structure'!$A$11:$I$14,9,FALSE)</f>
        <v>600000</v>
      </c>
      <c r="J394" s="2">
        <f t="shared" si="54"/>
        <v>750000</v>
      </c>
      <c r="K394" s="2">
        <f t="shared" si="55"/>
        <v>900000</v>
      </c>
      <c r="L394" s="2">
        <f t="shared" si="56"/>
        <v>1200000</v>
      </c>
      <c r="M394" s="6">
        <f t="shared" si="57"/>
        <v>1.3413166666666667</v>
      </c>
      <c r="N394" t="str">
        <f t="shared" si="58"/>
        <v>125-150%</v>
      </c>
      <c r="O394" s="7">
        <f>MIN(I394,H394)*INDEX('2018_commission_structure'!$A$11:$I$14,MATCH(Calculations!$E394,'2018_commission_structure'!$A$11:$A$14,0),MATCH(Calculations!O$1,'2018_commission_structure'!$A$11:$I$11,0))</f>
        <v>78000</v>
      </c>
      <c r="P394" s="7">
        <f>IF($H394&gt;I394,MIN($H394-I394,J394-I394)*INDEX('2018_commission_structure'!$A$11:$I$14,MATCH(Calculations!$E394,'2018_commission_structure'!$A$11:$A$14,0), MATCH(Calculations!P$1,'2018_commission_structure'!$A$11:$I$11,0)),0)</f>
        <v>25500.000000000004</v>
      </c>
      <c r="Q394" s="7">
        <f>IF($H394&gt;J394,MIN($H394-J394,K394-J394)*INDEX('2018_commission_structure'!$A$11:$I$14,MATCH(Calculations!$E394,'2018_commission_structure'!$A$11:$A$14,0), MATCH(Calculations!Q$1,'2018_commission_structure'!$A$11:$I$11,0)),0)</f>
        <v>11505.9</v>
      </c>
      <c r="R394" s="7">
        <f>IF($H394&gt;K394,MIN($H394-K394,L394-K394)*INDEX('2018_commission_structure'!$A$11:$I$14,MATCH(Calculations!$E394,'2018_commission_structure'!$A$11:$A$14,0), MATCH(Calculations!R$1,'2018_commission_structure'!$A$11:$I$11,0)),0)</f>
        <v>0</v>
      </c>
      <c r="S394" s="7">
        <f>IF(H394&gt;L394,(H394-L394)*INDEX('2018_commission_structure'!$A$11:$I$14,MATCH(Calculations!$E394,'2018_commission_structure'!$A$11:$A$14,0),MATCH(Calculations!S$1,'2018_commission_structure'!$A$11:$I$11,0)),0)</f>
        <v>0</v>
      </c>
      <c r="T394" s="7">
        <f t="shared" si="59"/>
        <v>115005.9</v>
      </c>
      <c r="U394" s="7">
        <f t="shared" si="60"/>
        <v>187314.9</v>
      </c>
      <c r="V394" s="7">
        <f>MIN(H394,I394)*INDEX('2018_commission_structure'!$A$5:$J$8,MATCH(Calculations!$E394,'2018_commission_structure'!$A$5:$A$8,0),MATCH(Calculations!V$1,'2018_commission_structure'!$A$5:$J$5,0))</f>
        <v>90000</v>
      </c>
      <c r="W394" s="2">
        <f>IF($H394&gt;I394,MIN($H394-I394,J394-I394)*INDEX('2018_commission_structure'!$A$5:$J$8,MATCH(Calculations!$E394,'2018_commission_structure'!$A$5:$A$8,0),MATCH(Calculations!W$1,'2018_commission_structure'!$A$5:$J$5,0)),0)</f>
        <v>27000</v>
      </c>
      <c r="X394" s="2">
        <f>IF($H394&gt;J394,MIN($H394-J394,K394-J394)*INDEX('2018_commission_structure'!$A$5:$J$8,MATCH(Calculations!$E394,'2018_commission_structure'!$A$5:$A$8,0),MATCH(Calculations!X$1,'2018_commission_structure'!$A$5:$J$5,0)),0)</f>
        <v>13697.5</v>
      </c>
      <c r="Y394" s="2">
        <f>IF($H394&gt;K394,MIN($H394-K394,L394-K394)*INDEX('2018_commission_structure'!$A$5:$J$8,MATCH(Calculations!$E394,'2018_commission_structure'!$A$5:$A$8,0),MATCH(Calculations!Y$1,'2018_commission_structure'!$A$5:$J$5,0)),0)</f>
        <v>0</v>
      </c>
      <c r="Z394" s="2">
        <f xml:space="preserve"> IF(H394&gt;L394,(H394-L394)*INDEX('2018_commission_structure'!$A$11:$I$14,MATCH(Calculations!$E394,'2018_commission_structure'!$A$11:$A$14,0),MATCH(Calculations!Z$1,'2018_commission_structure'!$A$11:$I$11,0)),0)</f>
        <v>0</v>
      </c>
      <c r="AA394" s="7">
        <f t="shared" si="61"/>
        <v>130697.5</v>
      </c>
      <c r="AB394" s="7">
        <f t="shared" si="62"/>
        <v>203006.5</v>
      </c>
    </row>
    <row r="395" spans="1:28" x14ac:dyDescent="0.25">
      <c r="A395">
        <v>3661649302</v>
      </c>
      <c r="B395" t="s">
        <v>1011</v>
      </c>
      <c r="C395" t="s">
        <v>1012</v>
      </c>
      <c r="D395" t="str">
        <f>B395&amp;" "&amp;C395</f>
        <v>Evania Grime</v>
      </c>
      <c r="E395" t="s">
        <v>7</v>
      </c>
      <c r="F395">
        <v>59438</v>
      </c>
      <c r="G395">
        <f>COUNTIF(deals_closed!D:D,Calculations!A395)</f>
        <v>35</v>
      </c>
      <c r="H395" s="2">
        <f>SUMIF(deals_closed!D:D,Calculations!A395,deals_closed!C:C)</f>
        <v>1196909</v>
      </c>
      <c r="I395" s="2">
        <f>VLOOKUP(E395,'2018_commission_structure'!$A$11:$I$14,9,FALSE)</f>
        <v>500000</v>
      </c>
      <c r="J395" s="2">
        <f t="shared" si="54"/>
        <v>625000</v>
      </c>
      <c r="K395" s="2">
        <f t="shared" si="55"/>
        <v>750000</v>
      </c>
      <c r="L395" s="2">
        <f t="shared" si="56"/>
        <v>1000000</v>
      </c>
      <c r="M395" s="6">
        <f t="shared" si="57"/>
        <v>2.393818</v>
      </c>
      <c r="N395" t="str">
        <f t="shared" si="58"/>
        <v>&gt;200%</v>
      </c>
      <c r="O395" s="7">
        <f>MIN(I395,H395)*INDEX('2018_commission_structure'!$A$11:$I$14,MATCH(Calculations!$E395,'2018_commission_structure'!$A$11:$A$14,0),MATCH(Calculations!O$1,'2018_commission_structure'!$A$11:$I$11,0))</f>
        <v>50000</v>
      </c>
      <c r="P395" s="7">
        <f>IF($H395&gt;I395,MIN($H395-I395,J395-I395)*INDEX('2018_commission_structure'!$A$11:$I$14,MATCH(Calculations!$E395,'2018_commission_structure'!$A$11:$A$14,0), MATCH(Calculations!P$1,'2018_commission_structure'!$A$11:$I$11,0)),0)</f>
        <v>18750</v>
      </c>
      <c r="Q395" s="7">
        <f>IF($H395&gt;J395,MIN($H395-J395,K395-J395)*INDEX('2018_commission_structure'!$A$11:$I$14,MATCH(Calculations!$E395,'2018_commission_structure'!$A$11:$A$14,0), MATCH(Calculations!Q$1,'2018_commission_structure'!$A$11:$I$11,0)),0)</f>
        <v>22500</v>
      </c>
      <c r="R395" s="7">
        <f>IF($H395&gt;K395,MIN($H395-K395,L395-K395)*INDEX('2018_commission_structure'!$A$11:$I$14,MATCH(Calculations!$E395,'2018_commission_structure'!$A$11:$A$14,0), MATCH(Calculations!R$1,'2018_commission_structure'!$A$11:$I$11,0)),0)</f>
        <v>55000</v>
      </c>
      <c r="S395" s="7">
        <f>IF(H395&gt;L395,(H395-L395)*INDEX('2018_commission_structure'!$A$11:$I$14,MATCH(Calculations!$E395,'2018_commission_structure'!$A$11:$A$14,0),MATCH(Calculations!S$1,'2018_commission_structure'!$A$11:$I$11,0)),0)</f>
        <v>19690.900000000001</v>
      </c>
      <c r="T395" s="7">
        <f t="shared" si="59"/>
        <v>165940.9</v>
      </c>
      <c r="U395" s="7">
        <f t="shared" si="60"/>
        <v>225378.9</v>
      </c>
      <c r="V395" s="7">
        <f>MIN(H395,I395)*INDEX('2018_commission_structure'!$A$5:$J$8,MATCH(Calculations!$E395,'2018_commission_structure'!$A$5:$A$8,0),MATCH(Calculations!V$1,'2018_commission_structure'!$A$5:$J$5,0))</f>
        <v>60000</v>
      </c>
      <c r="W395" s="2">
        <f>IF($H395&gt;I395,MIN($H395-I395,J395-I395)*INDEX('2018_commission_structure'!$A$5:$J$8,MATCH(Calculations!$E395,'2018_commission_structure'!$A$5:$A$8,0),MATCH(Calculations!W$1,'2018_commission_structure'!$A$5:$J$5,0)),0)</f>
        <v>21250</v>
      </c>
      <c r="X395" s="2">
        <f>IF($H395&gt;J395,MIN($H395-J395,K395-J395)*INDEX('2018_commission_structure'!$A$5:$J$8,MATCH(Calculations!$E395,'2018_commission_structure'!$A$5:$A$8,0),MATCH(Calculations!X$1,'2018_commission_structure'!$A$5:$J$5,0)),0)</f>
        <v>25000</v>
      </c>
      <c r="Y395" s="2">
        <f>IF($H395&gt;K395,MIN($H395-K395,L395-K395)*INDEX('2018_commission_structure'!$A$5:$J$8,MATCH(Calculations!$E395,'2018_commission_structure'!$A$5:$A$8,0),MATCH(Calculations!Y$1,'2018_commission_structure'!$A$5:$J$5,0)),0)</f>
        <v>55000</v>
      </c>
      <c r="Z395" s="2">
        <f xml:space="preserve"> IF(H395&gt;L395,(H395-L395)*INDEX('2018_commission_structure'!$A$11:$I$14,MATCH(Calculations!$E395,'2018_commission_structure'!$A$11:$A$14,0),MATCH(Calculations!Z$1,'2018_commission_structure'!$A$11:$I$11,0)),0)</f>
        <v>19690.900000000001</v>
      </c>
      <c r="AA395" s="7">
        <f t="shared" si="61"/>
        <v>180940.9</v>
      </c>
      <c r="AB395" s="7">
        <f t="shared" si="62"/>
        <v>240378.9</v>
      </c>
    </row>
    <row r="396" spans="1:28" x14ac:dyDescent="0.25">
      <c r="A396">
        <v>797787712</v>
      </c>
      <c r="B396" t="s">
        <v>1139</v>
      </c>
      <c r="C396" t="s">
        <v>1140</v>
      </c>
      <c r="D396" t="str">
        <f>B396&amp;" "&amp;C396</f>
        <v>Duffy Grimsdyke</v>
      </c>
      <c r="E396" t="s">
        <v>29</v>
      </c>
      <c r="F396">
        <v>53868</v>
      </c>
      <c r="G396">
        <f>COUNTIF(deals_closed!D:D,Calculations!A396)</f>
        <v>13</v>
      </c>
      <c r="H396" s="2">
        <f>SUMIF(deals_closed!D:D,Calculations!A396,deals_closed!C:C)</f>
        <v>382630</v>
      </c>
      <c r="I396" s="2">
        <f>VLOOKUP(E396,'2018_commission_structure'!$A$11:$I$14,9,FALSE)</f>
        <v>600000</v>
      </c>
      <c r="J396" s="2">
        <f t="shared" si="54"/>
        <v>750000</v>
      </c>
      <c r="K396" s="2">
        <f t="shared" si="55"/>
        <v>900000</v>
      </c>
      <c r="L396" s="2">
        <f t="shared" si="56"/>
        <v>1200000</v>
      </c>
      <c r="M396" s="6">
        <f t="shared" si="57"/>
        <v>0.63771666666666671</v>
      </c>
      <c r="N396" t="str">
        <f t="shared" si="58"/>
        <v>0-100%</v>
      </c>
      <c r="O396" s="7">
        <f>MIN(I396,H396)*INDEX('2018_commission_structure'!$A$11:$I$14,MATCH(Calculations!$E396,'2018_commission_structure'!$A$11:$A$14,0),MATCH(Calculations!O$1,'2018_commission_structure'!$A$11:$I$11,0))</f>
        <v>49741.9</v>
      </c>
      <c r="P396" s="7">
        <f>IF($H396&gt;I396,MIN($H396-I396,J396-I396)*INDEX('2018_commission_structure'!$A$11:$I$14,MATCH(Calculations!$E396,'2018_commission_structure'!$A$11:$A$14,0), MATCH(Calculations!P$1,'2018_commission_structure'!$A$11:$I$11,0)),0)</f>
        <v>0</v>
      </c>
      <c r="Q396" s="7">
        <f>IF($H396&gt;J396,MIN($H396-J396,K396-J396)*INDEX('2018_commission_structure'!$A$11:$I$14,MATCH(Calculations!$E396,'2018_commission_structure'!$A$11:$A$14,0), MATCH(Calculations!Q$1,'2018_commission_structure'!$A$11:$I$11,0)),0)</f>
        <v>0</v>
      </c>
      <c r="R396" s="7">
        <f>IF($H396&gt;K396,MIN($H396-K396,L396-K396)*INDEX('2018_commission_structure'!$A$11:$I$14,MATCH(Calculations!$E396,'2018_commission_structure'!$A$11:$A$14,0), MATCH(Calculations!R$1,'2018_commission_structure'!$A$11:$I$11,0)),0)</f>
        <v>0</v>
      </c>
      <c r="S396" s="7">
        <f>IF(H396&gt;L396,(H396-L396)*INDEX('2018_commission_structure'!$A$11:$I$14,MATCH(Calculations!$E396,'2018_commission_structure'!$A$11:$A$14,0),MATCH(Calculations!S$1,'2018_commission_structure'!$A$11:$I$11,0)),0)</f>
        <v>0</v>
      </c>
      <c r="T396" s="7">
        <f t="shared" si="59"/>
        <v>49741.9</v>
      </c>
      <c r="U396" s="7">
        <f t="shared" si="60"/>
        <v>103609.9</v>
      </c>
      <c r="V396" s="7">
        <f>MIN(H396,I396)*INDEX('2018_commission_structure'!$A$5:$J$8,MATCH(Calculations!$E396,'2018_commission_structure'!$A$5:$A$8,0),MATCH(Calculations!V$1,'2018_commission_structure'!$A$5:$J$5,0))</f>
        <v>57394.5</v>
      </c>
      <c r="W396" s="2">
        <f>IF($H396&gt;I396,MIN($H396-I396,J396-I396)*INDEX('2018_commission_structure'!$A$5:$J$8,MATCH(Calculations!$E396,'2018_commission_structure'!$A$5:$A$8,0),MATCH(Calculations!W$1,'2018_commission_structure'!$A$5:$J$5,0)),0)</f>
        <v>0</v>
      </c>
      <c r="X396" s="2">
        <f>IF($H396&gt;J396,MIN($H396-J396,K396-J396)*INDEX('2018_commission_structure'!$A$5:$J$8,MATCH(Calculations!$E396,'2018_commission_structure'!$A$5:$A$8,0),MATCH(Calculations!X$1,'2018_commission_structure'!$A$5:$J$5,0)),0)</f>
        <v>0</v>
      </c>
      <c r="Y396" s="2">
        <f>IF($H396&gt;K396,MIN($H396-K396,L396-K396)*INDEX('2018_commission_structure'!$A$5:$J$8,MATCH(Calculations!$E396,'2018_commission_structure'!$A$5:$A$8,0),MATCH(Calculations!Y$1,'2018_commission_structure'!$A$5:$J$5,0)),0)</f>
        <v>0</v>
      </c>
      <c r="Z396" s="2">
        <f xml:space="preserve"> IF(H396&gt;L396,(H396-L396)*INDEX('2018_commission_structure'!$A$11:$I$14,MATCH(Calculations!$E396,'2018_commission_structure'!$A$11:$A$14,0),MATCH(Calculations!Z$1,'2018_commission_structure'!$A$11:$I$11,0)),0)</f>
        <v>0</v>
      </c>
      <c r="AA396" s="7">
        <f t="shared" si="61"/>
        <v>57394.5</v>
      </c>
      <c r="AB396" s="7">
        <f t="shared" si="62"/>
        <v>111262.5</v>
      </c>
    </row>
    <row r="397" spans="1:28" x14ac:dyDescent="0.25">
      <c r="A397">
        <v>3129526900</v>
      </c>
      <c r="B397" t="s">
        <v>1540</v>
      </c>
      <c r="C397" t="s">
        <v>1541</v>
      </c>
      <c r="D397" t="str">
        <f>B397&amp;" "&amp;C397</f>
        <v>Lionello Grogono</v>
      </c>
      <c r="E397" t="s">
        <v>29</v>
      </c>
      <c r="F397">
        <v>57123</v>
      </c>
      <c r="G397">
        <f>COUNTIF(deals_closed!D:D,Calculations!A397)</f>
        <v>23</v>
      </c>
      <c r="H397" s="2">
        <f>SUMIF(deals_closed!D:D,Calculations!A397,deals_closed!C:C)</f>
        <v>662269</v>
      </c>
      <c r="I397" s="2">
        <f>VLOOKUP(E397,'2018_commission_structure'!$A$11:$I$14,9,FALSE)</f>
        <v>600000</v>
      </c>
      <c r="J397" s="2">
        <f t="shared" si="54"/>
        <v>750000</v>
      </c>
      <c r="K397" s="2">
        <f t="shared" si="55"/>
        <v>900000</v>
      </c>
      <c r="L397" s="2">
        <f t="shared" si="56"/>
        <v>1200000</v>
      </c>
      <c r="M397" s="6">
        <f t="shared" si="57"/>
        <v>1.1037816666666667</v>
      </c>
      <c r="N397" t="str">
        <f t="shared" si="58"/>
        <v>100-125%</v>
      </c>
      <c r="O397" s="7">
        <f>MIN(I397,H397)*INDEX('2018_commission_structure'!$A$11:$I$14,MATCH(Calculations!$E397,'2018_commission_structure'!$A$11:$A$14,0),MATCH(Calculations!O$1,'2018_commission_structure'!$A$11:$I$11,0))</f>
        <v>78000</v>
      </c>
      <c r="P397" s="7">
        <f>IF($H397&gt;I397,MIN($H397-I397,J397-I397)*INDEX('2018_commission_structure'!$A$11:$I$14,MATCH(Calculations!$E397,'2018_commission_structure'!$A$11:$A$14,0), MATCH(Calculations!P$1,'2018_commission_structure'!$A$11:$I$11,0)),0)</f>
        <v>10585.730000000001</v>
      </c>
      <c r="Q397" s="7">
        <f>IF($H397&gt;J397,MIN($H397-J397,K397-J397)*INDEX('2018_commission_structure'!$A$11:$I$14,MATCH(Calculations!$E397,'2018_commission_structure'!$A$11:$A$14,0), MATCH(Calculations!Q$1,'2018_commission_structure'!$A$11:$I$11,0)),0)</f>
        <v>0</v>
      </c>
      <c r="R397" s="7">
        <f>IF($H397&gt;K397,MIN($H397-K397,L397-K397)*INDEX('2018_commission_structure'!$A$11:$I$14,MATCH(Calculations!$E397,'2018_commission_structure'!$A$11:$A$14,0), MATCH(Calculations!R$1,'2018_commission_structure'!$A$11:$I$11,0)),0)</f>
        <v>0</v>
      </c>
      <c r="S397" s="7">
        <f>IF(H397&gt;L397,(H397-L397)*INDEX('2018_commission_structure'!$A$11:$I$14,MATCH(Calculations!$E397,'2018_commission_structure'!$A$11:$A$14,0),MATCH(Calculations!S$1,'2018_commission_structure'!$A$11:$I$11,0)),0)</f>
        <v>0</v>
      </c>
      <c r="T397" s="7">
        <f t="shared" si="59"/>
        <v>88585.73</v>
      </c>
      <c r="U397" s="7">
        <f t="shared" si="60"/>
        <v>145708.72999999998</v>
      </c>
      <c r="V397" s="7">
        <f>MIN(H397,I397)*INDEX('2018_commission_structure'!$A$5:$J$8,MATCH(Calculations!$E397,'2018_commission_structure'!$A$5:$A$8,0),MATCH(Calculations!V$1,'2018_commission_structure'!$A$5:$J$5,0))</f>
        <v>90000</v>
      </c>
      <c r="W397" s="2">
        <f>IF($H397&gt;I397,MIN($H397-I397,J397-I397)*INDEX('2018_commission_structure'!$A$5:$J$8,MATCH(Calculations!$E397,'2018_commission_structure'!$A$5:$A$8,0),MATCH(Calculations!W$1,'2018_commission_structure'!$A$5:$J$5,0)),0)</f>
        <v>11208.42</v>
      </c>
      <c r="X397" s="2">
        <f>IF($H397&gt;J397,MIN($H397-J397,K397-J397)*INDEX('2018_commission_structure'!$A$5:$J$8,MATCH(Calculations!$E397,'2018_commission_structure'!$A$5:$A$8,0),MATCH(Calculations!X$1,'2018_commission_structure'!$A$5:$J$5,0)),0)</f>
        <v>0</v>
      </c>
      <c r="Y397" s="2">
        <f>IF($H397&gt;K397,MIN($H397-K397,L397-K397)*INDEX('2018_commission_structure'!$A$5:$J$8,MATCH(Calculations!$E397,'2018_commission_structure'!$A$5:$A$8,0),MATCH(Calculations!Y$1,'2018_commission_structure'!$A$5:$J$5,0)),0)</f>
        <v>0</v>
      </c>
      <c r="Z397" s="2">
        <f xml:space="preserve"> IF(H397&gt;L397,(H397-L397)*INDEX('2018_commission_structure'!$A$11:$I$14,MATCH(Calculations!$E397,'2018_commission_structure'!$A$11:$A$14,0),MATCH(Calculations!Z$1,'2018_commission_structure'!$A$11:$I$11,0)),0)</f>
        <v>0</v>
      </c>
      <c r="AA397" s="7">
        <f t="shared" si="61"/>
        <v>101208.42</v>
      </c>
      <c r="AB397" s="7">
        <f t="shared" si="62"/>
        <v>158331.41999999998</v>
      </c>
    </row>
    <row r="398" spans="1:28" x14ac:dyDescent="0.25">
      <c r="A398">
        <v>2376099331</v>
      </c>
      <c r="B398" t="s">
        <v>1137</v>
      </c>
      <c r="C398" t="s">
        <v>1138</v>
      </c>
      <c r="D398" t="str">
        <f>B398&amp;" "&amp;C398</f>
        <v>Cherye Grunbaum</v>
      </c>
      <c r="E398" t="s">
        <v>7</v>
      </c>
      <c r="F398">
        <v>40035</v>
      </c>
      <c r="G398">
        <f>COUNTIF(deals_closed!D:D,Calculations!A398)</f>
        <v>19</v>
      </c>
      <c r="H398" s="2">
        <f>SUMIF(deals_closed!D:D,Calculations!A398,deals_closed!C:C)</f>
        <v>635564</v>
      </c>
      <c r="I398" s="2">
        <f>VLOOKUP(E398,'2018_commission_structure'!$A$11:$I$14,9,FALSE)</f>
        <v>500000</v>
      </c>
      <c r="J398" s="2">
        <f t="shared" si="54"/>
        <v>625000</v>
      </c>
      <c r="K398" s="2">
        <f t="shared" si="55"/>
        <v>750000</v>
      </c>
      <c r="L398" s="2">
        <f t="shared" si="56"/>
        <v>1000000</v>
      </c>
      <c r="M398" s="6">
        <f t="shared" si="57"/>
        <v>1.271128</v>
      </c>
      <c r="N398" t="str">
        <f t="shared" si="58"/>
        <v>125-150%</v>
      </c>
      <c r="O398" s="7">
        <f>MIN(I398,H398)*INDEX('2018_commission_structure'!$A$11:$I$14,MATCH(Calculations!$E398,'2018_commission_structure'!$A$11:$A$14,0),MATCH(Calculations!O$1,'2018_commission_structure'!$A$11:$I$11,0))</f>
        <v>50000</v>
      </c>
      <c r="P398" s="7">
        <f>IF($H398&gt;I398,MIN($H398-I398,J398-I398)*INDEX('2018_commission_structure'!$A$11:$I$14,MATCH(Calculations!$E398,'2018_commission_structure'!$A$11:$A$14,0), MATCH(Calculations!P$1,'2018_commission_structure'!$A$11:$I$11,0)),0)</f>
        <v>18750</v>
      </c>
      <c r="Q398" s="7">
        <f>IF($H398&gt;J398,MIN($H398-J398,K398-J398)*INDEX('2018_commission_structure'!$A$11:$I$14,MATCH(Calculations!$E398,'2018_commission_structure'!$A$11:$A$14,0), MATCH(Calculations!Q$1,'2018_commission_structure'!$A$11:$I$11,0)),0)</f>
        <v>1901.52</v>
      </c>
      <c r="R398" s="7">
        <f>IF($H398&gt;K398,MIN($H398-K398,L398-K398)*INDEX('2018_commission_structure'!$A$11:$I$14,MATCH(Calculations!$E398,'2018_commission_structure'!$A$11:$A$14,0), MATCH(Calculations!R$1,'2018_commission_structure'!$A$11:$I$11,0)),0)</f>
        <v>0</v>
      </c>
      <c r="S398" s="7">
        <f>IF(H398&gt;L398,(H398-L398)*INDEX('2018_commission_structure'!$A$11:$I$14,MATCH(Calculations!$E398,'2018_commission_structure'!$A$11:$A$14,0),MATCH(Calculations!S$1,'2018_commission_structure'!$A$11:$I$11,0)),0)</f>
        <v>0</v>
      </c>
      <c r="T398" s="7">
        <f t="shared" si="59"/>
        <v>70651.520000000004</v>
      </c>
      <c r="U398" s="7">
        <f t="shared" si="60"/>
        <v>110686.52</v>
      </c>
      <c r="V398" s="7">
        <f>MIN(H398,I398)*INDEX('2018_commission_structure'!$A$5:$J$8,MATCH(Calculations!$E398,'2018_commission_structure'!$A$5:$A$8,0),MATCH(Calculations!V$1,'2018_commission_structure'!$A$5:$J$5,0))</f>
        <v>60000</v>
      </c>
      <c r="W398" s="2">
        <f>IF($H398&gt;I398,MIN($H398-I398,J398-I398)*INDEX('2018_commission_structure'!$A$5:$J$8,MATCH(Calculations!$E398,'2018_commission_structure'!$A$5:$A$8,0),MATCH(Calculations!W$1,'2018_commission_structure'!$A$5:$J$5,0)),0)</f>
        <v>21250</v>
      </c>
      <c r="X398" s="2">
        <f>IF($H398&gt;J398,MIN($H398-J398,K398-J398)*INDEX('2018_commission_structure'!$A$5:$J$8,MATCH(Calculations!$E398,'2018_commission_structure'!$A$5:$A$8,0),MATCH(Calculations!X$1,'2018_commission_structure'!$A$5:$J$5,0)),0)</f>
        <v>2112.8000000000002</v>
      </c>
      <c r="Y398" s="2">
        <f>IF($H398&gt;K398,MIN($H398-K398,L398-K398)*INDEX('2018_commission_structure'!$A$5:$J$8,MATCH(Calculations!$E398,'2018_commission_structure'!$A$5:$A$8,0),MATCH(Calculations!Y$1,'2018_commission_structure'!$A$5:$J$5,0)),0)</f>
        <v>0</v>
      </c>
      <c r="Z398" s="2">
        <f xml:space="preserve"> IF(H398&gt;L398,(H398-L398)*INDEX('2018_commission_structure'!$A$11:$I$14,MATCH(Calculations!$E398,'2018_commission_structure'!$A$11:$A$14,0),MATCH(Calculations!Z$1,'2018_commission_structure'!$A$11:$I$11,0)),0)</f>
        <v>0</v>
      </c>
      <c r="AA398" s="7">
        <f t="shared" si="61"/>
        <v>83362.8</v>
      </c>
      <c r="AB398" s="7">
        <f t="shared" si="62"/>
        <v>123397.8</v>
      </c>
    </row>
    <row r="399" spans="1:28" x14ac:dyDescent="0.25">
      <c r="A399">
        <v>9264026959</v>
      </c>
      <c r="B399" t="s">
        <v>490</v>
      </c>
      <c r="C399" t="s">
        <v>491</v>
      </c>
      <c r="D399" t="str">
        <f>B399&amp;" "&amp;C399</f>
        <v>Crystie Guerrazzi</v>
      </c>
      <c r="E399" t="s">
        <v>29</v>
      </c>
      <c r="F399">
        <v>68799</v>
      </c>
      <c r="G399">
        <f>COUNTIF(deals_closed!D:D,Calculations!A399)</f>
        <v>20</v>
      </c>
      <c r="H399" s="2">
        <f>SUMIF(deals_closed!D:D,Calculations!A399,deals_closed!C:C)</f>
        <v>659415</v>
      </c>
      <c r="I399" s="2">
        <f>VLOOKUP(E399,'2018_commission_structure'!$A$11:$I$14,9,FALSE)</f>
        <v>600000</v>
      </c>
      <c r="J399" s="2">
        <f t="shared" si="54"/>
        <v>750000</v>
      </c>
      <c r="K399" s="2">
        <f t="shared" si="55"/>
        <v>900000</v>
      </c>
      <c r="L399" s="2">
        <f t="shared" si="56"/>
        <v>1200000</v>
      </c>
      <c r="M399" s="6">
        <f t="shared" si="57"/>
        <v>1.0990249999999999</v>
      </c>
      <c r="N399" t="str">
        <f t="shared" si="58"/>
        <v>100-125%</v>
      </c>
      <c r="O399" s="7">
        <f>MIN(I399,H399)*INDEX('2018_commission_structure'!$A$11:$I$14,MATCH(Calculations!$E399,'2018_commission_structure'!$A$11:$A$14,0),MATCH(Calculations!O$1,'2018_commission_structure'!$A$11:$I$11,0))</f>
        <v>78000</v>
      </c>
      <c r="P399" s="7">
        <f>IF($H399&gt;I399,MIN($H399-I399,J399-I399)*INDEX('2018_commission_structure'!$A$11:$I$14,MATCH(Calculations!$E399,'2018_commission_structure'!$A$11:$A$14,0), MATCH(Calculations!P$1,'2018_commission_structure'!$A$11:$I$11,0)),0)</f>
        <v>10100.550000000001</v>
      </c>
      <c r="Q399" s="7">
        <f>IF($H399&gt;J399,MIN($H399-J399,K399-J399)*INDEX('2018_commission_structure'!$A$11:$I$14,MATCH(Calculations!$E399,'2018_commission_structure'!$A$11:$A$14,0), MATCH(Calculations!Q$1,'2018_commission_structure'!$A$11:$I$11,0)),0)</f>
        <v>0</v>
      </c>
      <c r="R399" s="7">
        <f>IF($H399&gt;K399,MIN($H399-K399,L399-K399)*INDEX('2018_commission_structure'!$A$11:$I$14,MATCH(Calculations!$E399,'2018_commission_structure'!$A$11:$A$14,0), MATCH(Calculations!R$1,'2018_commission_structure'!$A$11:$I$11,0)),0)</f>
        <v>0</v>
      </c>
      <c r="S399" s="7">
        <f>IF(H399&gt;L399,(H399-L399)*INDEX('2018_commission_structure'!$A$11:$I$14,MATCH(Calculations!$E399,'2018_commission_structure'!$A$11:$A$14,0),MATCH(Calculations!S$1,'2018_commission_structure'!$A$11:$I$11,0)),0)</f>
        <v>0</v>
      </c>
      <c r="T399" s="7">
        <f t="shared" si="59"/>
        <v>88100.55</v>
      </c>
      <c r="U399" s="7">
        <f t="shared" si="60"/>
        <v>156899.54999999999</v>
      </c>
      <c r="V399" s="7">
        <f>MIN(H399,I399)*INDEX('2018_commission_structure'!$A$5:$J$8,MATCH(Calculations!$E399,'2018_commission_structure'!$A$5:$A$8,0),MATCH(Calculations!V$1,'2018_commission_structure'!$A$5:$J$5,0))</f>
        <v>90000</v>
      </c>
      <c r="W399" s="2">
        <f>IF($H399&gt;I399,MIN($H399-I399,J399-I399)*INDEX('2018_commission_structure'!$A$5:$J$8,MATCH(Calculations!$E399,'2018_commission_structure'!$A$5:$A$8,0),MATCH(Calculations!W$1,'2018_commission_structure'!$A$5:$J$5,0)),0)</f>
        <v>10694.699999999999</v>
      </c>
      <c r="X399" s="2">
        <f>IF($H399&gt;J399,MIN($H399-J399,K399-J399)*INDEX('2018_commission_structure'!$A$5:$J$8,MATCH(Calculations!$E399,'2018_commission_structure'!$A$5:$A$8,0),MATCH(Calculations!X$1,'2018_commission_structure'!$A$5:$J$5,0)),0)</f>
        <v>0</v>
      </c>
      <c r="Y399" s="2">
        <f>IF($H399&gt;K399,MIN($H399-K399,L399-K399)*INDEX('2018_commission_structure'!$A$5:$J$8,MATCH(Calculations!$E399,'2018_commission_structure'!$A$5:$A$8,0),MATCH(Calculations!Y$1,'2018_commission_structure'!$A$5:$J$5,0)),0)</f>
        <v>0</v>
      </c>
      <c r="Z399" s="2">
        <f xml:space="preserve"> IF(H399&gt;L399,(H399-L399)*INDEX('2018_commission_structure'!$A$11:$I$14,MATCH(Calculations!$E399,'2018_commission_structure'!$A$11:$A$14,0),MATCH(Calculations!Z$1,'2018_commission_structure'!$A$11:$I$11,0)),0)</f>
        <v>0</v>
      </c>
      <c r="AA399" s="7">
        <f t="shared" si="61"/>
        <v>100694.7</v>
      </c>
      <c r="AB399" s="7">
        <f t="shared" si="62"/>
        <v>169493.7</v>
      </c>
    </row>
    <row r="400" spans="1:28" x14ac:dyDescent="0.25">
      <c r="A400">
        <v>2355104786</v>
      </c>
      <c r="B400" t="s">
        <v>757</v>
      </c>
      <c r="C400" t="s">
        <v>758</v>
      </c>
      <c r="D400" t="str">
        <f>B400&amp;" "&amp;C400</f>
        <v>Roger Guiet</v>
      </c>
      <c r="E400" t="s">
        <v>29</v>
      </c>
      <c r="F400">
        <v>78796</v>
      </c>
      <c r="G400">
        <f>COUNTIF(deals_closed!D:D,Calculations!A400)</f>
        <v>23</v>
      </c>
      <c r="H400" s="2">
        <f>SUMIF(deals_closed!D:D,Calculations!A400,deals_closed!C:C)</f>
        <v>787765</v>
      </c>
      <c r="I400" s="2">
        <f>VLOOKUP(E400,'2018_commission_structure'!$A$11:$I$14,9,FALSE)</f>
        <v>600000</v>
      </c>
      <c r="J400" s="2">
        <f t="shared" si="54"/>
        <v>750000</v>
      </c>
      <c r="K400" s="2">
        <f t="shared" si="55"/>
        <v>900000</v>
      </c>
      <c r="L400" s="2">
        <f t="shared" si="56"/>
        <v>1200000</v>
      </c>
      <c r="M400" s="6">
        <f t="shared" si="57"/>
        <v>1.3129416666666667</v>
      </c>
      <c r="N400" t="str">
        <f t="shared" si="58"/>
        <v>125-150%</v>
      </c>
      <c r="O400" s="7">
        <f>MIN(I400,H400)*INDEX('2018_commission_structure'!$A$11:$I$14,MATCH(Calculations!$E400,'2018_commission_structure'!$A$11:$A$14,0),MATCH(Calculations!O$1,'2018_commission_structure'!$A$11:$I$11,0))</f>
        <v>78000</v>
      </c>
      <c r="P400" s="7">
        <f>IF($H400&gt;I400,MIN($H400-I400,J400-I400)*INDEX('2018_commission_structure'!$A$11:$I$14,MATCH(Calculations!$E400,'2018_commission_structure'!$A$11:$A$14,0), MATCH(Calculations!P$1,'2018_commission_structure'!$A$11:$I$11,0)),0)</f>
        <v>25500.000000000004</v>
      </c>
      <c r="Q400" s="7">
        <f>IF($H400&gt;J400,MIN($H400-J400,K400-J400)*INDEX('2018_commission_structure'!$A$11:$I$14,MATCH(Calculations!$E400,'2018_commission_structure'!$A$11:$A$14,0), MATCH(Calculations!Q$1,'2018_commission_structure'!$A$11:$I$11,0)),0)</f>
        <v>7930.65</v>
      </c>
      <c r="R400" s="7">
        <f>IF($H400&gt;K400,MIN($H400-K400,L400-K400)*INDEX('2018_commission_structure'!$A$11:$I$14,MATCH(Calculations!$E400,'2018_commission_structure'!$A$11:$A$14,0), MATCH(Calculations!R$1,'2018_commission_structure'!$A$11:$I$11,0)),0)</f>
        <v>0</v>
      </c>
      <c r="S400" s="7">
        <f>IF(H400&gt;L400,(H400-L400)*INDEX('2018_commission_structure'!$A$11:$I$14,MATCH(Calculations!$E400,'2018_commission_structure'!$A$11:$A$14,0),MATCH(Calculations!S$1,'2018_commission_structure'!$A$11:$I$11,0)),0)</f>
        <v>0</v>
      </c>
      <c r="T400" s="7">
        <f t="shared" si="59"/>
        <v>111430.65</v>
      </c>
      <c r="U400" s="7">
        <f t="shared" si="60"/>
        <v>190226.65</v>
      </c>
      <c r="V400" s="7">
        <f>MIN(H400,I400)*INDEX('2018_commission_structure'!$A$5:$J$8,MATCH(Calculations!$E400,'2018_commission_structure'!$A$5:$A$8,0),MATCH(Calculations!V$1,'2018_commission_structure'!$A$5:$J$5,0))</f>
        <v>90000</v>
      </c>
      <c r="W400" s="2">
        <f>IF($H400&gt;I400,MIN($H400-I400,J400-I400)*INDEX('2018_commission_structure'!$A$5:$J$8,MATCH(Calculations!$E400,'2018_commission_structure'!$A$5:$A$8,0),MATCH(Calculations!W$1,'2018_commission_structure'!$A$5:$J$5,0)),0)</f>
        <v>27000</v>
      </c>
      <c r="X400" s="2">
        <f>IF($H400&gt;J400,MIN($H400-J400,K400-J400)*INDEX('2018_commission_structure'!$A$5:$J$8,MATCH(Calculations!$E400,'2018_commission_structure'!$A$5:$A$8,0),MATCH(Calculations!X$1,'2018_commission_structure'!$A$5:$J$5,0)),0)</f>
        <v>9441.25</v>
      </c>
      <c r="Y400" s="2">
        <f>IF($H400&gt;K400,MIN($H400-K400,L400-K400)*INDEX('2018_commission_structure'!$A$5:$J$8,MATCH(Calculations!$E400,'2018_commission_structure'!$A$5:$A$8,0),MATCH(Calculations!Y$1,'2018_commission_structure'!$A$5:$J$5,0)),0)</f>
        <v>0</v>
      </c>
      <c r="Z400" s="2">
        <f xml:space="preserve"> IF(H400&gt;L400,(H400-L400)*INDEX('2018_commission_structure'!$A$11:$I$14,MATCH(Calculations!$E400,'2018_commission_structure'!$A$11:$A$14,0),MATCH(Calculations!Z$1,'2018_commission_structure'!$A$11:$I$11,0)),0)</f>
        <v>0</v>
      </c>
      <c r="AA400" s="7">
        <f t="shared" si="61"/>
        <v>126441.25</v>
      </c>
      <c r="AB400" s="7">
        <f t="shared" si="62"/>
        <v>205237.25</v>
      </c>
    </row>
    <row r="401" spans="1:28" x14ac:dyDescent="0.25">
      <c r="A401">
        <v>9002722281</v>
      </c>
      <c r="B401" t="s">
        <v>1815</v>
      </c>
      <c r="C401" t="s">
        <v>1816</v>
      </c>
      <c r="D401" t="str">
        <f>B401&amp;" "&amp;C401</f>
        <v>Lorianne Guillem</v>
      </c>
      <c r="E401" t="s">
        <v>10</v>
      </c>
      <c r="F401">
        <v>87491</v>
      </c>
      <c r="G401">
        <f>COUNTIF(deals_closed!D:D,Calculations!A401)</f>
        <v>16</v>
      </c>
      <c r="H401" s="2">
        <f>SUMIF(deals_closed!D:D,Calculations!A401,deals_closed!C:C)</f>
        <v>538916</v>
      </c>
      <c r="I401" s="2">
        <f>VLOOKUP(E401,'2018_commission_structure'!$A$11:$I$14,9,FALSE)</f>
        <v>750000</v>
      </c>
      <c r="J401" s="2">
        <f t="shared" si="54"/>
        <v>937500</v>
      </c>
      <c r="K401" s="2">
        <f t="shared" si="55"/>
        <v>1125000</v>
      </c>
      <c r="L401" s="2">
        <f t="shared" si="56"/>
        <v>1500000</v>
      </c>
      <c r="M401" s="6">
        <f t="shared" si="57"/>
        <v>0.71855466666666667</v>
      </c>
      <c r="N401" t="str">
        <f t="shared" si="58"/>
        <v>0-100%</v>
      </c>
      <c r="O401" s="7">
        <f>MIN(I401,H401)*INDEX('2018_commission_structure'!$A$11:$I$14,MATCH(Calculations!$E401,'2018_commission_structure'!$A$11:$A$14,0),MATCH(Calculations!O$1,'2018_commission_structure'!$A$11:$I$11,0))</f>
        <v>80837.399999999994</v>
      </c>
      <c r="P401" s="7">
        <f>IF($H401&gt;I401,MIN($H401-I401,J401-I401)*INDEX('2018_commission_structure'!$A$11:$I$14,MATCH(Calculations!$E401,'2018_commission_structure'!$A$11:$A$14,0), MATCH(Calculations!P$1,'2018_commission_structure'!$A$11:$I$11,0)),0)</f>
        <v>0</v>
      </c>
      <c r="Q401" s="7">
        <f>IF($H401&gt;J401,MIN($H401-J401,K401-J401)*INDEX('2018_commission_structure'!$A$11:$I$14,MATCH(Calculations!$E401,'2018_commission_structure'!$A$11:$A$14,0), MATCH(Calculations!Q$1,'2018_commission_structure'!$A$11:$I$11,0)),0)</f>
        <v>0</v>
      </c>
      <c r="R401" s="7">
        <f>IF($H401&gt;K401,MIN($H401-K401,L401-K401)*INDEX('2018_commission_structure'!$A$11:$I$14,MATCH(Calculations!$E401,'2018_commission_structure'!$A$11:$A$14,0), MATCH(Calculations!R$1,'2018_commission_structure'!$A$11:$I$11,0)),0)</f>
        <v>0</v>
      </c>
      <c r="S401" s="7">
        <f>IF(H401&gt;L401,(H401-L401)*INDEX('2018_commission_structure'!$A$11:$I$14,MATCH(Calculations!$E401,'2018_commission_structure'!$A$11:$A$14,0),MATCH(Calculations!S$1,'2018_commission_structure'!$A$11:$I$11,0)),0)</f>
        <v>0</v>
      </c>
      <c r="T401" s="7">
        <f t="shared" si="59"/>
        <v>80837.399999999994</v>
      </c>
      <c r="U401" s="7">
        <f t="shared" si="60"/>
        <v>168328.4</v>
      </c>
      <c r="V401" s="7">
        <f>MIN(H401,I401)*INDEX('2018_commission_structure'!$A$5:$J$8,MATCH(Calculations!$E401,'2018_commission_structure'!$A$5:$A$8,0),MATCH(Calculations!V$1,'2018_commission_structure'!$A$5:$J$5,0))</f>
        <v>80837.399999999994</v>
      </c>
      <c r="W401" s="2">
        <f>IF($H401&gt;I401,MIN($H401-I401,J401-I401)*INDEX('2018_commission_structure'!$A$5:$J$8,MATCH(Calculations!$E401,'2018_commission_structure'!$A$5:$A$8,0),MATCH(Calculations!W$1,'2018_commission_structure'!$A$5:$J$5,0)),0)</f>
        <v>0</v>
      </c>
      <c r="X401" s="2">
        <f>IF($H401&gt;J401,MIN($H401-J401,K401-J401)*INDEX('2018_commission_structure'!$A$5:$J$8,MATCH(Calculations!$E401,'2018_commission_structure'!$A$5:$A$8,0),MATCH(Calculations!X$1,'2018_commission_structure'!$A$5:$J$5,0)),0)</f>
        <v>0</v>
      </c>
      <c r="Y401" s="2">
        <f>IF($H401&gt;K401,MIN($H401-K401,L401-K401)*INDEX('2018_commission_structure'!$A$5:$J$8,MATCH(Calculations!$E401,'2018_commission_structure'!$A$5:$A$8,0),MATCH(Calculations!Y$1,'2018_commission_structure'!$A$5:$J$5,0)),0)</f>
        <v>0</v>
      </c>
      <c r="Z401" s="2">
        <f xml:space="preserve"> IF(H401&gt;L401,(H401-L401)*INDEX('2018_commission_structure'!$A$11:$I$14,MATCH(Calculations!$E401,'2018_commission_structure'!$A$11:$A$14,0),MATCH(Calculations!Z$1,'2018_commission_structure'!$A$11:$I$11,0)),0)</f>
        <v>0</v>
      </c>
      <c r="AA401" s="7">
        <f t="shared" si="61"/>
        <v>80837.399999999994</v>
      </c>
      <c r="AB401" s="7">
        <f t="shared" si="62"/>
        <v>168328.4</v>
      </c>
    </row>
    <row r="402" spans="1:28" x14ac:dyDescent="0.25">
      <c r="A402">
        <v>569240891</v>
      </c>
      <c r="B402" t="s">
        <v>1694</v>
      </c>
      <c r="C402" t="s">
        <v>1695</v>
      </c>
      <c r="D402" t="str">
        <f>B402&amp;" "&amp;C402</f>
        <v>Lowe Guiness</v>
      </c>
      <c r="E402" t="s">
        <v>29</v>
      </c>
      <c r="F402">
        <v>78823</v>
      </c>
      <c r="G402">
        <f>COUNTIF(deals_closed!D:D,Calculations!A402)</f>
        <v>23</v>
      </c>
      <c r="H402" s="2">
        <f>SUMIF(deals_closed!D:D,Calculations!A402,deals_closed!C:C)</f>
        <v>950987</v>
      </c>
      <c r="I402" s="2">
        <f>VLOOKUP(E402,'2018_commission_structure'!$A$11:$I$14,9,FALSE)</f>
        <v>600000</v>
      </c>
      <c r="J402" s="2">
        <f t="shared" si="54"/>
        <v>750000</v>
      </c>
      <c r="K402" s="2">
        <f t="shared" si="55"/>
        <v>900000</v>
      </c>
      <c r="L402" s="2">
        <f t="shared" si="56"/>
        <v>1200000</v>
      </c>
      <c r="M402" s="6">
        <f t="shared" si="57"/>
        <v>1.5849783333333334</v>
      </c>
      <c r="N402" t="str">
        <f t="shared" si="58"/>
        <v>150-200%</v>
      </c>
      <c r="O402" s="7">
        <f>MIN(I402,H402)*INDEX('2018_commission_structure'!$A$11:$I$14,MATCH(Calculations!$E402,'2018_commission_structure'!$A$11:$A$14,0),MATCH(Calculations!O$1,'2018_commission_structure'!$A$11:$I$11,0))</f>
        <v>78000</v>
      </c>
      <c r="P402" s="7">
        <f>IF($H402&gt;I402,MIN($H402-I402,J402-I402)*INDEX('2018_commission_structure'!$A$11:$I$14,MATCH(Calculations!$E402,'2018_commission_structure'!$A$11:$A$14,0), MATCH(Calculations!P$1,'2018_commission_structure'!$A$11:$I$11,0)),0)</f>
        <v>25500.000000000004</v>
      </c>
      <c r="Q402" s="7">
        <f>IF($H402&gt;J402,MIN($H402-J402,K402-J402)*INDEX('2018_commission_structure'!$A$11:$I$14,MATCH(Calculations!$E402,'2018_commission_structure'!$A$11:$A$14,0), MATCH(Calculations!Q$1,'2018_commission_structure'!$A$11:$I$11,0)),0)</f>
        <v>31500</v>
      </c>
      <c r="R402" s="7">
        <f>IF($H402&gt;K402,MIN($H402-K402,L402-K402)*INDEX('2018_commission_structure'!$A$11:$I$14,MATCH(Calculations!$E402,'2018_commission_structure'!$A$11:$A$14,0), MATCH(Calculations!R$1,'2018_commission_structure'!$A$11:$I$11,0)),0)</f>
        <v>13256.62</v>
      </c>
      <c r="S402" s="7">
        <f>IF(H402&gt;L402,(H402-L402)*INDEX('2018_commission_structure'!$A$11:$I$14,MATCH(Calculations!$E402,'2018_commission_structure'!$A$11:$A$14,0),MATCH(Calculations!S$1,'2018_commission_structure'!$A$11:$I$11,0)),0)</f>
        <v>0</v>
      </c>
      <c r="T402" s="7">
        <f t="shared" si="59"/>
        <v>148256.62</v>
      </c>
      <c r="U402" s="7">
        <f t="shared" si="60"/>
        <v>227079.62</v>
      </c>
      <c r="V402" s="7">
        <f>MIN(H402,I402)*INDEX('2018_commission_structure'!$A$5:$J$8,MATCH(Calculations!$E402,'2018_commission_structure'!$A$5:$A$8,0),MATCH(Calculations!V$1,'2018_commission_structure'!$A$5:$J$5,0))</f>
        <v>90000</v>
      </c>
      <c r="W402" s="2">
        <f>IF($H402&gt;I402,MIN($H402-I402,J402-I402)*INDEX('2018_commission_structure'!$A$5:$J$8,MATCH(Calculations!$E402,'2018_commission_structure'!$A$5:$A$8,0),MATCH(Calculations!W$1,'2018_commission_structure'!$A$5:$J$5,0)),0)</f>
        <v>27000</v>
      </c>
      <c r="X402" s="2">
        <f>IF($H402&gt;J402,MIN($H402-J402,K402-J402)*INDEX('2018_commission_structure'!$A$5:$J$8,MATCH(Calculations!$E402,'2018_commission_structure'!$A$5:$A$8,0),MATCH(Calculations!X$1,'2018_commission_structure'!$A$5:$J$5,0)),0)</f>
        <v>37500</v>
      </c>
      <c r="Y402" s="2">
        <f>IF($H402&gt;K402,MIN($H402-K402,L402-K402)*INDEX('2018_commission_structure'!$A$5:$J$8,MATCH(Calculations!$E402,'2018_commission_structure'!$A$5:$A$8,0),MATCH(Calculations!Y$1,'2018_commission_structure'!$A$5:$J$5,0)),0)</f>
        <v>15296.099999999999</v>
      </c>
      <c r="Z402" s="2">
        <f xml:space="preserve"> IF(H402&gt;L402,(H402-L402)*INDEX('2018_commission_structure'!$A$11:$I$14,MATCH(Calculations!$E402,'2018_commission_structure'!$A$11:$A$14,0),MATCH(Calculations!Z$1,'2018_commission_structure'!$A$11:$I$11,0)),0)</f>
        <v>0</v>
      </c>
      <c r="AA402" s="7">
        <f t="shared" si="61"/>
        <v>169796.1</v>
      </c>
      <c r="AB402" s="7">
        <f t="shared" si="62"/>
        <v>248619.1</v>
      </c>
    </row>
    <row r="403" spans="1:28" x14ac:dyDescent="0.25">
      <c r="A403">
        <v>4482855448</v>
      </c>
      <c r="B403" t="s">
        <v>149</v>
      </c>
      <c r="C403" t="s">
        <v>150</v>
      </c>
      <c r="D403" t="str">
        <f>B403&amp;" "&amp;C403</f>
        <v>Kristal Guitonneau</v>
      </c>
      <c r="E403" t="s">
        <v>7</v>
      </c>
      <c r="F403">
        <v>42742</v>
      </c>
      <c r="G403">
        <f>COUNTIF(deals_closed!D:D,Calculations!A403)</f>
        <v>19</v>
      </c>
      <c r="H403" s="2">
        <f>SUMIF(deals_closed!D:D,Calculations!A403,deals_closed!C:C)</f>
        <v>765283</v>
      </c>
      <c r="I403" s="2">
        <f>VLOOKUP(E403,'2018_commission_structure'!$A$11:$I$14,9,FALSE)</f>
        <v>500000</v>
      </c>
      <c r="J403" s="2">
        <f t="shared" si="54"/>
        <v>625000</v>
      </c>
      <c r="K403" s="2">
        <f t="shared" si="55"/>
        <v>750000</v>
      </c>
      <c r="L403" s="2">
        <f t="shared" si="56"/>
        <v>1000000</v>
      </c>
      <c r="M403" s="6">
        <f t="shared" si="57"/>
        <v>1.5305660000000001</v>
      </c>
      <c r="N403" t="str">
        <f t="shared" si="58"/>
        <v>150-200%</v>
      </c>
      <c r="O403" s="7">
        <f>MIN(I403,H403)*INDEX('2018_commission_structure'!$A$11:$I$14,MATCH(Calculations!$E403,'2018_commission_structure'!$A$11:$A$14,0),MATCH(Calculations!O$1,'2018_commission_structure'!$A$11:$I$11,0))</f>
        <v>50000</v>
      </c>
      <c r="P403" s="7">
        <f>IF($H403&gt;I403,MIN($H403-I403,J403-I403)*INDEX('2018_commission_structure'!$A$11:$I$14,MATCH(Calculations!$E403,'2018_commission_structure'!$A$11:$A$14,0), MATCH(Calculations!P$1,'2018_commission_structure'!$A$11:$I$11,0)),0)</f>
        <v>18750</v>
      </c>
      <c r="Q403" s="7">
        <f>IF($H403&gt;J403,MIN($H403-J403,K403-J403)*INDEX('2018_commission_structure'!$A$11:$I$14,MATCH(Calculations!$E403,'2018_commission_structure'!$A$11:$A$14,0), MATCH(Calculations!Q$1,'2018_commission_structure'!$A$11:$I$11,0)),0)</f>
        <v>22500</v>
      </c>
      <c r="R403" s="7">
        <f>IF($H403&gt;K403,MIN($H403-K403,L403-K403)*INDEX('2018_commission_structure'!$A$11:$I$14,MATCH(Calculations!$E403,'2018_commission_structure'!$A$11:$A$14,0), MATCH(Calculations!R$1,'2018_commission_structure'!$A$11:$I$11,0)),0)</f>
        <v>3362.26</v>
      </c>
      <c r="S403" s="7">
        <f>IF(H403&gt;L403,(H403-L403)*INDEX('2018_commission_structure'!$A$11:$I$14,MATCH(Calculations!$E403,'2018_commission_structure'!$A$11:$A$14,0),MATCH(Calculations!S$1,'2018_commission_structure'!$A$11:$I$11,0)),0)</f>
        <v>0</v>
      </c>
      <c r="T403" s="7">
        <f t="shared" si="59"/>
        <v>94612.26</v>
      </c>
      <c r="U403" s="7">
        <f t="shared" si="60"/>
        <v>137354.26</v>
      </c>
      <c r="V403" s="7">
        <f>MIN(H403,I403)*INDEX('2018_commission_structure'!$A$5:$J$8,MATCH(Calculations!$E403,'2018_commission_structure'!$A$5:$A$8,0),MATCH(Calculations!V$1,'2018_commission_structure'!$A$5:$J$5,0))</f>
        <v>60000</v>
      </c>
      <c r="W403" s="2">
        <f>IF($H403&gt;I403,MIN($H403-I403,J403-I403)*INDEX('2018_commission_structure'!$A$5:$J$8,MATCH(Calculations!$E403,'2018_commission_structure'!$A$5:$A$8,0),MATCH(Calculations!W$1,'2018_commission_structure'!$A$5:$J$5,0)),0)</f>
        <v>21250</v>
      </c>
      <c r="X403" s="2">
        <f>IF($H403&gt;J403,MIN($H403-J403,K403-J403)*INDEX('2018_commission_structure'!$A$5:$J$8,MATCH(Calculations!$E403,'2018_commission_structure'!$A$5:$A$8,0),MATCH(Calculations!X$1,'2018_commission_structure'!$A$5:$J$5,0)),0)</f>
        <v>25000</v>
      </c>
      <c r="Y403" s="2">
        <f>IF($H403&gt;K403,MIN($H403-K403,L403-K403)*INDEX('2018_commission_structure'!$A$5:$J$8,MATCH(Calculations!$E403,'2018_commission_structure'!$A$5:$A$8,0),MATCH(Calculations!Y$1,'2018_commission_structure'!$A$5:$J$5,0)),0)</f>
        <v>3362.26</v>
      </c>
      <c r="Z403" s="2">
        <f xml:space="preserve"> IF(H403&gt;L403,(H403-L403)*INDEX('2018_commission_structure'!$A$11:$I$14,MATCH(Calculations!$E403,'2018_commission_structure'!$A$11:$A$14,0),MATCH(Calculations!Z$1,'2018_commission_structure'!$A$11:$I$11,0)),0)</f>
        <v>0</v>
      </c>
      <c r="AA403" s="7">
        <f t="shared" si="61"/>
        <v>109612.26</v>
      </c>
      <c r="AB403" s="7">
        <f t="shared" si="62"/>
        <v>152354.26</v>
      </c>
    </row>
    <row r="404" spans="1:28" x14ac:dyDescent="0.25">
      <c r="A404">
        <v>9916787441</v>
      </c>
      <c r="B404" t="s">
        <v>1415</v>
      </c>
      <c r="C404" t="s">
        <v>1416</v>
      </c>
      <c r="D404" t="str">
        <f>B404&amp;" "&amp;C404</f>
        <v>Reginauld Gurner</v>
      </c>
      <c r="E404" t="s">
        <v>10</v>
      </c>
      <c r="F404">
        <v>77795</v>
      </c>
      <c r="G404">
        <f>COUNTIF(deals_closed!D:D,Calculations!A404)</f>
        <v>15</v>
      </c>
      <c r="H404" s="2">
        <f>SUMIF(deals_closed!D:D,Calculations!A404,deals_closed!C:C)</f>
        <v>450041</v>
      </c>
      <c r="I404" s="2">
        <f>VLOOKUP(E404,'2018_commission_structure'!$A$11:$I$14,9,FALSE)</f>
        <v>750000</v>
      </c>
      <c r="J404" s="2">
        <f t="shared" si="54"/>
        <v>937500</v>
      </c>
      <c r="K404" s="2">
        <f t="shared" si="55"/>
        <v>1125000</v>
      </c>
      <c r="L404" s="2">
        <f t="shared" si="56"/>
        <v>1500000</v>
      </c>
      <c r="M404" s="6">
        <f t="shared" si="57"/>
        <v>0.60005466666666663</v>
      </c>
      <c r="N404" t="str">
        <f t="shared" si="58"/>
        <v>0-100%</v>
      </c>
      <c r="O404" s="7">
        <f>MIN(I404,H404)*INDEX('2018_commission_structure'!$A$11:$I$14,MATCH(Calculations!$E404,'2018_commission_structure'!$A$11:$A$14,0),MATCH(Calculations!O$1,'2018_commission_structure'!$A$11:$I$11,0))</f>
        <v>67506.149999999994</v>
      </c>
      <c r="P404" s="7">
        <f>IF($H404&gt;I404,MIN($H404-I404,J404-I404)*INDEX('2018_commission_structure'!$A$11:$I$14,MATCH(Calculations!$E404,'2018_commission_structure'!$A$11:$A$14,0), MATCH(Calculations!P$1,'2018_commission_structure'!$A$11:$I$11,0)),0)</f>
        <v>0</v>
      </c>
      <c r="Q404" s="7">
        <f>IF($H404&gt;J404,MIN($H404-J404,K404-J404)*INDEX('2018_commission_structure'!$A$11:$I$14,MATCH(Calculations!$E404,'2018_commission_structure'!$A$11:$A$14,0), MATCH(Calculations!Q$1,'2018_commission_structure'!$A$11:$I$11,0)),0)</f>
        <v>0</v>
      </c>
      <c r="R404" s="7">
        <f>IF($H404&gt;K404,MIN($H404-K404,L404-K404)*INDEX('2018_commission_structure'!$A$11:$I$14,MATCH(Calculations!$E404,'2018_commission_structure'!$A$11:$A$14,0), MATCH(Calculations!R$1,'2018_commission_structure'!$A$11:$I$11,0)),0)</f>
        <v>0</v>
      </c>
      <c r="S404" s="7">
        <f>IF(H404&gt;L404,(H404-L404)*INDEX('2018_commission_structure'!$A$11:$I$14,MATCH(Calculations!$E404,'2018_commission_structure'!$A$11:$A$14,0),MATCH(Calculations!S$1,'2018_commission_structure'!$A$11:$I$11,0)),0)</f>
        <v>0</v>
      </c>
      <c r="T404" s="7">
        <f t="shared" si="59"/>
        <v>67506.149999999994</v>
      </c>
      <c r="U404" s="7">
        <f t="shared" si="60"/>
        <v>145301.15</v>
      </c>
      <c r="V404" s="7">
        <f>MIN(H404,I404)*INDEX('2018_commission_structure'!$A$5:$J$8,MATCH(Calculations!$E404,'2018_commission_structure'!$A$5:$A$8,0),MATCH(Calculations!V$1,'2018_commission_structure'!$A$5:$J$5,0))</f>
        <v>67506.149999999994</v>
      </c>
      <c r="W404" s="2">
        <f>IF($H404&gt;I404,MIN($H404-I404,J404-I404)*INDEX('2018_commission_structure'!$A$5:$J$8,MATCH(Calculations!$E404,'2018_commission_structure'!$A$5:$A$8,0),MATCH(Calculations!W$1,'2018_commission_structure'!$A$5:$J$5,0)),0)</f>
        <v>0</v>
      </c>
      <c r="X404" s="2">
        <f>IF($H404&gt;J404,MIN($H404-J404,K404-J404)*INDEX('2018_commission_structure'!$A$5:$J$8,MATCH(Calculations!$E404,'2018_commission_structure'!$A$5:$A$8,0),MATCH(Calculations!X$1,'2018_commission_structure'!$A$5:$J$5,0)),0)</f>
        <v>0</v>
      </c>
      <c r="Y404" s="2">
        <f>IF($H404&gt;K404,MIN($H404-K404,L404-K404)*INDEX('2018_commission_structure'!$A$5:$J$8,MATCH(Calculations!$E404,'2018_commission_structure'!$A$5:$A$8,0),MATCH(Calculations!Y$1,'2018_commission_structure'!$A$5:$J$5,0)),0)</f>
        <v>0</v>
      </c>
      <c r="Z404" s="2">
        <f xml:space="preserve"> IF(H404&gt;L404,(H404-L404)*INDEX('2018_commission_structure'!$A$11:$I$14,MATCH(Calculations!$E404,'2018_commission_structure'!$A$11:$A$14,0),MATCH(Calculations!Z$1,'2018_commission_structure'!$A$11:$I$11,0)),0)</f>
        <v>0</v>
      </c>
      <c r="AA404" s="7">
        <f t="shared" si="61"/>
        <v>67506.149999999994</v>
      </c>
      <c r="AB404" s="7">
        <f t="shared" si="62"/>
        <v>145301.15</v>
      </c>
    </row>
    <row r="405" spans="1:28" x14ac:dyDescent="0.25">
      <c r="A405">
        <v>2973481236</v>
      </c>
      <c r="B405" t="s">
        <v>652</v>
      </c>
      <c r="C405" t="s">
        <v>653</v>
      </c>
      <c r="D405" t="str">
        <f>B405&amp;" "&amp;C405</f>
        <v>Cristiano Gyurko</v>
      </c>
      <c r="E405" t="s">
        <v>7</v>
      </c>
      <c r="F405">
        <v>62190</v>
      </c>
      <c r="G405">
        <f>COUNTIF(deals_closed!D:D,Calculations!A405)</f>
        <v>20</v>
      </c>
      <c r="H405" s="2">
        <f>SUMIF(deals_closed!D:D,Calculations!A405,deals_closed!C:C)</f>
        <v>763688</v>
      </c>
      <c r="I405" s="2">
        <f>VLOOKUP(E405,'2018_commission_structure'!$A$11:$I$14,9,FALSE)</f>
        <v>500000</v>
      </c>
      <c r="J405" s="2">
        <f t="shared" si="54"/>
        <v>625000</v>
      </c>
      <c r="K405" s="2">
        <f t="shared" si="55"/>
        <v>750000</v>
      </c>
      <c r="L405" s="2">
        <f t="shared" si="56"/>
        <v>1000000</v>
      </c>
      <c r="M405" s="6">
        <f t="shared" si="57"/>
        <v>1.5273760000000001</v>
      </c>
      <c r="N405" t="str">
        <f t="shared" si="58"/>
        <v>150-200%</v>
      </c>
      <c r="O405" s="7">
        <f>MIN(I405,H405)*INDEX('2018_commission_structure'!$A$11:$I$14,MATCH(Calculations!$E405,'2018_commission_structure'!$A$11:$A$14,0),MATCH(Calculations!O$1,'2018_commission_structure'!$A$11:$I$11,0))</f>
        <v>50000</v>
      </c>
      <c r="P405" s="7">
        <f>IF($H405&gt;I405,MIN($H405-I405,J405-I405)*INDEX('2018_commission_structure'!$A$11:$I$14,MATCH(Calculations!$E405,'2018_commission_structure'!$A$11:$A$14,0), MATCH(Calculations!P$1,'2018_commission_structure'!$A$11:$I$11,0)),0)</f>
        <v>18750</v>
      </c>
      <c r="Q405" s="7">
        <f>IF($H405&gt;J405,MIN($H405-J405,K405-J405)*INDEX('2018_commission_structure'!$A$11:$I$14,MATCH(Calculations!$E405,'2018_commission_structure'!$A$11:$A$14,0), MATCH(Calculations!Q$1,'2018_commission_structure'!$A$11:$I$11,0)),0)</f>
        <v>22500</v>
      </c>
      <c r="R405" s="7">
        <f>IF($H405&gt;K405,MIN($H405-K405,L405-K405)*INDEX('2018_commission_structure'!$A$11:$I$14,MATCH(Calculations!$E405,'2018_commission_structure'!$A$11:$A$14,0), MATCH(Calculations!R$1,'2018_commission_structure'!$A$11:$I$11,0)),0)</f>
        <v>3011.36</v>
      </c>
      <c r="S405" s="7">
        <f>IF(H405&gt;L405,(H405-L405)*INDEX('2018_commission_structure'!$A$11:$I$14,MATCH(Calculations!$E405,'2018_commission_structure'!$A$11:$A$14,0),MATCH(Calculations!S$1,'2018_commission_structure'!$A$11:$I$11,0)),0)</f>
        <v>0</v>
      </c>
      <c r="T405" s="7">
        <f t="shared" si="59"/>
        <v>94261.36</v>
      </c>
      <c r="U405" s="7">
        <f t="shared" si="60"/>
        <v>156451.35999999999</v>
      </c>
      <c r="V405" s="7">
        <f>MIN(H405,I405)*INDEX('2018_commission_structure'!$A$5:$J$8,MATCH(Calculations!$E405,'2018_commission_structure'!$A$5:$A$8,0),MATCH(Calculations!V$1,'2018_commission_structure'!$A$5:$J$5,0))</f>
        <v>60000</v>
      </c>
      <c r="W405" s="2">
        <f>IF($H405&gt;I405,MIN($H405-I405,J405-I405)*INDEX('2018_commission_structure'!$A$5:$J$8,MATCH(Calculations!$E405,'2018_commission_structure'!$A$5:$A$8,0),MATCH(Calculations!W$1,'2018_commission_structure'!$A$5:$J$5,0)),0)</f>
        <v>21250</v>
      </c>
      <c r="X405" s="2">
        <f>IF($H405&gt;J405,MIN($H405-J405,K405-J405)*INDEX('2018_commission_structure'!$A$5:$J$8,MATCH(Calculations!$E405,'2018_commission_structure'!$A$5:$A$8,0),MATCH(Calculations!X$1,'2018_commission_structure'!$A$5:$J$5,0)),0)</f>
        <v>25000</v>
      </c>
      <c r="Y405" s="2">
        <f>IF($H405&gt;K405,MIN($H405-K405,L405-K405)*INDEX('2018_commission_structure'!$A$5:$J$8,MATCH(Calculations!$E405,'2018_commission_structure'!$A$5:$A$8,0),MATCH(Calculations!Y$1,'2018_commission_structure'!$A$5:$J$5,0)),0)</f>
        <v>3011.36</v>
      </c>
      <c r="Z405" s="2">
        <f xml:space="preserve"> IF(H405&gt;L405,(H405-L405)*INDEX('2018_commission_structure'!$A$11:$I$14,MATCH(Calculations!$E405,'2018_commission_structure'!$A$11:$A$14,0),MATCH(Calculations!Z$1,'2018_commission_structure'!$A$11:$I$11,0)),0)</f>
        <v>0</v>
      </c>
      <c r="AA405" s="7">
        <f t="shared" si="61"/>
        <v>109261.36</v>
      </c>
      <c r="AB405" s="7">
        <f t="shared" si="62"/>
        <v>171451.36</v>
      </c>
    </row>
    <row r="406" spans="1:28" x14ac:dyDescent="0.25">
      <c r="A406">
        <v>7635344498</v>
      </c>
      <c r="B406" t="s">
        <v>578</v>
      </c>
      <c r="C406" t="s">
        <v>579</v>
      </c>
      <c r="D406" t="str">
        <f>B406&amp;" "&amp;C406</f>
        <v>Lenette Gyves</v>
      </c>
      <c r="E406" t="s">
        <v>29</v>
      </c>
      <c r="F406">
        <v>54966</v>
      </c>
      <c r="G406">
        <f>COUNTIF(deals_closed!D:D,Calculations!A406)</f>
        <v>21</v>
      </c>
      <c r="H406" s="2">
        <f>SUMIF(deals_closed!D:D,Calculations!A406,deals_closed!C:C)</f>
        <v>714330</v>
      </c>
      <c r="I406" s="2">
        <f>VLOOKUP(E406,'2018_commission_structure'!$A$11:$I$14,9,FALSE)</f>
        <v>600000</v>
      </c>
      <c r="J406" s="2">
        <f t="shared" si="54"/>
        <v>750000</v>
      </c>
      <c r="K406" s="2">
        <f t="shared" si="55"/>
        <v>900000</v>
      </c>
      <c r="L406" s="2">
        <f t="shared" si="56"/>
        <v>1200000</v>
      </c>
      <c r="M406" s="6">
        <f t="shared" si="57"/>
        <v>1.19055</v>
      </c>
      <c r="N406" t="str">
        <f t="shared" si="58"/>
        <v>100-125%</v>
      </c>
      <c r="O406" s="7">
        <f>MIN(I406,H406)*INDEX('2018_commission_structure'!$A$11:$I$14,MATCH(Calculations!$E406,'2018_commission_structure'!$A$11:$A$14,0),MATCH(Calculations!O$1,'2018_commission_structure'!$A$11:$I$11,0))</f>
        <v>78000</v>
      </c>
      <c r="P406" s="7">
        <f>IF($H406&gt;I406,MIN($H406-I406,J406-I406)*INDEX('2018_commission_structure'!$A$11:$I$14,MATCH(Calculations!$E406,'2018_commission_structure'!$A$11:$A$14,0), MATCH(Calculations!P$1,'2018_commission_structure'!$A$11:$I$11,0)),0)</f>
        <v>19436.100000000002</v>
      </c>
      <c r="Q406" s="7">
        <f>IF($H406&gt;J406,MIN($H406-J406,K406-J406)*INDEX('2018_commission_structure'!$A$11:$I$14,MATCH(Calculations!$E406,'2018_commission_structure'!$A$11:$A$14,0), MATCH(Calculations!Q$1,'2018_commission_structure'!$A$11:$I$11,0)),0)</f>
        <v>0</v>
      </c>
      <c r="R406" s="7">
        <f>IF($H406&gt;K406,MIN($H406-K406,L406-K406)*INDEX('2018_commission_structure'!$A$11:$I$14,MATCH(Calculations!$E406,'2018_commission_structure'!$A$11:$A$14,0), MATCH(Calculations!R$1,'2018_commission_structure'!$A$11:$I$11,0)),0)</f>
        <v>0</v>
      </c>
      <c r="S406" s="7">
        <f>IF(H406&gt;L406,(H406-L406)*INDEX('2018_commission_structure'!$A$11:$I$14,MATCH(Calculations!$E406,'2018_commission_structure'!$A$11:$A$14,0),MATCH(Calculations!S$1,'2018_commission_structure'!$A$11:$I$11,0)),0)</f>
        <v>0</v>
      </c>
      <c r="T406" s="7">
        <f t="shared" si="59"/>
        <v>97436.1</v>
      </c>
      <c r="U406" s="7">
        <f t="shared" si="60"/>
        <v>152402.1</v>
      </c>
      <c r="V406" s="7">
        <f>MIN(H406,I406)*INDEX('2018_commission_structure'!$A$5:$J$8,MATCH(Calculations!$E406,'2018_commission_structure'!$A$5:$A$8,0),MATCH(Calculations!V$1,'2018_commission_structure'!$A$5:$J$5,0))</f>
        <v>90000</v>
      </c>
      <c r="W406" s="2">
        <f>IF($H406&gt;I406,MIN($H406-I406,J406-I406)*INDEX('2018_commission_structure'!$A$5:$J$8,MATCH(Calculations!$E406,'2018_commission_structure'!$A$5:$A$8,0),MATCH(Calculations!W$1,'2018_commission_structure'!$A$5:$J$5,0)),0)</f>
        <v>20579.399999999998</v>
      </c>
      <c r="X406" s="2">
        <f>IF($H406&gt;J406,MIN($H406-J406,K406-J406)*INDEX('2018_commission_structure'!$A$5:$J$8,MATCH(Calculations!$E406,'2018_commission_structure'!$A$5:$A$8,0),MATCH(Calculations!X$1,'2018_commission_structure'!$A$5:$J$5,0)),0)</f>
        <v>0</v>
      </c>
      <c r="Y406" s="2">
        <f>IF($H406&gt;K406,MIN($H406-K406,L406-K406)*INDEX('2018_commission_structure'!$A$5:$J$8,MATCH(Calculations!$E406,'2018_commission_structure'!$A$5:$A$8,0),MATCH(Calculations!Y$1,'2018_commission_structure'!$A$5:$J$5,0)),0)</f>
        <v>0</v>
      </c>
      <c r="Z406" s="2">
        <f xml:space="preserve"> IF(H406&gt;L406,(H406-L406)*INDEX('2018_commission_structure'!$A$11:$I$14,MATCH(Calculations!$E406,'2018_commission_structure'!$A$11:$A$14,0),MATCH(Calculations!Z$1,'2018_commission_structure'!$A$11:$I$11,0)),0)</f>
        <v>0</v>
      </c>
      <c r="AA406" s="7">
        <f t="shared" si="61"/>
        <v>110579.4</v>
      </c>
      <c r="AB406" s="7">
        <f t="shared" si="62"/>
        <v>165545.4</v>
      </c>
    </row>
    <row r="407" spans="1:28" x14ac:dyDescent="0.25">
      <c r="A407">
        <v>7402856011</v>
      </c>
      <c r="B407" t="s">
        <v>850</v>
      </c>
      <c r="C407" t="s">
        <v>851</v>
      </c>
      <c r="D407" t="str">
        <f>B407&amp;" "&amp;C407</f>
        <v>Michale Hackley</v>
      </c>
      <c r="E407" t="s">
        <v>10</v>
      </c>
      <c r="F407">
        <v>91174</v>
      </c>
      <c r="G407">
        <f>COUNTIF(deals_closed!D:D,Calculations!A407)</f>
        <v>23</v>
      </c>
      <c r="H407" s="2">
        <f>SUMIF(deals_closed!D:D,Calculations!A407,deals_closed!C:C)</f>
        <v>948638</v>
      </c>
      <c r="I407" s="2">
        <f>VLOOKUP(E407,'2018_commission_structure'!$A$11:$I$14,9,FALSE)</f>
        <v>750000</v>
      </c>
      <c r="J407" s="2">
        <f t="shared" si="54"/>
        <v>937500</v>
      </c>
      <c r="K407" s="2">
        <f t="shared" si="55"/>
        <v>1125000</v>
      </c>
      <c r="L407" s="2">
        <f t="shared" si="56"/>
        <v>1500000</v>
      </c>
      <c r="M407" s="6">
        <f t="shared" si="57"/>
        <v>1.2648506666666666</v>
      </c>
      <c r="N407" t="str">
        <f t="shared" si="58"/>
        <v>125-150%</v>
      </c>
      <c r="O407" s="7">
        <f>MIN(I407,H407)*INDEX('2018_commission_structure'!$A$11:$I$14,MATCH(Calculations!$E407,'2018_commission_structure'!$A$11:$A$14,0),MATCH(Calculations!O$1,'2018_commission_structure'!$A$11:$I$11,0))</f>
        <v>112500</v>
      </c>
      <c r="P407" s="7">
        <f>IF($H407&gt;I407,MIN($H407-I407,J407-I407)*INDEX('2018_commission_structure'!$A$11:$I$14,MATCH(Calculations!$E407,'2018_commission_structure'!$A$11:$A$14,0), MATCH(Calculations!P$1,'2018_commission_structure'!$A$11:$I$11,0)),0)</f>
        <v>35625</v>
      </c>
      <c r="Q407" s="7">
        <f>IF($H407&gt;J407,MIN($H407-J407,K407-J407)*INDEX('2018_commission_structure'!$A$11:$I$14,MATCH(Calculations!$E407,'2018_commission_structure'!$A$11:$A$14,0), MATCH(Calculations!Q$1,'2018_commission_structure'!$A$11:$I$11,0)),0)</f>
        <v>2561.7400000000002</v>
      </c>
      <c r="R407" s="7">
        <f>IF($H407&gt;K407,MIN($H407-K407,L407-K407)*INDEX('2018_commission_structure'!$A$11:$I$14,MATCH(Calculations!$E407,'2018_commission_structure'!$A$11:$A$14,0), MATCH(Calculations!R$1,'2018_commission_structure'!$A$11:$I$11,0)),0)</f>
        <v>0</v>
      </c>
      <c r="S407" s="7">
        <f>IF(H407&gt;L407,(H407-L407)*INDEX('2018_commission_structure'!$A$11:$I$14,MATCH(Calculations!$E407,'2018_commission_structure'!$A$11:$A$14,0),MATCH(Calculations!S$1,'2018_commission_structure'!$A$11:$I$11,0)),0)</f>
        <v>0</v>
      </c>
      <c r="T407" s="7">
        <f t="shared" si="59"/>
        <v>150686.74</v>
      </c>
      <c r="U407" s="7">
        <f t="shared" si="60"/>
        <v>241860.74</v>
      </c>
      <c r="V407" s="7">
        <f>MIN(H407,I407)*INDEX('2018_commission_structure'!$A$5:$J$8,MATCH(Calculations!$E407,'2018_commission_structure'!$A$5:$A$8,0),MATCH(Calculations!V$1,'2018_commission_structure'!$A$5:$J$5,0))</f>
        <v>112500</v>
      </c>
      <c r="W407" s="2">
        <f>IF($H407&gt;I407,MIN($H407-I407,J407-I407)*INDEX('2018_commission_structure'!$A$5:$J$8,MATCH(Calculations!$E407,'2018_commission_structure'!$A$5:$A$8,0),MATCH(Calculations!W$1,'2018_commission_structure'!$A$5:$J$5,0)),0)</f>
        <v>41250</v>
      </c>
      <c r="X407" s="2">
        <f>IF($H407&gt;J407,MIN($H407-J407,K407-J407)*INDEX('2018_commission_structure'!$A$5:$J$8,MATCH(Calculations!$E407,'2018_commission_structure'!$A$5:$A$8,0),MATCH(Calculations!X$1,'2018_commission_structure'!$A$5:$J$5,0)),0)</f>
        <v>2784.5</v>
      </c>
      <c r="Y407" s="2">
        <f>IF($H407&gt;K407,MIN($H407-K407,L407-K407)*INDEX('2018_commission_structure'!$A$5:$J$8,MATCH(Calculations!$E407,'2018_commission_structure'!$A$5:$A$8,0),MATCH(Calculations!Y$1,'2018_commission_structure'!$A$5:$J$5,0)),0)</f>
        <v>0</v>
      </c>
      <c r="Z407" s="2">
        <f xml:space="preserve"> IF(H407&gt;L407,(H407-L407)*INDEX('2018_commission_structure'!$A$11:$I$14,MATCH(Calculations!$E407,'2018_commission_structure'!$A$11:$A$14,0),MATCH(Calculations!Z$1,'2018_commission_structure'!$A$11:$I$11,0)),0)</f>
        <v>0</v>
      </c>
      <c r="AA407" s="7">
        <f t="shared" si="61"/>
        <v>156534.5</v>
      </c>
      <c r="AB407" s="7">
        <f t="shared" si="62"/>
        <v>247708.5</v>
      </c>
    </row>
    <row r="408" spans="1:28" x14ac:dyDescent="0.25">
      <c r="A408">
        <v>2524849899</v>
      </c>
      <c r="B408" t="s">
        <v>1335</v>
      </c>
      <c r="C408" t="s">
        <v>1336</v>
      </c>
      <c r="D408" t="str">
        <f>B408&amp;" "&amp;C408</f>
        <v>Tani Haddock</v>
      </c>
      <c r="E408" t="s">
        <v>10</v>
      </c>
      <c r="F408">
        <v>121772</v>
      </c>
      <c r="G408">
        <f>COUNTIF(deals_closed!D:D,Calculations!A408)</f>
        <v>21</v>
      </c>
      <c r="H408" s="2">
        <f>SUMIF(deals_closed!D:D,Calculations!A408,deals_closed!C:C)</f>
        <v>747655</v>
      </c>
      <c r="I408" s="2">
        <f>VLOOKUP(E408,'2018_commission_structure'!$A$11:$I$14,9,FALSE)</f>
        <v>750000</v>
      </c>
      <c r="J408" s="2">
        <f t="shared" si="54"/>
        <v>937500</v>
      </c>
      <c r="K408" s="2">
        <f t="shared" si="55"/>
        <v>1125000</v>
      </c>
      <c r="L408" s="2">
        <f t="shared" si="56"/>
        <v>1500000</v>
      </c>
      <c r="M408" s="6">
        <f t="shared" si="57"/>
        <v>0.99687333333333328</v>
      </c>
      <c r="N408" t="str">
        <f t="shared" si="58"/>
        <v>0-100%</v>
      </c>
      <c r="O408" s="7">
        <f>MIN(I408,H408)*INDEX('2018_commission_structure'!$A$11:$I$14,MATCH(Calculations!$E408,'2018_commission_structure'!$A$11:$A$14,0),MATCH(Calculations!O$1,'2018_commission_structure'!$A$11:$I$11,0))</f>
        <v>112148.25</v>
      </c>
      <c r="P408" s="7">
        <f>IF($H408&gt;I408,MIN($H408-I408,J408-I408)*INDEX('2018_commission_structure'!$A$11:$I$14,MATCH(Calculations!$E408,'2018_commission_structure'!$A$11:$A$14,0), MATCH(Calculations!P$1,'2018_commission_structure'!$A$11:$I$11,0)),0)</f>
        <v>0</v>
      </c>
      <c r="Q408" s="7">
        <f>IF($H408&gt;J408,MIN($H408-J408,K408-J408)*INDEX('2018_commission_structure'!$A$11:$I$14,MATCH(Calculations!$E408,'2018_commission_structure'!$A$11:$A$14,0), MATCH(Calculations!Q$1,'2018_commission_structure'!$A$11:$I$11,0)),0)</f>
        <v>0</v>
      </c>
      <c r="R408" s="7">
        <f>IF($H408&gt;K408,MIN($H408-K408,L408-K408)*INDEX('2018_commission_structure'!$A$11:$I$14,MATCH(Calculations!$E408,'2018_commission_structure'!$A$11:$A$14,0), MATCH(Calculations!R$1,'2018_commission_structure'!$A$11:$I$11,0)),0)</f>
        <v>0</v>
      </c>
      <c r="S408" s="7">
        <f>IF(H408&gt;L408,(H408-L408)*INDEX('2018_commission_structure'!$A$11:$I$14,MATCH(Calculations!$E408,'2018_commission_structure'!$A$11:$A$14,0),MATCH(Calculations!S$1,'2018_commission_structure'!$A$11:$I$11,0)),0)</f>
        <v>0</v>
      </c>
      <c r="T408" s="7">
        <f t="shared" si="59"/>
        <v>112148.25</v>
      </c>
      <c r="U408" s="7">
        <f t="shared" si="60"/>
        <v>233920.25</v>
      </c>
      <c r="V408" s="7">
        <f>MIN(H408,I408)*INDEX('2018_commission_structure'!$A$5:$J$8,MATCH(Calculations!$E408,'2018_commission_structure'!$A$5:$A$8,0),MATCH(Calculations!V$1,'2018_commission_structure'!$A$5:$J$5,0))</f>
        <v>112148.25</v>
      </c>
      <c r="W408" s="2">
        <f>IF($H408&gt;I408,MIN($H408-I408,J408-I408)*INDEX('2018_commission_structure'!$A$5:$J$8,MATCH(Calculations!$E408,'2018_commission_structure'!$A$5:$A$8,0),MATCH(Calculations!W$1,'2018_commission_structure'!$A$5:$J$5,0)),0)</f>
        <v>0</v>
      </c>
      <c r="X408" s="2">
        <f>IF($H408&gt;J408,MIN($H408-J408,K408-J408)*INDEX('2018_commission_structure'!$A$5:$J$8,MATCH(Calculations!$E408,'2018_commission_structure'!$A$5:$A$8,0),MATCH(Calculations!X$1,'2018_commission_structure'!$A$5:$J$5,0)),0)</f>
        <v>0</v>
      </c>
      <c r="Y408" s="2">
        <f>IF($H408&gt;K408,MIN($H408-K408,L408-K408)*INDEX('2018_commission_structure'!$A$5:$J$8,MATCH(Calculations!$E408,'2018_commission_structure'!$A$5:$A$8,0),MATCH(Calculations!Y$1,'2018_commission_structure'!$A$5:$J$5,0)),0)</f>
        <v>0</v>
      </c>
      <c r="Z408" s="2">
        <f xml:space="preserve"> IF(H408&gt;L408,(H408-L408)*INDEX('2018_commission_structure'!$A$11:$I$14,MATCH(Calculations!$E408,'2018_commission_structure'!$A$11:$A$14,0),MATCH(Calculations!Z$1,'2018_commission_structure'!$A$11:$I$11,0)),0)</f>
        <v>0</v>
      </c>
      <c r="AA408" s="7">
        <f t="shared" si="61"/>
        <v>112148.25</v>
      </c>
      <c r="AB408" s="7">
        <f t="shared" si="62"/>
        <v>233920.25</v>
      </c>
    </row>
    <row r="409" spans="1:28" x14ac:dyDescent="0.25">
      <c r="A409">
        <v>8850022085</v>
      </c>
      <c r="B409" t="s">
        <v>1189</v>
      </c>
      <c r="C409" t="s">
        <v>1190</v>
      </c>
      <c r="D409" t="str">
        <f>B409&amp;" "&amp;C409</f>
        <v>Hanson Hadigate</v>
      </c>
      <c r="E409" t="s">
        <v>7</v>
      </c>
      <c r="F409">
        <v>52669</v>
      </c>
      <c r="G409">
        <f>COUNTIF(deals_closed!D:D,Calculations!A409)</f>
        <v>17</v>
      </c>
      <c r="H409" s="2">
        <f>SUMIF(deals_closed!D:D,Calculations!A409,deals_closed!C:C)</f>
        <v>599910</v>
      </c>
      <c r="I409" s="2">
        <f>VLOOKUP(E409,'2018_commission_structure'!$A$11:$I$14,9,FALSE)</f>
        <v>500000</v>
      </c>
      <c r="J409" s="2">
        <f t="shared" si="54"/>
        <v>625000</v>
      </c>
      <c r="K409" s="2">
        <f t="shared" si="55"/>
        <v>750000</v>
      </c>
      <c r="L409" s="2">
        <f t="shared" si="56"/>
        <v>1000000</v>
      </c>
      <c r="M409" s="6">
        <f t="shared" si="57"/>
        <v>1.1998200000000001</v>
      </c>
      <c r="N409" t="str">
        <f t="shared" si="58"/>
        <v>100-125%</v>
      </c>
      <c r="O409" s="7">
        <f>MIN(I409,H409)*INDEX('2018_commission_structure'!$A$11:$I$14,MATCH(Calculations!$E409,'2018_commission_structure'!$A$11:$A$14,0),MATCH(Calculations!O$1,'2018_commission_structure'!$A$11:$I$11,0))</f>
        <v>50000</v>
      </c>
      <c r="P409" s="7">
        <f>IF($H409&gt;I409,MIN($H409-I409,J409-I409)*INDEX('2018_commission_structure'!$A$11:$I$14,MATCH(Calculations!$E409,'2018_commission_structure'!$A$11:$A$14,0), MATCH(Calculations!P$1,'2018_commission_structure'!$A$11:$I$11,0)),0)</f>
        <v>14986.5</v>
      </c>
      <c r="Q409" s="7">
        <f>IF($H409&gt;J409,MIN($H409-J409,K409-J409)*INDEX('2018_commission_structure'!$A$11:$I$14,MATCH(Calculations!$E409,'2018_commission_structure'!$A$11:$A$14,0), MATCH(Calculations!Q$1,'2018_commission_structure'!$A$11:$I$11,0)),0)</f>
        <v>0</v>
      </c>
      <c r="R409" s="7">
        <f>IF($H409&gt;K409,MIN($H409-K409,L409-K409)*INDEX('2018_commission_structure'!$A$11:$I$14,MATCH(Calculations!$E409,'2018_commission_structure'!$A$11:$A$14,0), MATCH(Calculations!R$1,'2018_commission_structure'!$A$11:$I$11,0)),0)</f>
        <v>0</v>
      </c>
      <c r="S409" s="7">
        <f>IF(H409&gt;L409,(H409-L409)*INDEX('2018_commission_structure'!$A$11:$I$14,MATCH(Calculations!$E409,'2018_commission_structure'!$A$11:$A$14,0),MATCH(Calculations!S$1,'2018_commission_structure'!$A$11:$I$11,0)),0)</f>
        <v>0</v>
      </c>
      <c r="T409" s="7">
        <f t="shared" si="59"/>
        <v>64986.5</v>
      </c>
      <c r="U409" s="7">
        <f t="shared" si="60"/>
        <v>117655.5</v>
      </c>
      <c r="V409" s="7">
        <f>MIN(H409,I409)*INDEX('2018_commission_structure'!$A$5:$J$8,MATCH(Calculations!$E409,'2018_commission_structure'!$A$5:$A$8,0),MATCH(Calculations!V$1,'2018_commission_structure'!$A$5:$J$5,0))</f>
        <v>60000</v>
      </c>
      <c r="W409" s="2">
        <f>IF($H409&gt;I409,MIN($H409-I409,J409-I409)*INDEX('2018_commission_structure'!$A$5:$J$8,MATCH(Calculations!$E409,'2018_commission_structure'!$A$5:$A$8,0),MATCH(Calculations!W$1,'2018_commission_structure'!$A$5:$J$5,0)),0)</f>
        <v>16984.7</v>
      </c>
      <c r="X409" s="2">
        <f>IF($H409&gt;J409,MIN($H409-J409,K409-J409)*INDEX('2018_commission_structure'!$A$5:$J$8,MATCH(Calculations!$E409,'2018_commission_structure'!$A$5:$A$8,0),MATCH(Calculations!X$1,'2018_commission_structure'!$A$5:$J$5,0)),0)</f>
        <v>0</v>
      </c>
      <c r="Y409" s="2">
        <f>IF($H409&gt;K409,MIN($H409-K409,L409-K409)*INDEX('2018_commission_structure'!$A$5:$J$8,MATCH(Calculations!$E409,'2018_commission_structure'!$A$5:$A$8,0),MATCH(Calculations!Y$1,'2018_commission_structure'!$A$5:$J$5,0)),0)</f>
        <v>0</v>
      </c>
      <c r="Z409" s="2">
        <f xml:space="preserve"> IF(H409&gt;L409,(H409-L409)*INDEX('2018_commission_structure'!$A$11:$I$14,MATCH(Calculations!$E409,'2018_commission_structure'!$A$11:$A$14,0),MATCH(Calculations!Z$1,'2018_commission_structure'!$A$11:$I$11,0)),0)</f>
        <v>0</v>
      </c>
      <c r="AA409" s="7">
        <f t="shared" si="61"/>
        <v>76984.7</v>
      </c>
      <c r="AB409" s="7">
        <f t="shared" si="62"/>
        <v>129653.7</v>
      </c>
    </row>
    <row r="410" spans="1:28" x14ac:dyDescent="0.25">
      <c r="A410">
        <v>6515844751</v>
      </c>
      <c r="B410" t="s">
        <v>1546</v>
      </c>
      <c r="C410" t="s">
        <v>1547</v>
      </c>
      <c r="D410" t="str">
        <f>B410&amp;" "&amp;C410</f>
        <v>Kristy Hadland</v>
      </c>
      <c r="E410" t="s">
        <v>10</v>
      </c>
      <c r="F410">
        <v>99622</v>
      </c>
      <c r="G410">
        <f>COUNTIF(deals_closed!D:D,Calculations!A410)</f>
        <v>17</v>
      </c>
      <c r="H410" s="2">
        <f>SUMIF(deals_closed!D:D,Calculations!A410,deals_closed!C:C)</f>
        <v>550672</v>
      </c>
      <c r="I410" s="2">
        <f>VLOOKUP(E410,'2018_commission_structure'!$A$11:$I$14,9,FALSE)</f>
        <v>750000</v>
      </c>
      <c r="J410" s="2">
        <f t="shared" si="54"/>
        <v>937500</v>
      </c>
      <c r="K410" s="2">
        <f t="shared" si="55"/>
        <v>1125000</v>
      </c>
      <c r="L410" s="2">
        <f t="shared" si="56"/>
        <v>1500000</v>
      </c>
      <c r="M410" s="6">
        <f t="shared" si="57"/>
        <v>0.73422933333333329</v>
      </c>
      <c r="N410" t="str">
        <f t="shared" si="58"/>
        <v>0-100%</v>
      </c>
      <c r="O410" s="7">
        <f>MIN(I410,H410)*INDEX('2018_commission_structure'!$A$11:$I$14,MATCH(Calculations!$E410,'2018_commission_structure'!$A$11:$A$14,0),MATCH(Calculations!O$1,'2018_commission_structure'!$A$11:$I$11,0))</f>
        <v>82600.800000000003</v>
      </c>
      <c r="P410" s="7">
        <f>IF($H410&gt;I410,MIN($H410-I410,J410-I410)*INDEX('2018_commission_structure'!$A$11:$I$14,MATCH(Calculations!$E410,'2018_commission_structure'!$A$11:$A$14,0), MATCH(Calculations!P$1,'2018_commission_structure'!$A$11:$I$11,0)),0)</f>
        <v>0</v>
      </c>
      <c r="Q410" s="7">
        <f>IF($H410&gt;J410,MIN($H410-J410,K410-J410)*INDEX('2018_commission_structure'!$A$11:$I$14,MATCH(Calculations!$E410,'2018_commission_structure'!$A$11:$A$14,0), MATCH(Calculations!Q$1,'2018_commission_structure'!$A$11:$I$11,0)),0)</f>
        <v>0</v>
      </c>
      <c r="R410" s="7">
        <f>IF($H410&gt;K410,MIN($H410-K410,L410-K410)*INDEX('2018_commission_structure'!$A$11:$I$14,MATCH(Calculations!$E410,'2018_commission_structure'!$A$11:$A$14,0), MATCH(Calculations!R$1,'2018_commission_structure'!$A$11:$I$11,0)),0)</f>
        <v>0</v>
      </c>
      <c r="S410" s="7">
        <f>IF(H410&gt;L410,(H410-L410)*INDEX('2018_commission_structure'!$A$11:$I$14,MATCH(Calculations!$E410,'2018_commission_structure'!$A$11:$A$14,0),MATCH(Calculations!S$1,'2018_commission_structure'!$A$11:$I$11,0)),0)</f>
        <v>0</v>
      </c>
      <c r="T410" s="7">
        <f t="shared" si="59"/>
        <v>82600.800000000003</v>
      </c>
      <c r="U410" s="7">
        <f t="shared" si="60"/>
        <v>182222.8</v>
      </c>
      <c r="V410" s="7">
        <f>MIN(H410,I410)*INDEX('2018_commission_structure'!$A$5:$J$8,MATCH(Calculations!$E410,'2018_commission_structure'!$A$5:$A$8,0),MATCH(Calculations!V$1,'2018_commission_structure'!$A$5:$J$5,0))</f>
        <v>82600.800000000003</v>
      </c>
      <c r="W410" s="2">
        <f>IF($H410&gt;I410,MIN($H410-I410,J410-I410)*INDEX('2018_commission_structure'!$A$5:$J$8,MATCH(Calculations!$E410,'2018_commission_structure'!$A$5:$A$8,0),MATCH(Calculations!W$1,'2018_commission_structure'!$A$5:$J$5,0)),0)</f>
        <v>0</v>
      </c>
      <c r="X410" s="2">
        <f>IF($H410&gt;J410,MIN($H410-J410,K410-J410)*INDEX('2018_commission_structure'!$A$5:$J$8,MATCH(Calculations!$E410,'2018_commission_structure'!$A$5:$A$8,0),MATCH(Calculations!X$1,'2018_commission_structure'!$A$5:$J$5,0)),0)</f>
        <v>0</v>
      </c>
      <c r="Y410" s="2">
        <f>IF($H410&gt;K410,MIN($H410-K410,L410-K410)*INDEX('2018_commission_structure'!$A$5:$J$8,MATCH(Calculations!$E410,'2018_commission_structure'!$A$5:$A$8,0),MATCH(Calculations!Y$1,'2018_commission_structure'!$A$5:$J$5,0)),0)</f>
        <v>0</v>
      </c>
      <c r="Z410" s="2">
        <f xml:space="preserve"> IF(H410&gt;L410,(H410-L410)*INDEX('2018_commission_structure'!$A$11:$I$14,MATCH(Calculations!$E410,'2018_commission_structure'!$A$11:$A$14,0),MATCH(Calculations!Z$1,'2018_commission_structure'!$A$11:$I$11,0)),0)</f>
        <v>0</v>
      </c>
      <c r="AA410" s="7">
        <f t="shared" si="61"/>
        <v>82600.800000000003</v>
      </c>
      <c r="AB410" s="7">
        <f t="shared" si="62"/>
        <v>182222.8</v>
      </c>
    </row>
    <row r="411" spans="1:28" x14ac:dyDescent="0.25">
      <c r="A411">
        <v>5474718616</v>
      </c>
      <c r="B411" t="s">
        <v>1478</v>
      </c>
      <c r="C411" t="s">
        <v>1690</v>
      </c>
      <c r="D411" t="str">
        <f>B411&amp;" "&amp;C411</f>
        <v>Kyle Hadlow</v>
      </c>
      <c r="E411" t="s">
        <v>29</v>
      </c>
      <c r="F411">
        <v>60380</v>
      </c>
      <c r="G411">
        <f>COUNTIF(deals_closed!D:D,Calculations!A411)</f>
        <v>17</v>
      </c>
      <c r="H411" s="2">
        <f>SUMIF(deals_closed!D:D,Calculations!A411,deals_closed!C:C)</f>
        <v>658453</v>
      </c>
      <c r="I411" s="2">
        <f>VLOOKUP(E411,'2018_commission_structure'!$A$11:$I$14,9,FALSE)</f>
        <v>600000</v>
      </c>
      <c r="J411" s="2">
        <f t="shared" si="54"/>
        <v>750000</v>
      </c>
      <c r="K411" s="2">
        <f t="shared" si="55"/>
        <v>900000</v>
      </c>
      <c r="L411" s="2">
        <f t="shared" si="56"/>
        <v>1200000</v>
      </c>
      <c r="M411" s="6">
        <f t="shared" si="57"/>
        <v>1.0974216666666667</v>
      </c>
      <c r="N411" t="str">
        <f t="shared" si="58"/>
        <v>100-125%</v>
      </c>
      <c r="O411" s="7">
        <f>MIN(I411,H411)*INDEX('2018_commission_structure'!$A$11:$I$14,MATCH(Calculations!$E411,'2018_commission_structure'!$A$11:$A$14,0),MATCH(Calculations!O$1,'2018_commission_structure'!$A$11:$I$11,0))</f>
        <v>78000</v>
      </c>
      <c r="P411" s="7">
        <f>IF($H411&gt;I411,MIN($H411-I411,J411-I411)*INDEX('2018_commission_structure'!$A$11:$I$14,MATCH(Calculations!$E411,'2018_commission_structure'!$A$11:$A$14,0), MATCH(Calculations!P$1,'2018_commission_structure'!$A$11:$I$11,0)),0)</f>
        <v>9937.01</v>
      </c>
      <c r="Q411" s="7">
        <f>IF($H411&gt;J411,MIN($H411-J411,K411-J411)*INDEX('2018_commission_structure'!$A$11:$I$14,MATCH(Calculations!$E411,'2018_commission_structure'!$A$11:$A$14,0), MATCH(Calculations!Q$1,'2018_commission_structure'!$A$11:$I$11,0)),0)</f>
        <v>0</v>
      </c>
      <c r="R411" s="7">
        <f>IF($H411&gt;K411,MIN($H411-K411,L411-K411)*INDEX('2018_commission_structure'!$A$11:$I$14,MATCH(Calculations!$E411,'2018_commission_structure'!$A$11:$A$14,0), MATCH(Calculations!R$1,'2018_commission_structure'!$A$11:$I$11,0)),0)</f>
        <v>0</v>
      </c>
      <c r="S411" s="7">
        <f>IF(H411&gt;L411,(H411-L411)*INDEX('2018_commission_structure'!$A$11:$I$14,MATCH(Calculations!$E411,'2018_commission_structure'!$A$11:$A$14,0),MATCH(Calculations!S$1,'2018_commission_structure'!$A$11:$I$11,0)),0)</f>
        <v>0</v>
      </c>
      <c r="T411" s="7">
        <f t="shared" si="59"/>
        <v>87937.01</v>
      </c>
      <c r="U411" s="7">
        <f t="shared" si="60"/>
        <v>148317.01</v>
      </c>
      <c r="V411" s="7">
        <f>MIN(H411,I411)*INDEX('2018_commission_structure'!$A$5:$J$8,MATCH(Calculations!$E411,'2018_commission_structure'!$A$5:$A$8,0),MATCH(Calculations!V$1,'2018_commission_structure'!$A$5:$J$5,0))</f>
        <v>90000</v>
      </c>
      <c r="W411" s="2">
        <f>IF($H411&gt;I411,MIN($H411-I411,J411-I411)*INDEX('2018_commission_structure'!$A$5:$J$8,MATCH(Calculations!$E411,'2018_commission_structure'!$A$5:$A$8,0),MATCH(Calculations!W$1,'2018_commission_structure'!$A$5:$J$5,0)),0)</f>
        <v>10521.539999999999</v>
      </c>
      <c r="X411" s="2">
        <f>IF($H411&gt;J411,MIN($H411-J411,K411-J411)*INDEX('2018_commission_structure'!$A$5:$J$8,MATCH(Calculations!$E411,'2018_commission_structure'!$A$5:$A$8,0),MATCH(Calculations!X$1,'2018_commission_structure'!$A$5:$J$5,0)),0)</f>
        <v>0</v>
      </c>
      <c r="Y411" s="2">
        <f>IF($H411&gt;K411,MIN($H411-K411,L411-K411)*INDEX('2018_commission_structure'!$A$5:$J$8,MATCH(Calculations!$E411,'2018_commission_structure'!$A$5:$A$8,0),MATCH(Calculations!Y$1,'2018_commission_structure'!$A$5:$J$5,0)),0)</f>
        <v>0</v>
      </c>
      <c r="Z411" s="2">
        <f xml:space="preserve"> IF(H411&gt;L411,(H411-L411)*INDEX('2018_commission_structure'!$A$11:$I$14,MATCH(Calculations!$E411,'2018_commission_structure'!$A$11:$A$14,0),MATCH(Calculations!Z$1,'2018_commission_structure'!$A$11:$I$11,0)),0)</f>
        <v>0</v>
      </c>
      <c r="AA411" s="7">
        <f t="shared" si="61"/>
        <v>100521.54</v>
      </c>
      <c r="AB411" s="7">
        <f t="shared" si="62"/>
        <v>160901.53999999998</v>
      </c>
    </row>
    <row r="412" spans="1:28" x14ac:dyDescent="0.25">
      <c r="A412">
        <v>1841759848</v>
      </c>
      <c r="B412" t="s">
        <v>56</v>
      </c>
      <c r="C412" t="s">
        <v>57</v>
      </c>
      <c r="D412" t="str">
        <f>B412&amp;" "&amp;C412</f>
        <v>Rory Hadwick</v>
      </c>
      <c r="E412" t="s">
        <v>7</v>
      </c>
      <c r="F412">
        <v>40716</v>
      </c>
      <c r="G412">
        <f>COUNTIF(deals_closed!D:D,Calculations!A412)</f>
        <v>13</v>
      </c>
      <c r="H412" s="2">
        <f>SUMIF(deals_closed!D:D,Calculations!A412,deals_closed!C:C)</f>
        <v>543853</v>
      </c>
      <c r="I412" s="2">
        <f>VLOOKUP(E412,'2018_commission_structure'!$A$11:$I$14,9,FALSE)</f>
        <v>500000</v>
      </c>
      <c r="J412" s="2">
        <f t="shared" si="54"/>
        <v>625000</v>
      </c>
      <c r="K412" s="2">
        <f t="shared" si="55"/>
        <v>750000</v>
      </c>
      <c r="L412" s="2">
        <f t="shared" si="56"/>
        <v>1000000</v>
      </c>
      <c r="M412" s="6">
        <f t="shared" si="57"/>
        <v>1.0877060000000001</v>
      </c>
      <c r="N412" t="str">
        <f t="shared" si="58"/>
        <v>100-125%</v>
      </c>
      <c r="O412" s="7">
        <f>MIN(I412,H412)*INDEX('2018_commission_structure'!$A$11:$I$14,MATCH(Calculations!$E412,'2018_commission_structure'!$A$11:$A$14,0),MATCH(Calculations!O$1,'2018_commission_structure'!$A$11:$I$11,0))</f>
        <v>50000</v>
      </c>
      <c r="P412" s="7">
        <f>IF($H412&gt;I412,MIN($H412-I412,J412-I412)*INDEX('2018_commission_structure'!$A$11:$I$14,MATCH(Calculations!$E412,'2018_commission_structure'!$A$11:$A$14,0), MATCH(Calculations!P$1,'2018_commission_structure'!$A$11:$I$11,0)),0)</f>
        <v>6577.95</v>
      </c>
      <c r="Q412" s="7">
        <f>IF($H412&gt;J412,MIN($H412-J412,K412-J412)*INDEX('2018_commission_structure'!$A$11:$I$14,MATCH(Calculations!$E412,'2018_commission_structure'!$A$11:$A$14,0), MATCH(Calculations!Q$1,'2018_commission_structure'!$A$11:$I$11,0)),0)</f>
        <v>0</v>
      </c>
      <c r="R412" s="7">
        <f>IF($H412&gt;K412,MIN($H412-K412,L412-K412)*INDEX('2018_commission_structure'!$A$11:$I$14,MATCH(Calculations!$E412,'2018_commission_structure'!$A$11:$A$14,0), MATCH(Calculations!R$1,'2018_commission_structure'!$A$11:$I$11,0)),0)</f>
        <v>0</v>
      </c>
      <c r="S412" s="7">
        <f>IF(H412&gt;L412,(H412-L412)*INDEX('2018_commission_structure'!$A$11:$I$14,MATCH(Calculations!$E412,'2018_commission_structure'!$A$11:$A$14,0),MATCH(Calculations!S$1,'2018_commission_structure'!$A$11:$I$11,0)),0)</f>
        <v>0</v>
      </c>
      <c r="T412" s="7">
        <f t="shared" si="59"/>
        <v>56577.95</v>
      </c>
      <c r="U412" s="7">
        <f t="shared" si="60"/>
        <v>97293.95</v>
      </c>
      <c r="V412" s="7">
        <f>MIN(H412,I412)*INDEX('2018_commission_structure'!$A$5:$J$8,MATCH(Calculations!$E412,'2018_commission_structure'!$A$5:$A$8,0),MATCH(Calculations!V$1,'2018_commission_structure'!$A$5:$J$5,0))</f>
        <v>60000</v>
      </c>
      <c r="W412" s="2">
        <f>IF($H412&gt;I412,MIN($H412-I412,J412-I412)*INDEX('2018_commission_structure'!$A$5:$J$8,MATCH(Calculations!$E412,'2018_commission_structure'!$A$5:$A$8,0),MATCH(Calculations!W$1,'2018_commission_structure'!$A$5:$J$5,0)),0)</f>
        <v>7455.01</v>
      </c>
      <c r="X412" s="2">
        <f>IF($H412&gt;J412,MIN($H412-J412,K412-J412)*INDEX('2018_commission_structure'!$A$5:$J$8,MATCH(Calculations!$E412,'2018_commission_structure'!$A$5:$A$8,0),MATCH(Calculations!X$1,'2018_commission_structure'!$A$5:$J$5,0)),0)</f>
        <v>0</v>
      </c>
      <c r="Y412" s="2">
        <f>IF($H412&gt;K412,MIN($H412-K412,L412-K412)*INDEX('2018_commission_structure'!$A$5:$J$8,MATCH(Calculations!$E412,'2018_commission_structure'!$A$5:$A$8,0),MATCH(Calculations!Y$1,'2018_commission_structure'!$A$5:$J$5,0)),0)</f>
        <v>0</v>
      </c>
      <c r="Z412" s="2">
        <f xml:space="preserve"> IF(H412&gt;L412,(H412-L412)*INDEX('2018_commission_structure'!$A$11:$I$14,MATCH(Calculations!$E412,'2018_commission_structure'!$A$11:$A$14,0),MATCH(Calculations!Z$1,'2018_commission_structure'!$A$11:$I$11,0)),0)</f>
        <v>0</v>
      </c>
      <c r="AA412" s="7">
        <f t="shared" si="61"/>
        <v>67455.009999999995</v>
      </c>
      <c r="AB412" s="7">
        <f t="shared" si="62"/>
        <v>108171.01</v>
      </c>
    </row>
    <row r="413" spans="1:28" x14ac:dyDescent="0.25">
      <c r="A413">
        <v>2740930763</v>
      </c>
      <c r="B413" t="s">
        <v>755</v>
      </c>
      <c r="C413" t="s">
        <v>756</v>
      </c>
      <c r="D413" t="str">
        <f>B413&amp;" "&amp;C413</f>
        <v>Matthias Haestier</v>
      </c>
      <c r="E413" t="s">
        <v>10</v>
      </c>
      <c r="F413">
        <v>123658</v>
      </c>
      <c r="G413">
        <f>COUNTIF(deals_closed!D:D,Calculations!A413)</f>
        <v>14</v>
      </c>
      <c r="H413" s="2">
        <f>SUMIF(deals_closed!D:D,Calculations!A413,deals_closed!C:C)</f>
        <v>413366</v>
      </c>
      <c r="I413" s="2">
        <f>VLOOKUP(E413,'2018_commission_structure'!$A$11:$I$14,9,FALSE)</f>
        <v>750000</v>
      </c>
      <c r="J413" s="2">
        <f t="shared" si="54"/>
        <v>937500</v>
      </c>
      <c r="K413" s="2">
        <f t="shared" si="55"/>
        <v>1125000</v>
      </c>
      <c r="L413" s="2">
        <f t="shared" si="56"/>
        <v>1500000</v>
      </c>
      <c r="M413" s="6">
        <f t="shared" si="57"/>
        <v>0.55115466666666668</v>
      </c>
      <c r="N413" t="str">
        <f t="shared" si="58"/>
        <v>0-100%</v>
      </c>
      <c r="O413" s="7">
        <f>MIN(I413,H413)*INDEX('2018_commission_structure'!$A$11:$I$14,MATCH(Calculations!$E413,'2018_commission_structure'!$A$11:$A$14,0),MATCH(Calculations!O$1,'2018_commission_structure'!$A$11:$I$11,0))</f>
        <v>62004.899999999994</v>
      </c>
      <c r="P413" s="7">
        <f>IF($H413&gt;I413,MIN($H413-I413,J413-I413)*INDEX('2018_commission_structure'!$A$11:$I$14,MATCH(Calculations!$E413,'2018_commission_structure'!$A$11:$A$14,0), MATCH(Calculations!P$1,'2018_commission_structure'!$A$11:$I$11,0)),0)</f>
        <v>0</v>
      </c>
      <c r="Q413" s="7">
        <f>IF($H413&gt;J413,MIN($H413-J413,K413-J413)*INDEX('2018_commission_structure'!$A$11:$I$14,MATCH(Calculations!$E413,'2018_commission_structure'!$A$11:$A$14,0), MATCH(Calculations!Q$1,'2018_commission_structure'!$A$11:$I$11,0)),0)</f>
        <v>0</v>
      </c>
      <c r="R413" s="7">
        <f>IF($H413&gt;K413,MIN($H413-K413,L413-K413)*INDEX('2018_commission_structure'!$A$11:$I$14,MATCH(Calculations!$E413,'2018_commission_structure'!$A$11:$A$14,0), MATCH(Calculations!R$1,'2018_commission_structure'!$A$11:$I$11,0)),0)</f>
        <v>0</v>
      </c>
      <c r="S413" s="7">
        <f>IF(H413&gt;L413,(H413-L413)*INDEX('2018_commission_structure'!$A$11:$I$14,MATCH(Calculations!$E413,'2018_commission_structure'!$A$11:$A$14,0),MATCH(Calculations!S$1,'2018_commission_structure'!$A$11:$I$11,0)),0)</f>
        <v>0</v>
      </c>
      <c r="T413" s="7">
        <f t="shared" si="59"/>
        <v>62004.899999999994</v>
      </c>
      <c r="U413" s="7">
        <f t="shared" si="60"/>
        <v>185662.9</v>
      </c>
      <c r="V413" s="7">
        <f>MIN(H413,I413)*INDEX('2018_commission_structure'!$A$5:$J$8,MATCH(Calculations!$E413,'2018_commission_structure'!$A$5:$A$8,0),MATCH(Calculations!V$1,'2018_commission_structure'!$A$5:$J$5,0))</f>
        <v>62004.899999999994</v>
      </c>
      <c r="W413" s="2">
        <f>IF($H413&gt;I413,MIN($H413-I413,J413-I413)*INDEX('2018_commission_structure'!$A$5:$J$8,MATCH(Calculations!$E413,'2018_commission_structure'!$A$5:$A$8,0),MATCH(Calculations!W$1,'2018_commission_structure'!$A$5:$J$5,0)),0)</f>
        <v>0</v>
      </c>
      <c r="X413" s="2">
        <f>IF($H413&gt;J413,MIN($H413-J413,K413-J413)*INDEX('2018_commission_structure'!$A$5:$J$8,MATCH(Calculations!$E413,'2018_commission_structure'!$A$5:$A$8,0),MATCH(Calculations!X$1,'2018_commission_structure'!$A$5:$J$5,0)),0)</f>
        <v>0</v>
      </c>
      <c r="Y413" s="2">
        <f>IF($H413&gt;K413,MIN($H413-K413,L413-K413)*INDEX('2018_commission_structure'!$A$5:$J$8,MATCH(Calculations!$E413,'2018_commission_structure'!$A$5:$A$8,0),MATCH(Calculations!Y$1,'2018_commission_structure'!$A$5:$J$5,0)),0)</f>
        <v>0</v>
      </c>
      <c r="Z413" s="2">
        <f xml:space="preserve"> IF(H413&gt;L413,(H413-L413)*INDEX('2018_commission_structure'!$A$11:$I$14,MATCH(Calculations!$E413,'2018_commission_structure'!$A$11:$A$14,0),MATCH(Calculations!Z$1,'2018_commission_structure'!$A$11:$I$11,0)),0)</f>
        <v>0</v>
      </c>
      <c r="AA413" s="7">
        <f t="shared" si="61"/>
        <v>62004.899999999994</v>
      </c>
      <c r="AB413" s="7">
        <f t="shared" si="62"/>
        <v>185662.9</v>
      </c>
    </row>
    <row r="414" spans="1:28" x14ac:dyDescent="0.25">
      <c r="A414">
        <v>7625163059</v>
      </c>
      <c r="B414" t="s">
        <v>1486</v>
      </c>
      <c r="C414" t="s">
        <v>1487</v>
      </c>
      <c r="D414" t="str">
        <f>B414&amp;" "&amp;C414</f>
        <v>Ingar Halpine</v>
      </c>
      <c r="E414" t="s">
        <v>29</v>
      </c>
      <c r="F414">
        <v>59321</v>
      </c>
      <c r="G414">
        <f>COUNTIF(deals_closed!D:D,Calculations!A414)</f>
        <v>22</v>
      </c>
      <c r="H414" s="2">
        <f>SUMIF(deals_closed!D:D,Calculations!A414,deals_closed!C:C)</f>
        <v>781150</v>
      </c>
      <c r="I414" s="2">
        <f>VLOOKUP(E414,'2018_commission_structure'!$A$11:$I$14,9,FALSE)</f>
        <v>600000</v>
      </c>
      <c r="J414" s="2">
        <f t="shared" si="54"/>
        <v>750000</v>
      </c>
      <c r="K414" s="2">
        <f t="shared" si="55"/>
        <v>900000</v>
      </c>
      <c r="L414" s="2">
        <f t="shared" si="56"/>
        <v>1200000</v>
      </c>
      <c r="M414" s="6">
        <f t="shared" si="57"/>
        <v>1.3019166666666666</v>
      </c>
      <c r="N414" t="str">
        <f t="shared" si="58"/>
        <v>125-150%</v>
      </c>
      <c r="O414" s="7">
        <f>MIN(I414,H414)*INDEX('2018_commission_structure'!$A$11:$I$14,MATCH(Calculations!$E414,'2018_commission_structure'!$A$11:$A$14,0),MATCH(Calculations!O$1,'2018_commission_structure'!$A$11:$I$11,0))</f>
        <v>78000</v>
      </c>
      <c r="P414" s="7">
        <f>IF($H414&gt;I414,MIN($H414-I414,J414-I414)*INDEX('2018_commission_structure'!$A$11:$I$14,MATCH(Calculations!$E414,'2018_commission_structure'!$A$11:$A$14,0), MATCH(Calculations!P$1,'2018_commission_structure'!$A$11:$I$11,0)),0)</f>
        <v>25500.000000000004</v>
      </c>
      <c r="Q414" s="7">
        <f>IF($H414&gt;J414,MIN($H414-J414,K414-J414)*INDEX('2018_commission_structure'!$A$11:$I$14,MATCH(Calculations!$E414,'2018_commission_structure'!$A$11:$A$14,0), MATCH(Calculations!Q$1,'2018_commission_structure'!$A$11:$I$11,0)),0)</f>
        <v>6541.5</v>
      </c>
      <c r="R414" s="7">
        <f>IF($H414&gt;K414,MIN($H414-K414,L414-K414)*INDEX('2018_commission_structure'!$A$11:$I$14,MATCH(Calculations!$E414,'2018_commission_structure'!$A$11:$A$14,0), MATCH(Calculations!R$1,'2018_commission_structure'!$A$11:$I$11,0)),0)</f>
        <v>0</v>
      </c>
      <c r="S414" s="7">
        <f>IF(H414&gt;L414,(H414-L414)*INDEX('2018_commission_structure'!$A$11:$I$14,MATCH(Calculations!$E414,'2018_commission_structure'!$A$11:$A$14,0),MATCH(Calculations!S$1,'2018_commission_structure'!$A$11:$I$11,0)),0)</f>
        <v>0</v>
      </c>
      <c r="T414" s="7">
        <f t="shared" si="59"/>
        <v>110041.5</v>
      </c>
      <c r="U414" s="7">
        <f t="shared" si="60"/>
        <v>169362.5</v>
      </c>
      <c r="V414" s="7">
        <f>MIN(H414,I414)*INDEX('2018_commission_structure'!$A$5:$J$8,MATCH(Calculations!$E414,'2018_commission_structure'!$A$5:$A$8,0),MATCH(Calculations!V$1,'2018_commission_structure'!$A$5:$J$5,0))</f>
        <v>90000</v>
      </c>
      <c r="W414" s="2">
        <f>IF($H414&gt;I414,MIN($H414-I414,J414-I414)*INDEX('2018_commission_structure'!$A$5:$J$8,MATCH(Calculations!$E414,'2018_commission_structure'!$A$5:$A$8,0),MATCH(Calculations!W$1,'2018_commission_structure'!$A$5:$J$5,0)),0)</f>
        <v>27000</v>
      </c>
      <c r="X414" s="2">
        <f>IF($H414&gt;J414,MIN($H414-J414,K414-J414)*INDEX('2018_commission_structure'!$A$5:$J$8,MATCH(Calculations!$E414,'2018_commission_structure'!$A$5:$A$8,0),MATCH(Calculations!X$1,'2018_commission_structure'!$A$5:$J$5,0)),0)</f>
        <v>7787.5</v>
      </c>
      <c r="Y414" s="2">
        <f>IF($H414&gt;K414,MIN($H414-K414,L414-K414)*INDEX('2018_commission_structure'!$A$5:$J$8,MATCH(Calculations!$E414,'2018_commission_structure'!$A$5:$A$8,0),MATCH(Calculations!Y$1,'2018_commission_structure'!$A$5:$J$5,0)),0)</f>
        <v>0</v>
      </c>
      <c r="Z414" s="2">
        <f xml:space="preserve"> IF(H414&gt;L414,(H414-L414)*INDEX('2018_commission_structure'!$A$11:$I$14,MATCH(Calculations!$E414,'2018_commission_structure'!$A$11:$A$14,0),MATCH(Calculations!Z$1,'2018_commission_structure'!$A$11:$I$11,0)),0)</f>
        <v>0</v>
      </c>
      <c r="AA414" s="7">
        <f t="shared" si="61"/>
        <v>124787.5</v>
      </c>
      <c r="AB414" s="7">
        <f t="shared" si="62"/>
        <v>184108.5</v>
      </c>
    </row>
    <row r="415" spans="1:28" x14ac:dyDescent="0.25">
      <c r="A415">
        <v>146065492</v>
      </c>
      <c r="B415" t="s">
        <v>282</v>
      </c>
      <c r="C415" t="s">
        <v>283</v>
      </c>
      <c r="D415" t="str">
        <f>B415&amp;" "&amp;C415</f>
        <v>Maximilianus Hamlington</v>
      </c>
      <c r="E415" t="s">
        <v>10</v>
      </c>
      <c r="F415">
        <v>117391</v>
      </c>
      <c r="G415">
        <f>COUNTIF(deals_closed!D:D,Calculations!A415)</f>
        <v>14</v>
      </c>
      <c r="H415" s="2">
        <f>SUMIF(deals_closed!D:D,Calculations!A415,deals_closed!C:C)</f>
        <v>537360</v>
      </c>
      <c r="I415" s="2">
        <f>VLOOKUP(E415,'2018_commission_structure'!$A$11:$I$14,9,FALSE)</f>
        <v>750000</v>
      </c>
      <c r="J415" s="2">
        <f t="shared" si="54"/>
        <v>937500</v>
      </c>
      <c r="K415" s="2">
        <f t="shared" si="55"/>
        <v>1125000</v>
      </c>
      <c r="L415" s="2">
        <f t="shared" si="56"/>
        <v>1500000</v>
      </c>
      <c r="M415" s="6">
        <f t="shared" si="57"/>
        <v>0.71648000000000001</v>
      </c>
      <c r="N415" t="str">
        <f t="shared" si="58"/>
        <v>0-100%</v>
      </c>
      <c r="O415" s="7">
        <f>MIN(I415,H415)*INDEX('2018_commission_structure'!$A$11:$I$14,MATCH(Calculations!$E415,'2018_commission_structure'!$A$11:$A$14,0),MATCH(Calculations!O$1,'2018_commission_structure'!$A$11:$I$11,0))</f>
        <v>80604</v>
      </c>
      <c r="P415" s="7">
        <f>IF($H415&gt;I415,MIN($H415-I415,J415-I415)*INDEX('2018_commission_structure'!$A$11:$I$14,MATCH(Calculations!$E415,'2018_commission_structure'!$A$11:$A$14,0), MATCH(Calculations!P$1,'2018_commission_structure'!$A$11:$I$11,0)),0)</f>
        <v>0</v>
      </c>
      <c r="Q415" s="7">
        <f>IF($H415&gt;J415,MIN($H415-J415,K415-J415)*INDEX('2018_commission_structure'!$A$11:$I$14,MATCH(Calculations!$E415,'2018_commission_structure'!$A$11:$A$14,0), MATCH(Calculations!Q$1,'2018_commission_structure'!$A$11:$I$11,0)),0)</f>
        <v>0</v>
      </c>
      <c r="R415" s="7">
        <f>IF($H415&gt;K415,MIN($H415-K415,L415-K415)*INDEX('2018_commission_structure'!$A$11:$I$14,MATCH(Calculations!$E415,'2018_commission_structure'!$A$11:$A$14,0), MATCH(Calculations!R$1,'2018_commission_structure'!$A$11:$I$11,0)),0)</f>
        <v>0</v>
      </c>
      <c r="S415" s="7">
        <f>IF(H415&gt;L415,(H415-L415)*INDEX('2018_commission_structure'!$A$11:$I$14,MATCH(Calculations!$E415,'2018_commission_structure'!$A$11:$A$14,0),MATCH(Calculations!S$1,'2018_commission_structure'!$A$11:$I$11,0)),0)</f>
        <v>0</v>
      </c>
      <c r="T415" s="7">
        <f t="shared" si="59"/>
        <v>80604</v>
      </c>
      <c r="U415" s="7">
        <f t="shared" si="60"/>
        <v>197995</v>
      </c>
      <c r="V415" s="7">
        <f>MIN(H415,I415)*INDEX('2018_commission_structure'!$A$5:$J$8,MATCH(Calculations!$E415,'2018_commission_structure'!$A$5:$A$8,0),MATCH(Calculations!V$1,'2018_commission_structure'!$A$5:$J$5,0))</f>
        <v>80604</v>
      </c>
      <c r="W415" s="2">
        <f>IF($H415&gt;I415,MIN($H415-I415,J415-I415)*INDEX('2018_commission_structure'!$A$5:$J$8,MATCH(Calculations!$E415,'2018_commission_structure'!$A$5:$A$8,0),MATCH(Calculations!W$1,'2018_commission_structure'!$A$5:$J$5,0)),0)</f>
        <v>0</v>
      </c>
      <c r="X415" s="2">
        <f>IF($H415&gt;J415,MIN($H415-J415,K415-J415)*INDEX('2018_commission_structure'!$A$5:$J$8,MATCH(Calculations!$E415,'2018_commission_structure'!$A$5:$A$8,0),MATCH(Calculations!X$1,'2018_commission_structure'!$A$5:$J$5,0)),0)</f>
        <v>0</v>
      </c>
      <c r="Y415" s="2">
        <f>IF($H415&gt;K415,MIN($H415-K415,L415-K415)*INDEX('2018_commission_structure'!$A$5:$J$8,MATCH(Calculations!$E415,'2018_commission_structure'!$A$5:$A$8,0),MATCH(Calculations!Y$1,'2018_commission_structure'!$A$5:$J$5,0)),0)</f>
        <v>0</v>
      </c>
      <c r="Z415" s="2">
        <f xml:space="preserve"> IF(H415&gt;L415,(H415-L415)*INDEX('2018_commission_structure'!$A$11:$I$14,MATCH(Calculations!$E415,'2018_commission_structure'!$A$11:$A$14,0),MATCH(Calculations!Z$1,'2018_commission_structure'!$A$11:$I$11,0)),0)</f>
        <v>0</v>
      </c>
      <c r="AA415" s="7">
        <f t="shared" si="61"/>
        <v>80604</v>
      </c>
      <c r="AB415" s="7">
        <f t="shared" si="62"/>
        <v>197995</v>
      </c>
    </row>
    <row r="416" spans="1:28" x14ac:dyDescent="0.25">
      <c r="A416">
        <v>3101620996</v>
      </c>
      <c r="B416" t="s">
        <v>1910</v>
      </c>
      <c r="C416" t="s">
        <v>1911</v>
      </c>
      <c r="D416" t="str">
        <f>B416&amp;" "&amp;C416</f>
        <v>Monique Hammelberg</v>
      </c>
      <c r="E416" t="s">
        <v>10</v>
      </c>
      <c r="F416">
        <v>96589</v>
      </c>
      <c r="G416">
        <f>COUNTIF(deals_closed!D:D,Calculations!A416)</f>
        <v>20</v>
      </c>
      <c r="H416" s="2">
        <f>SUMIF(deals_closed!D:D,Calculations!A416,deals_closed!C:C)</f>
        <v>634736</v>
      </c>
      <c r="I416" s="2">
        <f>VLOOKUP(E416,'2018_commission_structure'!$A$11:$I$14,9,FALSE)</f>
        <v>750000</v>
      </c>
      <c r="J416" s="2">
        <f t="shared" si="54"/>
        <v>937500</v>
      </c>
      <c r="K416" s="2">
        <f t="shared" si="55"/>
        <v>1125000</v>
      </c>
      <c r="L416" s="2">
        <f t="shared" si="56"/>
        <v>1500000</v>
      </c>
      <c r="M416" s="6">
        <f t="shared" si="57"/>
        <v>0.84631466666666666</v>
      </c>
      <c r="N416" t="str">
        <f t="shared" si="58"/>
        <v>0-100%</v>
      </c>
      <c r="O416" s="7">
        <f>MIN(I416,H416)*INDEX('2018_commission_structure'!$A$11:$I$14,MATCH(Calculations!$E416,'2018_commission_structure'!$A$11:$A$14,0),MATCH(Calculations!O$1,'2018_commission_structure'!$A$11:$I$11,0))</f>
        <v>95210.4</v>
      </c>
      <c r="P416" s="7">
        <f>IF($H416&gt;I416,MIN($H416-I416,J416-I416)*INDEX('2018_commission_structure'!$A$11:$I$14,MATCH(Calculations!$E416,'2018_commission_structure'!$A$11:$A$14,0), MATCH(Calculations!P$1,'2018_commission_structure'!$A$11:$I$11,0)),0)</f>
        <v>0</v>
      </c>
      <c r="Q416" s="7">
        <f>IF($H416&gt;J416,MIN($H416-J416,K416-J416)*INDEX('2018_commission_structure'!$A$11:$I$14,MATCH(Calculations!$E416,'2018_commission_structure'!$A$11:$A$14,0), MATCH(Calculations!Q$1,'2018_commission_structure'!$A$11:$I$11,0)),0)</f>
        <v>0</v>
      </c>
      <c r="R416" s="7">
        <f>IF($H416&gt;K416,MIN($H416-K416,L416-K416)*INDEX('2018_commission_structure'!$A$11:$I$14,MATCH(Calculations!$E416,'2018_commission_structure'!$A$11:$A$14,0), MATCH(Calculations!R$1,'2018_commission_structure'!$A$11:$I$11,0)),0)</f>
        <v>0</v>
      </c>
      <c r="S416" s="7">
        <f>IF(H416&gt;L416,(H416-L416)*INDEX('2018_commission_structure'!$A$11:$I$14,MATCH(Calculations!$E416,'2018_commission_structure'!$A$11:$A$14,0),MATCH(Calculations!S$1,'2018_commission_structure'!$A$11:$I$11,0)),0)</f>
        <v>0</v>
      </c>
      <c r="T416" s="7">
        <f t="shared" si="59"/>
        <v>95210.4</v>
      </c>
      <c r="U416" s="7">
        <f t="shared" si="60"/>
        <v>191799.4</v>
      </c>
      <c r="V416" s="7">
        <f>MIN(H416,I416)*INDEX('2018_commission_structure'!$A$5:$J$8,MATCH(Calculations!$E416,'2018_commission_structure'!$A$5:$A$8,0),MATCH(Calculations!V$1,'2018_commission_structure'!$A$5:$J$5,0))</f>
        <v>95210.4</v>
      </c>
      <c r="W416" s="2">
        <f>IF($H416&gt;I416,MIN($H416-I416,J416-I416)*INDEX('2018_commission_structure'!$A$5:$J$8,MATCH(Calculations!$E416,'2018_commission_structure'!$A$5:$A$8,0),MATCH(Calculations!W$1,'2018_commission_structure'!$A$5:$J$5,0)),0)</f>
        <v>0</v>
      </c>
      <c r="X416" s="2">
        <f>IF($H416&gt;J416,MIN($H416-J416,K416-J416)*INDEX('2018_commission_structure'!$A$5:$J$8,MATCH(Calculations!$E416,'2018_commission_structure'!$A$5:$A$8,0),MATCH(Calculations!X$1,'2018_commission_structure'!$A$5:$J$5,0)),0)</f>
        <v>0</v>
      </c>
      <c r="Y416" s="2">
        <f>IF($H416&gt;K416,MIN($H416-K416,L416-K416)*INDEX('2018_commission_structure'!$A$5:$J$8,MATCH(Calculations!$E416,'2018_commission_structure'!$A$5:$A$8,0),MATCH(Calculations!Y$1,'2018_commission_structure'!$A$5:$J$5,0)),0)</f>
        <v>0</v>
      </c>
      <c r="Z416" s="2">
        <f xml:space="preserve"> IF(H416&gt;L416,(H416-L416)*INDEX('2018_commission_structure'!$A$11:$I$14,MATCH(Calculations!$E416,'2018_commission_structure'!$A$11:$A$14,0),MATCH(Calculations!Z$1,'2018_commission_structure'!$A$11:$I$11,0)),0)</f>
        <v>0</v>
      </c>
      <c r="AA416" s="7">
        <f t="shared" si="61"/>
        <v>95210.4</v>
      </c>
      <c r="AB416" s="7">
        <f t="shared" si="62"/>
        <v>191799.4</v>
      </c>
    </row>
    <row r="417" spans="1:28" x14ac:dyDescent="0.25">
      <c r="A417">
        <v>6734537986</v>
      </c>
      <c r="B417" t="s">
        <v>5</v>
      </c>
      <c r="C417" t="s">
        <v>6</v>
      </c>
      <c r="D417" t="str">
        <f>B417&amp;" "&amp;C417</f>
        <v>Elva Hamsher</v>
      </c>
      <c r="E417" t="s">
        <v>7</v>
      </c>
      <c r="F417">
        <v>54928</v>
      </c>
      <c r="G417">
        <f>COUNTIF(deals_closed!D:D,Calculations!A417)</f>
        <v>19</v>
      </c>
      <c r="H417" s="2">
        <f>SUMIF(deals_closed!D:D,Calculations!A417,deals_closed!C:C)</f>
        <v>690078</v>
      </c>
      <c r="I417" s="2">
        <f>VLOOKUP(E417,'2018_commission_structure'!$A$11:$I$14,9,FALSE)</f>
        <v>500000</v>
      </c>
      <c r="J417" s="2">
        <f t="shared" si="54"/>
        <v>625000</v>
      </c>
      <c r="K417" s="2">
        <f t="shared" si="55"/>
        <v>750000</v>
      </c>
      <c r="L417" s="2">
        <f t="shared" si="56"/>
        <v>1000000</v>
      </c>
      <c r="M417" s="6">
        <f t="shared" si="57"/>
        <v>1.3801559999999999</v>
      </c>
      <c r="N417" t="str">
        <f t="shared" si="58"/>
        <v>125-150%</v>
      </c>
      <c r="O417" s="7">
        <f>MIN(I417,H417)*INDEX('2018_commission_structure'!$A$11:$I$14,MATCH(Calculations!$E417,'2018_commission_structure'!$A$11:$A$14,0),MATCH(Calculations!O$1,'2018_commission_structure'!$A$11:$I$11,0))</f>
        <v>50000</v>
      </c>
      <c r="P417" s="7">
        <f>IF($H417&gt;I417,MIN($H417-I417,J417-I417)*INDEX('2018_commission_structure'!$A$11:$I$14,MATCH(Calculations!$E417,'2018_commission_structure'!$A$11:$A$14,0), MATCH(Calculations!P$1,'2018_commission_structure'!$A$11:$I$11,0)),0)</f>
        <v>18750</v>
      </c>
      <c r="Q417" s="7">
        <f>IF($H417&gt;J417,MIN($H417-J417,K417-J417)*INDEX('2018_commission_structure'!$A$11:$I$14,MATCH(Calculations!$E417,'2018_commission_structure'!$A$11:$A$14,0), MATCH(Calculations!Q$1,'2018_commission_structure'!$A$11:$I$11,0)),0)</f>
        <v>11714.039999999999</v>
      </c>
      <c r="R417" s="7">
        <f>IF($H417&gt;K417,MIN($H417-K417,L417-K417)*INDEX('2018_commission_structure'!$A$11:$I$14,MATCH(Calculations!$E417,'2018_commission_structure'!$A$11:$A$14,0), MATCH(Calculations!R$1,'2018_commission_structure'!$A$11:$I$11,0)),0)</f>
        <v>0</v>
      </c>
      <c r="S417" s="7">
        <f>IF(H417&gt;L417,(H417-L417)*INDEX('2018_commission_structure'!$A$11:$I$14,MATCH(Calculations!$E417,'2018_commission_structure'!$A$11:$A$14,0),MATCH(Calculations!S$1,'2018_commission_structure'!$A$11:$I$11,0)),0)</f>
        <v>0</v>
      </c>
      <c r="T417" s="7">
        <f t="shared" si="59"/>
        <v>80464.039999999994</v>
      </c>
      <c r="U417" s="7">
        <f t="shared" si="60"/>
        <v>135392.03999999998</v>
      </c>
      <c r="V417" s="7">
        <f>MIN(H417,I417)*INDEX('2018_commission_structure'!$A$5:$J$8,MATCH(Calculations!$E417,'2018_commission_structure'!$A$5:$A$8,0),MATCH(Calculations!V$1,'2018_commission_structure'!$A$5:$J$5,0))</f>
        <v>60000</v>
      </c>
      <c r="W417" s="2">
        <f>IF($H417&gt;I417,MIN($H417-I417,J417-I417)*INDEX('2018_commission_structure'!$A$5:$J$8,MATCH(Calculations!$E417,'2018_commission_structure'!$A$5:$A$8,0),MATCH(Calculations!W$1,'2018_commission_structure'!$A$5:$J$5,0)),0)</f>
        <v>21250</v>
      </c>
      <c r="X417" s="2">
        <f>IF($H417&gt;J417,MIN($H417-J417,K417-J417)*INDEX('2018_commission_structure'!$A$5:$J$8,MATCH(Calculations!$E417,'2018_commission_structure'!$A$5:$A$8,0),MATCH(Calculations!X$1,'2018_commission_structure'!$A$5:$J$5,0)),0)</f>
        <v>13015.6</v>
      </c>
      <c r="Y417" s="2">
        <f>IF($H417&gt;K417,MIN($H417-K417,L417-K417)*INDEX('2018_commission_structure'!$A$5:$J$8,MATCH(Calculations!$E417,'2018_commission_structure'!$A$5:$A$8,0),MATCH(Calculations!Y$1,'2018_commission_structure'!$A$5:$J$5,0)),0)</f>
        <v>0</v>
      </c>
      <c r="Z417" s="2">
        <f xml:space="preserve"> IF(H417&gt;L417,(H417-L417)*INDEX('2018_commission_structure'!$A$11:$I$14,MATCH(Calculations!$E417,'2018_commission_structure'!$A$11:$A$14,0),MATCH(Calculations!Z$1,'2018_commission_structure'!$A$11:$I$11,0)),0)</f>
        <v>0</v>
      </c>
      <c r="AA417" s="7">
        <f t="shared" si="61"/>
        <v>94265.600000000006</v>
      </c>
      <c r="AB417" s="7">
        <f t="shared" si="62"/>
        <v>149193.60000000001</v>
      </c>
    </row>
    <row r="418" spans="1:28" x14ac:dyDescent="0.25">
      <c r="A418">
        <v>9766606919</v>
      </c>
      <c r="B418" t="s">
        <v>278</v>
      </c>
      <c r="C418" t="s">
        <v>279</v>
      </c>
      <c r="D418" t="str">
        <f>B418&amp;" "&amp;C418</f>
        <v>Bernhard Hannan</v>
      </c>
      <c r="E418" t="s">
        <v>29</v>
      </c>
      <c r="F418">
        <v>76509</v>
      </c>
      <c r="G418">
        <f>COUNTIF(deals_closed!D:D,Calculations!A418)</f>
        <v>19</v>
      </c>
      <c r="H418" s="2">
        <f>SUMIF(deals_closed!D:D,Calculations!A418,deals_closed!C:C)</f>
        <v>666454</v>
      </c>
      <c r="I418" s="2">
        <f>VLOOKUP(E418,'2018_commission_structure'!$A$11:$I$14,9,FALSE)</f>
        <v>600000</v>
      </c>
      <c r="J418" s="2">
        <f t="shared" si="54"/>
        <v>750000</v>
      </c>
      <c r="K418" s="2">
        <f t="shared" si="55"/>
        <v>900000</v>
      </c>
      <c r="L418" s="2">
        <f t="shared" si="56"/>
        <v>1200000</v>
      </c>
      <c r="M418" s="6">
        <f t="shared" si="57"/>
        <v>1.1107566666666666</v>
      </c>
      <c r="N418" t="str">
        <f t="shared" si="58"/>
        <v>100-125%</v>
      </c>
      <c r="O418" s="7">
        <f>MIN(I418,H418)*INDEX('2018_commission_structure'!$A$11:$I$14,MATCH(Calculations!$E418,'2018_commission_structure'!$A$11:$A$14,0),MATCH(Calculations!O$1,'2018_commission_structure'!$A$11:$I$11,0))</f>
        <v>78000</v>
      </c>
      <c r="P418" s="7">
        <f>IF($H418&gt;I418,MIN($H418-I418,J418-I418)*INDEX('2018_commission_structure'!$A$11:$I$14,MATCH(Calculations!$E418,'2018_commission_structure'!$A$11:$A$14,0), MATCH(Calculations!P$1,'2018_commission_structure'!$A$11:$I$11,0)),0)</f>
        <v>11297.18</v>
      </c>
      <c r="Q418" s="7">
        <f>IF($H418&gt;J418,MIN($H418-J418,K418-J418)*INDEX('2018_commission_structure'!$A$11:$I$14,MATCH(Calculations!$E418,'2018_commission_structure'!$A$11:$A$14,0), MATCH(Calculations!Q$1,'2018_commission_structure'!$A$11:$I$11,0)),0)</f>
        <v>0</v>
      </c>
      <c r="R418" s="7">
        <f>IF($H418&gt;K418,MIN($H418-K418,L418-K418)*INDEX('2018_commission_structure'!$A$11:$I$14,MATCH(Calculations!$E418,'2018_commission_structure'!$A$11:$A$14,0), MATCH(Calculations!R$1,'2018_commission_structure'!$A$11:$I$11,0)),0)</f>
        <v>0</v>
      </c>
      <c r="S418" s="7">
        <f>IF(H418&gt;L418,(H418-L418)*INDEX('2018_commission_structure'!$A$11:$I$14,MATCH(Calculations!$E418,'2018_commission_structure'!$A$11:$A$14,0),MATCH(Calculations!S$1,'2018_commission_structure'!$A$11:$I$11,0)),0)</f>
        <v>0</v>
      </c>
      <c r="T418" s="7">
        <f t="shared" si="59"/>
        <v>89297.18</v>
      </c>
      <c r="U418" s="7">
        <f t="shared" si="60"/>
        <v>165806.18</v>
      </c>
      <c r="V418" s="7">
        <f>MIN(H418,I418)*INDEX('2018_commission_structure'!$A$5:$J$8,MATCH(Calculations!$E418,'2018_commission_structure'!$A$5:$A$8,0),MATCH(Calculations!V$1,'2018_commission_structure'!$A$5:$J$5,0))</f>
        <v>90000</v>
      </c>
      <c r="W418" s="2">
        <f>IF($H418&gt;I418,MIN($H418-I418,J418-I418)*INDEX('2018_commission_structure'!$A$5:$J$8,MATCH(Calculations!$E418,'2018_commission_structure'!$A$5:$A$8,0),MATCH(Calculations!W$1,'2018_commission_structure'!$A$5:$J$5,0)),0)</f>
        <v>11961.72</v>
      </c>
      <c r="X418" s="2">
        <f>IF($H418&gt;J418,MIN($H418-J418,K418-J418)*INDEX('2018_commission_structure'!$A$5:$J$8,MATCH(Calculations!$E418,'2018_commission_structure'!$A$5:$A$8,0),MATCH(Calculations!X$1,'2018_commission_structure'!$A$5:$J$5,0)),0)</f>
        <v>0</v>
      </c>
      <c r="Y418" s="2">
        <f>IF($H418&gt;K418,MIN($H418-K418,L418-K418)*INDEX('2018_commission_structure'!$A$5:$J$8,MATCH(Calculations!$E418,'2018_commission_structure'!$A$5:$A$8,0),MATCH(Calculations!Y$1,'2018_commission_structure'!$A$5:$J$5,0)),0)</f>
        <v>0</v>
      </c>
      <c r="Z418" s="2">
        <f xml:space="preserve"> IF(H418&gt;L418,(H418-L418)*INDEX('2018_commission_structure'!$A$11:$I$14,MATCH(Calculations!$E418,'2018_commission_structure'!$A$11:$A$14,0),MATCH(Calculations!Z$1,'2018_commission_structure'!$A$11:$I$11,0)),0)</f>
        <v>0</v>
      </c>
      <c r="AA418" s="7">
        <f t="shared" si="61"/>
        <v>101961.72</v>
      </c>
      <c r="AB418" s="7">
        <f t="shared" si="62"/>
        <v>178470.72</v>
      </c>
    </row>
    <row r="419" spans="1:28" x14ac:dyDescent="0.25">
      <c r="A419">
        <v>9965847037</v>
      </c>
      <c r="B419" t="s">
        <v>1221</v>
      </c>
      <c r="C419" t="s">
        <v>1222</v>
      </c>
      <c r="D419" t="str">
        <f>B419&amp;" "&amp;C419</f>
        <v>Rossie Harget</v>
      </c>
      <c r="E419" t="s">
        <v>29</v>
      </c>
      <c r="F419">
        <v>76262</v>
      </c>
      <c r="G419">
        <f>COUNTIF(deals_closed!D:D,Calculations!A419)</f>
        <v>23</v>
      </c>
      <c r="H419" s="2">
        <f>SUMIF(deals_closed!D:D,Calculations!A419,deals_closed!C:C)</f>
        <v>854317</v>
      </c>
      <c r="I419" s="2">
        <f>VLOOKUP(E419,'2018_commission_structure'!$A$11:$I$14,9,FALSE)</f>
        <v>600000</v>
      </c>
      <c r="J419" s="2">
        <f t="shared" si="54"/>
        <v>750000</v>
      </c>
      <c r="K419" s="2">
        <f t="shared" si="55"/>
        <v>900000</v>
      </c>
      <c r="L419" s="2">
        <f t="shared" si="56"/>
        <v>1200000</v>
      </c>
      <c r="M419" s="6">
        <f t="shared" si="57"/>
        <v>1.4238616666666666</v>
      </c>
      <c r="N419" t="str">
        <f t="shared" si="58"/>
        <v>125-150%</v>
      </c>
      <c r="O419" s="7">
        <f>MIN(I419,H419)*INDEX('2018_commission_structure'!$A$11:$I$14,MATCH(Calculations!$E419,'2018_commission_structure'!$A$11:$A$14,0),MATCH(Calculations!O$1,'2018_commission_structure'!$A$11:$I$11,0))</f>
        <v>78000</v>
      </c>
      <c r="P419" s="7">
        <f>IF($H419&gt;I419,MIN($H419-I419,J419-I419)*INDEX('2018_commission_structure'!$A$11:$I$14,MATCH(Calculations!$E419,'2018_commission_structure'!$A$11:$A$14,0), MATCH(Calculations!P$1,'2018_commission_structure'!$A$11:$I$11,0)),0)</f>
        <v>25500.000000000004</v>
      </c>
      <c r="Q419" s="7">
        <f>IF($H419&gt;J419,MIN($H419-J419,K419-J419)*INDEX('2018_commission_structure'!$A$11:$I$14,MATCH(Calculations!$E419,'2018_commission_structure'!$A$11:$A$14,0), MATCH(Calculations!Q$1,'2018_commission_structure'!$A$11:$I$11,0)),0)</f>
        <v>21906.57</v>
      </c>
      <c r="R419" s="7">
        <f>IF($H419&gt;K419,MIN($H419-K419,L419-K419)*INDEX('2018_commission_structure'!$A$11:$I$14,MATCH(Calculations!$E419,'2018_commission_structure'!$A$11:$A$14,0), MATCH(Calculations!R$1,'2018_commission_structure'!$A$11:$I$11,0)),0)</f>
        <v>0</v>
      </c>
      <c r="S419" s="7">
        <f>IF(H419&gt;L419,(H419-L419)*INDEX('2018_commission_structure'!$A$11:$I$14,MATCH(Calculations!$E419,'2018_commission_structure'!$A$11:$A$14,0),MATCH(Calculations!S$1,'2018_commission_structure'!$A$11:$I$11,0)),0)</f>
        <v>0</v>
      </c>
      <c r="T419" s="7">
        <f t="shared" si="59"/>
        <v>125406.57</v>
      </c>
      <c r="U419" s="7">
        <f t="shared" si="60"/>
        <v>201668.57</v>
      </c>
      <c r="V419" s="7">
        <f>MIN(H419,I419)*INDEX('2018_commission_structure'!$A$5:$J$8,MATCH(Calculations!$E419,'2018_commission_structure'!$A$5:$A$8,0),MATCH(Calculations!V$1,'2018_commission_structure'!$A$5:$J$5,0))</f>
        <v>90000</v>
      </c>
      <c r="W419" s="2">
        <f>IF($H419&gt;I419,MIN($H419-I419,J419-I419)*INDEX('2018_commission_structure'!$A$5:$J$8,MATCH(Calculations!$E419,'2018_commission_structure'!$A$5:$A$8,0),MATCH(Calculations!W$1,'2018_commission_structure'!$A$5:$J$5,0)),0)</f>
        <v>27000</v>
      </c>
      <c r="X419" s="2">
        <f>IF($H419&gt;J419,MIN($H419-J419,K419-J419)*INDEX('2018_commission_structure'!$A$5:$J$8,MATCH(Calculations!$E419,'2018_commission_structure'!$A$5:$A$8,0),MATCH(Calculations!X$1,'2018_commission_structure'!$A$5:$J$5,0)),0)</f>
        <v>26079.25</v>
      </c>
      <c r="Y419" s="2">
        <f>IF($H419&gt;K419,MIN($H419-K419,L419-K419)*INDEX('2018_commission_structure'!$A$5:$J$8,MATCH(Calculations!$E419,'2018_commission_structure'!$A$5:$A$8,0),MATCH(Calculations!Y$1,'2018_commission_structure'!$A$5:$J$5,0)),0)</f>
        <v>0</v>
      </c>
      <c r="Z419" s="2">
        <f xml:space="preserve"> IF(H419&gt;L419,(H419-L419)*INDEX('2018_commission_structure'!$A$11:$I$14,MATCH(Calculations!$E419,'2018_commission_structure'!$A$11:$A$14,0),MATCH(Calculations!Z$1,'2018_commission_structure'!$A$11:$I$11,0)),0)</f>
        <v>0</v>
      </c>
      <c r="AA419" s="7">
        <f t="shared" si="61"/>
        <v>143079.25</v>
      </c>
      <c r="AB419" s="7">
        <f t="shared" si="62"/>
        <v>219341.25</v>
      </c>
    </row>
    <row r="420" spans="1:28" x14ac:dyDescent="0.25">
      <c r="A420">
        <v>532074068</v>
      </c>
      <c r="B420" t="s">
        <v>683</v>
      </c>
      <c r="C420" t="s">
        <v>684</v>
      </c>
      <c r="D420" t="str">
        <f>B420&amp;" "&amp;C420</f>
        <v>Leola Harhoff</v>
      </c>
      <c r="E420" t="s">
        <v>29</v>
      </c>
      <c r="F420">
        <v>58609</v>
      </c>
      <c r="G420">
        <f>COUNTIF(deals_closed!D:D,Calculations!A420)</f>
        <v>23</v>
      </c>
      <c r="H420" s="2">
        <f>SUMIF(deals_closed!D:D,Calculations!A420,deals_closed!C:C)</f>
        <v>734546</v>
      </c>
      <c r="I420" s="2">
        <f>VLOOKUP(E420,'2018_commission_structure'!$A$11:$I$14,9,FALSE)</f>
        <v>600000</v>
      </c>
      <c r="J420" s="2">
        <f t="shared" si="54"/>
        <v>750000</v>
      </c>
      <c r="K420" s="2">
        <f t="shared" si="55"/>
        <v>900000</v>
      </c>
      <c r="L420" s="2">
        <f t="shared" si="56"/>
        <v>1200000</v>
      </c>
      <c r="M420" s="6">
        <f t="shared" si="57"/>
        <v>1.2242433333333334</v>
      </c>
      <c r="N420" t="str">
        <f t="shared" si="58"/>
        <v>100-125%</v>
      </c>
      <c r="O420" s="7">
        <f>MIN(I420,H420)*INDEX('2018_commission_structure'!$A$11:$I$14,MATCH(Calculations!$E420,'2018_commission_structure'!$A$11:$A$14,0),MATCH(Calculations!O$1,'2018_commission_structure'!$A$11:$I$11,0))</f>
        <v>78000</v>
      </c>
      <c r="P420" s="7">
        <f>IF($H420&gt;I420,MIN($H420-I420,J420-I420)*INDEX('2018_commission_structure'!$A$11:$I$14,MATCH(Calculations!$E420,'2018_commission_structure'!$A$11:$A$14,0), MATCH(Calculations!P$1,'2018_commission_structure'!$A$11:$I$11,0)),0)</f>
        <v>22872.820000000003</v>
      </c>
      <c r="Q420" s="7">
        <f>IF($H420&gt;J420,MIN($H420-J420,K420-J420)*INDEX('2018_commission_structure'!$A$11:$I$14,MATCH(Calculations!$E420,'2018_commission_structure'!$A$11:$A$14,0), MATCH(Calculations!Q$1,'2018_commission_structure'!$A$11:$I$11,0)),0)</f>
        <v>0</v>
      </c>
      <c r="R420" s="7">
        <f>IF($H420&gt;K420,MIN($H420-K420,L420-K420)*INDEX('2018_commission_structure'!$A$11:$I$14,MATCH(Calculations!$E420,'2018_commission_structure'!$A$11:$A$14,0), MATCH(Calculations!R$1,'2018_commission_structure'!$A$11:$I$11,0)),0)</f>
        <v>0</v>
      </c>
      <c r="S420" s="7">
        <f>IF(H420&gt;L420,(H420-L420)*INDEX('2018_commission_structure'!$A$11:$I$14,MATCH(Calculations!$E420,'2018_commission_structure'!$A$11:$A$14,0),MATCH(Calculations!S$1,'2018_commission_structure'!$A$11:$I$11,0)),0)</f>
        <v>0</v>
      </c>
      <c r="T420" s="7">
        <f t="shared" si="59"/>
        <v>100872.82</v>
      </c>
      <c r="U420" s="7">
        <f t="shared" si="60"/>
        <v>159481.82</v>
      </c>
      <c r="V420" s="7">
        <f>MIN(H420,I420)*INDEX('2018_commission_structure'!$A$5:$J$8,MATCH(Calculations!$E420,'2018_commission_structure'!$A$5:$A$8,0),MATCH(Calculations!V$1,'2018_commission_structure'!$A$5:$J$5,0))</f>
        <v>90000</v>
      </c>
      <c r="W420" s="2">
        <f>IF($H420&gt;I420,MIN($H420-I420,J420-I420)*INDEX('2018_commission_structure'!$A$5:$J$8,MATCH(Calculations!$E420,'2018_commission_structure'!$A$5:$A$8,0),MATCH(Calculations!W$1,'2018_commission_structure'!$A$5:$J$5,0)),0)</f>
        <v>24218.28</v>
      </c>
      <c r="X420" s="2">
        <f>IF($H420&gt;J420,MIN($H420-J420,K420-J420)*INDEX('2018_commission_structure'!$A$5:$J$8,MATCH(Calculations!$E420,'2018_commission_structure'!$A$5:$A$8,0),MATCH(Calculations!X$1,'2018_commission_structure'!$A$5:$J$5,0)),0)</f>
        <v>0</v>
      </c>
      <c r="Y420" s="2">
        <f>IF($H420&gt;K420,MIN($H420-K420,L420-K420)*INDEX('2018_commission_structure'!$A$5:$J$8,MATCH(Calculations!$E420,'2018_commission_structure'!$A$5:$A$8,0),MATCH(Calculations!Y$1,'2018_commission_structure'!$A$5:$J$5,0)),0)</f>
        <v>0</v>
      </c>
      <c r="Z420" s="2">
        <f xml:space="preserve"> IF(H420&gt;L420,(H420-L420)*INDEX('2018_commission_structure'!$A$11:$I$14,MATCH(Calculations!$E420,'2018_commission_structure'!$A$11:$A$14,0),MATCH(Calculations!Z$1,'2018_commission_structure'!$A$11:$I$11,0)),0)</f>
        <v>0</v>
      </c>
      <c r="AA420" s="7">
        <f t="shared" si="61"/>
        <v>114218.28</v>
      </c>
      <c r="AB420" s="7">
        <f t="shared" si="62"/>
        <v>172827.28</v>
      </c>
    </row>
    <row r="421" spans="1:28" x14ac:dyDescent="0.25">
      <c r="A421">
        <v>7000350199</v>
      </c>
      <c r="B421" t="s">
        <v>349</v>
      </c>
      <c r="C421" t="s">
        <v>350</v>
      </c>
      <c r="D421" t="str">
        <f>B421&amp;" "&amp;C421</f>
        <v>Clemmie Harrap</v>
      </c>
      <c r="E421" t="s">
        <v>7</v>
      </c>
      <c r="F421">
        <v>46470</v>
      </c>
      <c r="G421">
        <f>COUNTIF(deals_closed!D:D,Calculations!A421)</f>
        <v>19</v>
      </c>
      <c r="H421" s="2">
        <f>SUMIF(deals_closed!D:D,Calculations!A421,deals_closed!C:C)</f>
        <v>725008</v>
      </c>
      <c r="I421" s="2">
        <f>VLOOKUP(E421,'2018_commission_structure'!$A$11:$I$14,9,FALSE)</f>
        <v>500000</v>
      </c>
      <c r="J421" s="2">
        <f t="shared" si="54"/>
        <v>625000</v>
      </c>
      <c r="K421" s="2">
        <f t="shared" si="55"/>
        <v>750000</v>
      </c>
      <c r="L421" s="2">
        <f t="shared" si="56"/>
        <v>1000000</v>
      </c>
      <c r="M421" s="6">
        <f t="shared" si="57"/>
        <v>1.450016</v>
      </c>
      <c r="N421" t="str">
        <f t="shared" si="58"/>
        <v>125-150%</v>
      </c>
      <c r="O421" s="7">
        <f>MIN(I421,H421)*INDEX('2018_commission_structure'!$A$11:$I$14,MATCH(Calculations!$E421,'2018_commission_structure'!$A$11:$A$14,0),MATCH(Calculations!O$1,'2018_commission_structure'!$A$11:$I$11,0))</f>
        <v>50000</v>
      </c>
      <c r="P421" s="7">
        <f>IF($H421&gt;I421,MIN($H421-I421,J421-I421)*INDEX('2018_commission_structure'!$A$11:$I$14,MATCH(Calculations!$E421,'2018_commission_structure'!$A$11:$A$14,0), MATCH(Calculations!P$1,'2018_commission_structure'!$A$11:$I$11,0)),0)</f>
        <v>18750</v>
      </c>
      <c r="Q421" s="7">
        <f>IF($H421&gt;J421,MIN($H421-J421,K421-J421)*INDEX('2018_commission_structure'!$A$11:$I$14,MATCH(Calculations!$E421,'2018_commission_structure'!$A$11:$A$14,0), MATCH(Calculations!Q$1,'2018_commission_structure'!$A$11:$I$11,0)),0)</f>
        <v>18001.439999999999</v>
      </c>
      <c r="R421" s="7">
        <f>IF($H421&gt;K421,MIN($H421-K421,L421-K421)*INDEX('2018_commission_structure'!$A$11:$I$14,MATCH(Calculations!$E421,'2018_commission_structure'!$A$11:$A$14,0), MATCH(Calculations!R$1,'2018_commission_structure'!$A$11:$I$11,0)),0)</f>
        <v>0</v>
      </c>
      <c r="S421" s="7">
        <f>IF(H421&gt;L421,(H421-L421)*INDEX('2018_commission_structure'!$A$11:$I$14,MATCH(Calculations!$E421,'2018_commission_structure'!$A$11:$A$14,0),MATCH(Calculations!S$1,'2018_commission_structure'!$A$11:$I$11,0)),0)</f>
        <v>0</v>
      </c>
      <c r="T421" s="7">
        <f t="shared" si="59"/>
        <v>86751.44</v>
      </c>
      <c r="U421" s="7">
        <f t="shared" si="60"/>
        <v>133221.44</v>
      </c>
      <c r="V421" s="7">
        <f>MIN(H421,I421)*INDEX('2018_commission_structure'!$A$5:$J$8,MATCH(Calculations!$E421,'2018_commission_structure'!$A$5:$A$8,0),MATCH(Calculations!V$1,'2018_commission_structure'!$A$5:$J$5,0))</f>
        <v>60000</v>
      </c>
      <c r="W421" s="2">
        <f>IF($H421&gt;I421,MIN($H421-I421,J421-I421)*INDEX('2018_commission_structure'!$A$5:$J$8,MATCH(Calculations!$E421,'2018_commission_structure'!$A$5:$A$8,0),MATCH(Calculations!W$1,'2018_commission_structure'!$A$5:$J$5,0)),0)</f>
        <v>21250</v>
      </c>
      <c r="X421" s="2">
        <f>IF($H421&gt;J421,MIN($H421-J421,K421-J421)*INDEX('2018_commission_structure'!$A$5:$J$8,MATCH(Calculations!$E421,'2018_commission_structure'!$A$5:$A$8,0),MATCH(Calculations!X$1,'2018_commission_structure'!$A$5:$J$5,0)),0)</f>
        <v>20001.600000000002</v>
      </c>
      <c r="Y421" s="2">
        <f>IF($H421&gt;K421,MIN($H421-K421,L421-K421)*INDEX('2018_commission_structure'!$A$5:$J$8,MATCH(Calculations!$E421,'2018_commission_structure'!$A$5:$A$8,0),MATCH(Calculations!Y$1,'2018_commission_structure'!$A$5:$J$5,0)),0)</f>
        <v>0</v>
      </c>
      <c r="Z421" s="2">
        <f xml:space="preserve"> IF(H421&gt;L421,(H421-L421)*INDEX('2018_commission_structure'!$A$11:$I$14,MATCH(Calculations!$E421,'2018_commission_structure'!$A$11:$A$14,0),MATCH(Calculations!Z$1,'2018_commission_structure'!$A$11:$I$11,0)),0)</f>
        <v>0</v>
      </c>
      <c r="AA421" s="7">
        <f t="shared" si="61"/>
        <v>101251.6</v>
      </c>
      <c r="AB421" s="7">
        <f t="shared" si="62"/>
        <v>147721.60000000001</v>
      </c>
    </row>
    <row r="422" spans="1:28" x14ac:dyDescent="0.25">
      <c r="A422">
        <v>9292607561</v>
      </c>
      <c r="B422" t="s">
        <v>828</v>
      </c>
      <c r="C422" t="s">
        <v>829</v>
      </c>
      <c r="D422" t="str">
        <f>B422&amp;" "&amp;C422</f>
        <v>Delmore Harrild</v>
      </c>
      <c r="E422" t="s">
        <v>29</v>
      </c>
      <c r="F422">
        <v>77826</v>
      </c>
      <c r="G422">
        <f>COUNTIF(deals_closed!D:D,Calculations!A422)</f>
        <v>26</v>
      </c>
      <c r="H422" s="2">
        <f>SUMIF(deals_closed!D:D,Calculations!A422,deals_closed!C:C)</f>
        <v>995314</v>
      </c>
      <c r="I422" s="2">
        <f>VLOOKUP(E422,'2018_commission_structure'!$A$11:$I$14,9,FALSE)</f>
        <v>600000</v>
      </c>
      <c r="J422" s="2">
        <f t="shared" si="54"/>
        <v>750000</v>
      </c>
      <c r="K422" s="2">
        <f t="shared" si="55"/>
        <v>900000</v>
      </c>
      <c r="L422" s="2">
        <f t="shared" si="56"/>
        <v>1200000</v>
      </c>
      <c r="M422" s="6">
        <f t="shared" si="57"/>
        <v>1.6588566666666666</v>
      </c>
      <c r="N422" t="str">
        <f t="shared" si="58"/>
        <v>150-200%</v>
      </c>
      <c r="O422" s="7">
        <f>MIN(I422,H422)*INDEX('2018_commission_structure'!$A$11:$I$14,MATCH(Calculations!$E422,'2018_commission_structure'!$A$11:$A$14,0),MATCH(Calculations!O$1,'2018_commission_structure'!$A$11:$I$11,0))</f>
        <v>78000</v>
      </c>
      <c r="P422" s="7">
        <f>IF($H422&gt;I422,MIN($H422-I422,J422-I422)*INDEX('2018_commission_structure'!$A$11:$I$14,MATCH(Calculations!$E422,'2018_commission_structure'!$A$11:$A$14,0), MATCH(Calculations!P$1,'2018_commission_structure'!$A$11:$I$11,0)),0)</f>
        <v>25500.000000000004</v>
      </c>
      <c r="Q422" s="7">
        <f>IF($H422&gt;J422,MIN($H422-J422,K422-J422)*INDEX('2018_commission_structure'!$A$11:$I$14,MATCH(Calculations!$E422,'2018_commission_structure'!$A$11:$A$14,0), MATCH(Calculations!Q$1,'2018_commission_structure'!$A$11:$I$11,0)),0)</f>
        <v>31500</v>
      </c>
      <c r="R422" s="7">
        <f>IF($H422&gt;K422,MIN($H422-K422,L422-K422)*INDEX('2018_commission_structure'!$A$11:$I$14,MATCH(Calculations!$E422,'2018_commission_structure'!$A$11:$A$14,0), MATCH(Calculations!R$1,'2018_commission_structure'!$A$11:$I$11,0)),0)</f>
        <v>24781.64</v>
      </c>
      <c r="S422" s="7">
        <f>IF(H422&gt;L422,(H422-L422)*INDEX('2018_commission_structure'!$A$11:$I$14,MATCH(Calculations!$E422,'2018_commission_structure'!$A$11:$A$14,0),MATCH(Calculations!S$1,'2018_commission_structure'!$A$11:$I$11,0)),0)</f>
        <v>0</v>
      </c>
      <c r="T422" s="7">
        <f t="shared" si="59"/>
        <v>159781.64000000001</v>
      </c>
      <c r="U422" s="7">
        <f t="shared" si="60"/>
        <v>237607.64</v>
      </c>
      <c r="V422" s="7">
        <f>MIN(H422,I422)*INDEX('2018_commission_structure'!$A$5:$J$8,MATCH(Calculations!$E422,'2018_commission_structure'!$A$5:$A$8,0),MATCH(Calculations!V$1,'2018_commission_structure'!$A$5:$J$5,0))</f>
        <v>90000</v>
      </c>
      <c r="W422" s="2">
        <f>IF($H422&gt;I422,MIN($H422-I422,J422-I422)*INDEX('2018_commission_structure'!$A$5:$J$8,MATCH(Calculations!$E422,'2018_commission_structure'!$A$5:$A$8,0),MATCH(Calculations!W$1,'2018_commission_structure'!$A$5:$J$5,0)),0)</f>
        <v>27000</v>
      </c>
      <c r="X422" s="2">
        <f>IF($H422&gt;J422,MIN($H422-J422,K422-J422)*INDEX('2018_commission_structure'!$A$5:$J$8,MATCH(Calculations!$E422,'2018_commission_structure'!$A$5:$A$8,0),MATCH(Calculations!X$1,'2018_commission_structure'!$A$5:$J$5,0)),0)</f>
        <v>37500</v>
      </c>
      <c r="Y422" s="2">
        <f>IF($H422&gt;K422,MIN($H422-K422,L422-K422)*INDEX('2018_commission_structure'!$A$5:$J$8,MATCH(Calculations!$E422,'2018_commission_structure'!$A$5:$A$8,0),MATCH(Calculations!Y$1,'2018_commission_structure'!$A$5:$J$5,0)),0)</f>
        <v>28594.2</v>
      </c>
      <c r="Z422" s="2">
        <f xml:space="preserve"> IF(H422&gt;L422,(H422-L422)*INDEX('2018_commission_structure'!$A$11:$I$14,MATCH(Calculations!$E422,'2018_commission_structure'!$A$11:$A$14,0),MATCH(Calculations!Z$1,'2018_commission_structure'!$A$11:$I$11,0)),0)</f>
        <v>0</v>
      </c>
      <c r="AA422" s="7">
        <f t="shared" si="61"/>
        <v>183094.2</v>
      </c>
      <c r="AB422" s="7">
        <f t="shared" si="62"/>
        <v>260920.2</v>
      </c>
    </row>
    <row r="423" spans="1:28" x14ac:dyDescent="0.25">
      <c r="A423">
        <v>5293354957</v>
      </c>
      <c r="B423" t="s">
        <v>1538</v>
      </c>
      <c r="C423" t="s">
        <v>1539</v>
      </c>
      <c r="D423" t="str">
        <f>B423&amp;" "&amp;C423</f>
        <v>Melisse Hartill</v>
      </c>
      <c r="E423" t="s">
        <v>10</v>
      </c>
      <c r="F423">
        <v>122090</v>
      </c>
      <c r="G423">
        <f>COUNTIF(deals_closed!D:D,Calculations!A423)</f>
        <v>25</v>
      </c>
      <c r="H423" s="2">
        <f>SUMIF(deals_closed!D:D,Calculations!A423,deals_closed!C:C)</f>
        <v>1063967</v>
      </c>
      <c r="I423" s="2">
        <f>VLOOKUP(E423,'2018_commission_structure'!$A$11:$I$14,9,FALSE)</f>
        <v>750000</v>
      </c>
      <c r="J423" s="2">
        <f t="shared" si="54"/>
        <v>937500</v>
      </c>
      <c r="K423" s="2">
        <f t="shared" si="55"/>
        <v>1125000</v>
      </c>
      <c r="L423" s="2">
        <f t="shared" si="56"/>
        <v>1500000</v>
      </c>
      <c r="M423" s="6">
        <f t="shared" si="57"/>
        <v>1.4186226666666666</v>
      </c>
      <c r="N423" t="str">
        <f t="shared" si="58"/>
        <v>125-150%</v>
      </c>
      <c r="O423" s="7">
        <f>MIN(I423,H423)*INDEX('2018_commission_structure'!$A$11:$I$14,MATCH(Calculations!$E423,'2018_commission_structure'!$A$11:$A$14,0),MATCH(Calculations!O$1,'2018_commission_structure'!$A$11:$I$11,0))</f>
        <v>112500</v>
      </c>
      <c r="P423" s="7">
        <f>IF($H423&gt;I423,MIN($H423-I423,J423-I423)*INDEX('2018_commission_structure'!$A$11:$I$14,MATCH(Calculations!$E423,'2018_commission_structure'!$A$11:$A$14,0), MATCH(Calculations!P$1,'2018_commission_structure'!$A$11:$I$11,0)),0)</f>
        <v>35625</v>
      </c>
      <c r="Q423" s="7">
        <f>IF($H423&gt;J423,MIN($H423-J423,K423-J423)*INDEX('2018_commission_structure'!$A$11:$I$14,MATCH(Calculations!$E423,'2018_commission_structure'!$A$11:$A$14,0), MATCH(Calculations!Q$1,'2018_commission_structure'!$A$11:$I$11,0)),0)</f>
        <v>29087.41</v>
      </c>
      <c r="R423" s="7">
        <f>IF($H423&gt;K423,MIN($H423-K423,L423-K423)*INDEX('2018_commission_structure'!$A$11:$I$14,MATCH(Calculations!$E423,'2018_commission_structure'!$A$11:$A$14,0), MATCH(Calculations!R$1,'2018_commission_structure'!$A$11:$I$11,0)),0)</f>
        <v>0</v>
      </c>
      <c r="S423" s="7">
        <f>IF(H423&gt;L423,(H423-L423)*INDEX('2018_commission_structure'!$A$11:$I$14,MATCH(Calculations!$E423,'2018_commission_structure'!$A$11:$A$14,0),MATCH(Calculations!S$1,'2018_commission_structure'!$A$11:$I$11,0)),0)</f>
        <v>0</v>
      </c>
      <c r="T423" s="7">
        <f t="shared" si="59"/>
        <v>177212.41</v>
      </c>
      <c r="U423" s="7">
        <f t="shared" si="60"/>
        <v>299302.41000000003</v>
      </c>
      <c r="V423" s="7">
        <f>MIN(H423,I423)*INDEX('2018_commission_structure'!$A$5:$J$8,MATCH(Calculations!$E423,'2018_commission_structure'!$A$5:$A$8,0),MATCH(Calculations!V$1,'2018_commission_structure'!$A$5:$J$5,0))</f>
        <v>112500</v>
      </c>
      <c r="W423" s="2">
        <f>IF($H423&gt;I423,MIN($H423-I423,J423-I423)*INDEX('2018_commission_structure'!$A$5:$J$8,MATCH(Calculations!$E423,'2018_commission_structure'!$A$5:$A$8,0),MATCH(Calculations!W$1,'2018_commission_structure'!$A$5:$J$5,0)),0)</f>
        <v>41250</v>
      </c>
      <c r="X423" s="2">
        <f>IF($H423&gt;J423,MIN($H423-J423,K423-J423)*INDEX('2018_commission_structure'!$A$5:$J$8,MATCH(Calculations!$E423,'2018_commission_structure'!$A$5:$A$8,0),MATCH(Calculations!X$1,'2018_commission_structure'!$A$5:$J$5,0)),0)</f>
        <v>31616.75</v>
      </c>
      <c r="Y423" s="2">
        <f>IF($H423&gt;K423,MIN($H423-K423,L423-K423)*INDEX('2018_commission_structure'!$A$5:$J$8,MATCH(Calculations!$E423,'2018_commission_structure'!$A$5:$A$8,0),MATCH(Calculations!Y$1,'2018_commission_structure'!$A$5:$J$5,0)),0)</f>
        <v>0</v>
      </c>
      <c r="Z423" s="2">
        <f xml:space="preserve"> IF(H423&gt;L423,(H423-L423)*INDEX('2018_commission_structure'!$A$11:$I$14,MATCH(Calculations!$E423,'2018_commission_structure'!$A$11:$A$14,0),MATCH(Calculations!Z$1,'2018_commission_structure'!$A$11:$I$11,0)),0)</f>
        <v>0</v>
      </c>
      <c r="AA423" s="7">
        <f t="shared" si="61"/>
        <v>185366.75</v>
      </c>
      <c r="AB423" s="7">
        <f t="shared" si="62"/>
        <v>307456.75</v>
      </c>
    </row>
    <row r="424" spans="1:28" x14ac:dyDescent="0.25">
      <c r="A424">
        <v>9620547551</v>
      </c>
      <c r="B424" t="s">
        <v>159</v>
      </c>
      <c r="C424" t="s">
        <v>800</v>
      </c>
      <c r="D424" t="str">
        <f>B424&amp;" "&amp;C424</f>
        <v>Brewer Hartright</v>
      </c>
      <c r="E424" t="s">
        <v>10</v>
      </c>
      <c r="F424">
        <v>80719</v>
      </c>
      <c r="G424">
        <f>COUNTIF(deals_closed!D:D,Calculations!A424)</f>
        <v>19</v>
      </c>
      <c r="H424" s="2">
        <f>SUMIF(deals_closed!D:D,Calculations!A424,deals_closed!C:C)</f>
        <v>540781</v>
      </c>
      <c r="I424" s="2">
        <f>VLOOKUP(E424,'2018_commission_structure'!$A$11:$I$14,9,FALSE)</f>
        <v>750000</v>
      </c>
      <c r="J424" s="2">
        <f t="shared" si="54"/>
        <v>937500</v>
      </c>
      <c r="K424" s="2">
        <f t="shared" si="55"/>
        <v>1125000</v>
      </c>
      <c r="L424" s="2">
        <f t="shared" si="56"/>
        <v>1500000</v>
      </c>
      <c r="M424" s="6">
        <f t="shared" si="57"/>
        <v>0.72104133333333331</v>
      </c>
      <c r="N424" t="str">
        <f t="shared" si="58"/>
        <v>0-100%</v>
      </c>
      <c r="O424" s="7">
        <f>MIN(I424,H424)*INDEX('2018_commission_structure'!$A$11:$I$14,MATCH(Calculations!$E424,'2018_commission_structure'!$A$11:$A$14,0),MATCH(Calculations!O$1,'2018_commission_structure'!$A$11:$I$11,0))</f>
        <v>81117.149999999994</v>
      </c>
      <c r="P424" s="7">
        <f>IF($H424&gt;I424,MIN($H424-I424,J424-I424)*INDEX('2018_commission_structure'!$A$11:$I$14,MATCH(Calculations!$E424,'2018_commission_structure'!$A$11:$A$14,0), MATCH(Calculations!P$1,'2018_commission_structure'!$A$11:$I$11,0)),0)</f>
        <v>0</v>
      </c>
      <c r="Q424" s="7">
        <f>IF($H424&gt;J424,MIN($H424-J424,K424-J424)*INDEX('2018_commission_structure'!$A$11:$I$14,MATCH(Calculations!$E424,'2018_commission_structure'!$A$11:$A$14,0), MATCH(Calculations!Q$1,'2018_commission_structure'!$A$11:$I$11,0)),0)</f>
        <v>0</v>
      </c>
      <c r="R424" s="7">
        <f>IF($H424&gt;K424,MIN($H424-K424,L424-K424)*INDEX('2018_commission_structure'!$A$11:$I$14,MATCH(Calculations!$E424,'2018_commission_structure'!$A$11:$A$14,0), MATCH(Calculations!R$1,'2018_commission_structure'!$A$11:$I$11,0)),0)</f>
        <v>0</v>
      </c>
      <c r="S424" s="7">
        <f>IF(H424&gt;L424,(H424-L424)*INDEX('2018_commission_structure'!$A$11:$I$14,MATCH(Calculations!$E424,'2018_commission_structure'!$A$11:$A$14,0),MATCH(Calculations!S$1,'2018_commission_structure'!$A$11:$I$11,0)),0)</f>
        <v>0</v>
      </c>
      <c r="T424" s="7">
        <f t="shared" si="59"/>
        <v>81117.149999999994</v>
      </c>
      <c r="U424" s="7">
        <f t="shared" si="60"/>
        <v>161836.15</v>
      </c>
      <c r="V424" s="7">
        <f>MIN(H424,I424)*INDEX('2018_commission_structure'!$A$5:$J$8,MATCH(Calculations!$E424,'2018_commission_structure'!$A$5:$A$8,0),MATCH(Calculations!V$1,'2018_commission_structure'!$A$5:$J$5,0))</f>
        <v>81117.149999999994</v>
      </c>
      <c r="W424" s="2">
        <f>IF($H424&gt;I424,MIN($H424-I424,J424-I424)*INDEX('2018_commission_structure'!$A$5:$J$8,MATCH(Calculations!$E424,'2018_commission_structure'!$A$5:$A$8,0),MATCH(Calculations!W$1,'2018_commission_structure'!$A$5:$J$5,0)),0)</f>
        <v>0</v>
      </c>
      <c r="X424" s="2">
        <f>IF($H424&gt;J424,MIN($H424-J424,K424-J424)*INDEX('2018_commission_structure'!$A$5:$J$8,MATCH(Calculations!$E424,'2018_commission_structure'!$A$5:$A$8,0),MATCH(Calculations!X$1,'2018_commission_structure'!$A$5:$J$5,0)),0)</f>
        <v>0</v>
      </c>
      <c r="Y424" s="2">
        <f>IF($H424&gt;K424,MIN($H424-K424,L424-K424)*INDEX('2018_commission_structure'!$A$5:$J$8,MATCH(Calculations!$E424,'2018_commission_structure'!$A$5:$A$8,0),MATCH(Calculations!Y$1,'2018_commission_structure'!$A$5:$J$5,0)),0)</f>
        <v>0</v>
      </c>
      <c r="Z424" s="2">
        <f xml:space="preserve"> IF(H424&gt;L424,(H424-L424)*INDEX('2018_commission_structure'!$A$11:$I$14,MATCH(Calculations!$E424,'2018_commission_structure'!$A$11:$A$14,0),MATCH(Calculations!Z$1,'2018_commission_structure'!$A$11:$I$11,0)),0)</f>
        <v>0</v>
      </c>
      <c r="AA424" s="7">
        <f t="shared" si="61"/>
        <v>81117.149999999994</v>
      </c>
      <c r="AB424" s="7">
        <f t="shared" si="62"/>
        <v>161836.15</v>
      </c>
    </row>
    <row r="425" spans="1:28" x14ac:dyDescent="0.25">
      <c r="A425">
        <v>8603912793</v>
      </c>
      <c r="B425" t="s">
        <v>1072</v>
      </c>
      <c r="C425" t="s">
        <v>1073</v>
      </c>
      <c r="D425" t="str">
        <f>B425&amp;" "&amp;C425</f>
        <v>Idell Haskew</v>
      </c>
      <c r="E425" t="s">
        <v>10</v>
      </c>
      <c r="F425">
        <v>107802</v>
      </c>
      <c r="G425">
        <f>COUNTIF(deals_closed!D:D,Calculations!A425)</f>
        <v>20</v>
      </c>
      <c r="H425" s="2">
        <f>SUMIF(deals_closed!D:D,Calculations!A425,deals_closed!C:C)</f>
        <v>665332</v>
      </c>
      <c r="I425" s="2">
        <f>VLOOKUP(E425,'2018_commission_structure'!$A$11:$I$14,9,FALSE)</f>
        <v>750000</v>
      </c>
      <c r="J425" s="2">
        <f t="shared" si="54"/>
        <v>937500</v>
      </c>
      <c r="K425" s="2">
        <f t="shared" si="55"/>
        <v>1125000</v>
      </c>
      <c r="L425" s="2">
        <f t="shared" si="56"/>
        <v>1500000</v>
      </c>
      <c r="M425" s="6">
        <f t="shared" si="57"/>
        <v>0.88710933333333331</v>
      </c>
      <c r="N425" t="str">
        <f t="shared" si="58"/>
        <v>0-100%</v>
      </c>
      <c r="O425" s="7">
        <f>MIN(I425,H425)*INDEX('2018_commission_structure'!$A$11:$I$14,MATCH(Calculations!$E425,'2018_commission_structure'!$A$11:$A$14,0),MATCH(Calculations!O$1,'2018_commission_structure'!$A$11:$I$11,0))</f>
        <v>99799.8</v>
      </c>
      <c r="P425" s="7">
        <f>IF($H425&gt;I425,MIN($H425-I425,J425-I425)*INDEX('2018_commission_structure'!$A$11:$I$14,MATCH(Calculations!$E425,'2018_commission_structure'!$A$11:$A$14,0), MATCH(Calculations!P$1,'2018_commission_structure'!$A$11:$I$11,0)),0)</f>
        <v>0</v>
      </c>
      <c r="Q425" s="7">
        <f>IF($H425&gt;J425,MIN($H425-J425,K425-J425)*INDEX('2018_commission_structure'!$A$11:$I$14,MATCH(Calculations!$E425,'2018_commission_structure'!$A$11:$A$14,0), MATCH(Calculations!Q$1,'2018_commission_structure'!$A$11:$I$11,0)),0)</f>
        <v>0</v>
      </c>
      <c r="R425" s="7">
        <f>IF($H425&gt;K425,MIN($H425-K425,L425-K425)*INDEX('2018_commission_structure'!$A$11:$I$14,MATCH(Calculations!$E425,'2018_commission_structure'!$A$11:$A$14,0), MATCH(Calculations!R$1,'2018_commission_structure'!$A$11:$I$11,0)),0)</f>
        <v>0</v>
      </c>
      <c r="S425" s="7">
        <f>IF(H425&gt;L425,(H425-L425)*INDEX('2018_commission_structure'!$A$11:$I$14,MATCH(Calculations!$E425,'2018_commission_structure'!$A$11:$A$14,0),MATCH(Calculations!S$1,'2018_commission_structure'!$A$11:$I$11,0)),0)</f>
        <v>0</v>
      </c>
      <c r="T425" s="7">
        <f t="shared" si="59"/>
        <v>99799.8</v>
      </c>
      <c r="U425" s="7">
        <f t="shared" si="60"/>
        <v>207601.8</v>
      </c>
      <c r="V425" s="7">
        <f>MIN(H425,I425)*INDEX('2018_commission_structure'!$A$5:$J$8,MATCH(Calculations!$E425,'2018_commission_structure'!$A$5:$A$8,0),MATCH(Calculations!V$1,'2018_commission_structure'!$A$5:$J$5,0))</f>
        <v>99799.8</v>
      </c>
      <c r="W425" s="2">
        <f>IF($H425&gt;I425,MIN($H425-I425,J425-I425)*INDEX('2018_commission_structure'!$A$5:$J$8,MATCH(Calculations!$E425,'2018_commission_structure'!$A$5:$A$8,0),MATCH(Calculations!W$1,'2018_commission_structure'!$A$5:$J$5,0)),0)</f>
        <v>0</v>
      </c>
      <c r="X425" s="2">
        <f>IF($H425&gt;J425,MIN($H425-J425,K425-J425)*INDEX('2018_commission_structure'!$A$5:$J$8,MATCH(Calculations!$E425,'2018_commission_structure'!$A$5:$A$8,0),MATCH(Calculations!X$1,'2018_commission_structure'!$A$5:$J$5,0)),0)</f>
        <v>0</v>
      </c>
      <c r="Y425" s="2">
        <f>IF($H425&gt;K425,MIN($H425-K425,L425-K425)*INDEX('2018_commission_structure'!$A$5:$J$8,MATCH(Calculations!$E425,'2018_commission_structure'!$A$5:$A$8,0),MATCH(Calculations!Y$1,'2018_commission_structure'!$A$5:$J$5,0)),0)</f>
        <v>0</v>
      </c>
      <c r="Z425" s="2">
        <f xml:space="preserve"> IF(H425&gt;L425,(H425-L425)*INDEX('2018_commission_structure'!$A$11:$I$14,MATCH(Calculations!$E425,'2018_commission_structure'!$A$11:$A$14,0),MATCH(Calculations!Z$1,'2018_commission_structure'!$A$11:$I$11,0)),0)</f>
        <v>0</v>
      </c>
      <c r="AA425" s="7">
        <f t="shared" si="61"/>
        <v>99799.8</v>
      </c>
      <c r="AB425" s="7">
        <f t="shared" si="62"/>
        <v>207601.8</v>
      </c>
    </row>
    <row r="426" spans="1:28" x14ac:dyDescent="0.25">
      <c r="A426">
        <v>5764488419</v>
      </c>
      <c r="B426" t="s">
        <v>230</v>
      </c>
      <c r="C426" t="s">
        <v>231</v>
      </c>
      <c r="D426" t="str">
        <f>B426&amp;" "&amp;C426</f>
        <v>Kelsey Hassur</v>
      </c>
      <c r="E426" t="s">
        <v>10</v>
      </c>
      <c r="F426">
        <v>113526</v>
      </c>
      <c r="G426">
        <f>COUNTIF(deals_closed!D:D,Calculations!A426)</f>
        <v>22</v>
      </c>
      <c r="H426" s="2">
        <f>SUMIF(deals_closed!D:D,Calculations!A426,deals_closed!C:C)</f>
        <v>660983</v>
      </c>
      <c r="I426" s="2">
        <f>VLOOKUP(E426,'2018_commission_structure'!$A$11:$I$14,9,FALSE)</f>
        <v>750000</v>
      </c>
      <c r="J426" s="2">
        <f t="shared" si="54"/>
        <v>937500</v>
      </c>
      <c r="K426" s="2">
        <f t="shared" si="55"/>
        <v>1125000</v>
      </c>
      <c r="L426" s="2">
        <f t="shared" si="56"/>
        <v>1500000</v>
      </c>
      <c r="M426" s="6">
        <f t="shared" si="57"/>
        <v>0.88131066666666669</v>
      </c>
      <c r="N426" t="str">
        <f t="shared" si="58"/>
        <v>0-100%</v>
      </c>
      <c r="O426" s="7">
        <f>MIN(I426,H426)*INDEX('2018_commission_structure'!$A$11:$I$14,MATCH(Calculations!$E426,'2018_commission_structure'!$A$11:$A$14,0),MATCH(Calculations!O$1,'2018_commission_structure'!$A$11:$I$11,0))</f>
        <v>99147.45</v>
      </c>
      <c r="P426" s="7">
        <f>IF($H426&gt;I426,MIN($H426-I426,J426-I426)*INDEX('2018_commission_structure'!$A$11:$I$14,MATCH(Calculations!$E426,'2018_commission_structure'!$A$11:$A$14,0), MATCH(Calculations!P$1,'2018_commission_structure'!$A$11:$I$11,0)),0)</f>
        <v>0</v>
      </c>
      <c r="Q426" s="7">
        <f>IF($H426&gt;J426,MIN($H426-J426,K426-J426)*INDEX('2018_commission_structure'!$A$11:$I$14,MATCH(Calculations!$E426,'2018_commission_structure'!$A$11:$A$14,0), MATCH(Calculations!Q$1,'2018_commission_structure'!$A$11:$I$11,0)),0)</f>
        <v>0</v>
      </c>
      <c r="R426" s="7">
        <f>IF($H426&gt;K426,MIN($H426-K426,L426-K426)*INDEX('2018_commission_structure'!$A$11:$I$14,MATCH(Calculations!$E426,'2018_commission_structure'!$A$11:$A$14,0), MATCH(Calculations!R$1,'2018_commission_structure'!$A$11:$I$11,0)),0)</f>
        <v>0</v>
      </c>
      <c r="S426" s="7">
        <f>IF(H426&gt;L426,(H426-L426)*INDEX('2018_commission_structure'!$A$11:$I$14,MATCH(Calculations!$E426,'2018_commission_structure'!$A$11:$A$14,0),MATCH(Calculations!S$1,'2018_commission_structure'!$A$11:$I$11,0)),0)</f>
        <v>0</v>
      </c>
      <c r="T426" s="7">
        <f t="shared" si="59"/>
        <v>99147.45</v>
      </c>
      <c r="U426" s="7">
        <f t="shared" si="60"/>
        <v>212673.45</v>
      </c>
      <c r="V426" s="7">
        <f>MIN(H426,I426)*INDEX('2018_commission_structure'!$A$5:$J$8,MATCH(Calculations!$E426,'2018_commission_structure'!$A$5:$A$8,0),MATCH(Calculations!V$1,'2018_commission_structure'!$A$5:$J$5,0))</f>
        <v>99147.45</v>
      </c>
      <c r="W426" s="2">
        <f>IF($H426&gt;I426,MIN($H426-I426,J426-I426)*INDEX('2018_commission_structure'!$A$5:$J$8,MATCH(Calculations!$E426,'2018_commission_structure'!$A$5:$A$8,0),MATCH(Calculations!W$1,'2018_commission_structure'!$A$5:$J$5,0)),0)</f>
        <v>0</v>
      </c>
      <c r="X426" s="2">
        <f>IF($H426&gt;J426,MIN($H426-J426,K426-J426)*INDEX('2018_commission_structure'!$A$5:$J$8,MATCH(Calculations!$E426,'2018_commission_structure'!$A$5:$A$8,0),MATCH(Calculations!X$1,'2018_commission_structure'!$A$5:$J$5,0)),0)</f>
        <v>0</v>
      </c>
      <c r="Y426" s="2">
        <f>IF($H426&gt;K426,MIN($H426-K426,L426-K426)*INDEX('2018_commission_structure'!$A$5:$J$8,MATCH(Calculations!$E426,'2018_commission_structure'!$A$5:$A$8,0),MATCH(Calculations!Y$1,'2018_commission_structure'!$A$5:$J$5,0)),0)</f>
        <v>0</v>
      </c>
      <c r="Z426" s="2">
        <f xml:space="preserve"> IF(H426&gt;L426,(H426-L426)*INDEX('2018_commission_structure'!$A$11:$I$14,MATCH(Calculations!$E426,'2018_commission_structure'!$A$11:$A$14,0),MATCH(Calculations!Z$1,'2018_commission_structure'!$A$11:$I$11,0)),0)</f>
        <v>0</v>
      </c>
      <c r="AA426" s="7">
        <f t="shared" si="61"/>
        <v>99147.45</v>
      </c>
      <c r="AB426" s="7">
        <f t="shared" si="62"/>
        <v>212673.45</v>
      </c>
    </row>
    <row r="427" spans="1:28" x14ac:dyDescent="0.25">
      <c r="A427">
        <v>2592292012</v>
      </c>
      <c r="B427" t="s">
        <v>1634</v>
      </c>
      <c r="C427" t="s">
        <v>1635</v>
      </c>
      <c r="D427" t="str">
        <f>B427&amp;" "&amp;C427</f>
        <v>Thatcher Haug</v>
      </c>
      <c r="E427" t="s">
        <v>7</v>
      </c>
      <c r="F427">
        <v>40895</v>
      </c>
      <c r="G427">
        <f>COUNTIF(deals_closed!D:D,Calculations!A427)</f>
        <v>26</v>
      </c>
      <c r="H427" s="2">
        <f>SUMIF(deals_closed!D:D,Calculations!A427,deals_closed!C:C)</f>
        <v>802034</v>
      </c>
      <c r="I427" s="2">
        <f>VLOOKUP(E427,'2018_commission_structure'!$A$11:$I$14,9,FALSE)</f>
        <v>500000</v>
      </c>
      <c r="J427" s="2">
        <f t="shared" si="54"/>
        <v>625000</v>
      </c>
      <c r="K427" s="2">
        <f t="shared" si="55"/>
        <v>750000</v>
      </c>
      <c r="L427" s="2">
        <f t="shared" si="56"/>
        <v>1000000</v>
      </c>
      <c r="M427" s="6">
        <f t="shared" si="57"/>
        <v>1.604068</v>
      </c>
      <c r="N427" t="str">
        <f t="shared" si="58"/>
        <v>150-200%</v>
      </c>
      <c r="O427" s="7">
        <f>MIN(I427,H427)*INDEX('2018_commission_structure'!$A$11:$I$14,MATCH(Calculations!$E427,'2018_commission_structure'!$A$11:$A$14,0),MATCH(Calculations!O$1,'2018_commission_structure'!$A$11:$I$11,0))</f>
        <v>50000</v>
      </c>
      <c r="P427" s="7">
        <f>IF($H427&gt;I427,MIN($H427-I427,J427-I427)*INDEX('2018_commission_structure'!$A$11:$I$14,MATCH(Calculations!$E427,'2018_commission_structure'!$A$11:$A$14,0), MATCH(Calculations!P$1,'2018_commission_structure'!$A$11:$I$11,0)),0)</f>
        <v>18750</v>
      </c>
      <c r="Q427" s="7">
        <f>IF($H427&gt;J427,MIN($H427-J427,K427-J427)*INDEX('2018_commission_structure'!$A$11:$I$14,MATCH(Calculations!$E427,'2018_commission_structure'!$A$11:$A$14,0), MATCH(Calculations!Q$1,'2018_commission_structure'!$A$11:$I$11,0)),0)</f>
        <v>22500</v>
      </c>
      <c r="R427" s="7">
        <f>IF($H427&gt;K427,MIN($H427-K427,L427-K427)*INDEX('2018_commission_structure'!$A$11:$I$14,MATCH(Calculations!$E427,'2018_commission_structure'!$A$11:$A$14,0), MATCH(Calculations!R$1,'2018_commission_structure'!$A$11:$I$11,0)),0)</f>
        <v>11447.48</v>
      </c>
      <c r="S427" s="7">
        <f>IF(H427&gt;L427,(H427-L427)*INDEX('2018_commission_structure'!$A$11:$I$14,MATCH(Calculations!$E427,'2018_commission_structure'!$A$11:$A$14,0),MATCH(Calculations!S$1,'2018_commission_structure'!$A$11:$I$11,0)),0)</f>
        <v>0</v>
      </c>
      <c r="T427" s="7">
        <f t="shared" si="59"/>
        <v>102697.48</v>
      </c>
      <c r="U427" s="7">
        <f t="shared" si="60"/>
        <v>143592.47999999998</v>
      </c>
      <c r="V427" s="7">
        <f>MIN(H427,I427)*INDEX('2018_commission_structure'!$A$5:$J$8,MATCH(Calculations!$E427,'2018_commission_structure'!$A$5:$A$8,0),MATCH(Calculations!V$1,'2018_commission_structure'!$A$5:$J$5,0))</f>
        <v>60000</v>
      </c>
      <c r="W427" s="2">
        <f>IF($H427&gt;I427,MIN($H427-I427,J427-I427)*INDEX('2018_commission_structure'!$A$5:$J$8,MATCH(Calculations!$E427,'2018_commission_structure'!$A$5:$A$8,0),MATCH(Calculations!W$1,'2018_commission_structure'!$A$5:$J$5,0)),0)</f>
        <v>21250</v>
      </c>
      <c r="X427" s="2">
        <f>IF($H427&gt;J427,MIN($H427-J427,K427-J427)*INDEX('2018_commission_structure'!$A$5:$J$8,MATCH(Calculations!$E427,'2018_commission_structure'!$A$5:$A$8,0),MATCH(Calculations!X$1,'2018_commission_structure'!$A$5:$J$5,0)),0)</f>
        <v>25000</v>
      </c>
      <c r="Y427" s="2">
        <f>IF($H427&gt;K427,MIN($H427-K427,L427-K427)*INDEX('2018_commission_structure'!$A$5:$J$8,MATCH(Calculations!$E427,'2018_commission_structure'!$A$5:$A$8,0),MATCH(Calculations!Y$1,'2018_commission_structure'!$A$5:$J$5,0)),0)</f>
        <v>11447.48</v>
      </c>
      <c r="Z427" s="2">
        <f xml:space="preserve"> IF(H427&gt;L427,(H427-L427)*INDEX('2018_commission_structure'!$A$11:$I$14,MATCH(Calculations!$E427,'2018_commission_structure'!$A$11:$A$14,0),MATCH(Calculations!Z$1,'2018_commission_structure'!$A$11:$I$11,0)),0)</f>
        <v>0</v>
      </c>
      <c r="AA427" s="7">
        <f t="shared" si="61"/>
        <v>117697.48</v>
      </c>
      <c r="AB427" s="7">
        <f t="shared" si="62"/>
        <v>158592.47999999998</v>
      </c>
    </row>
    <row r="428" spans="1:28" x14ac:dyDescent="0.25">
      <c r="A428">
        <v>4716524892</v>
      </c>
      <c r="B428" t="s">
        <v>722</v>
      </c>
      <c r="C428" t="s">
        <v>723</v>
      </c>
      <c r="D428" t="str">
        <f>B428&amp;" "&amp;C428</f>
        <v>Basilius Hawlgarth</v>
      </c>
      <c r="E428" t="s">
        <v>29</v>
      </c>
      <c r="F428">
        <v>79201</v>
      </c>
      <c r="G428">
        <f>COUNTIF(deals_closed!D:D,Calculations!A428)</f>
        <v>29</v>
      </c>
      <c r="H428" s="2">
        <f>SUMIF(deals_closed!D:D,Calculations!A428,deals_closed!C:C)</f>
        <v>1092533</v>
      </c>
      <c r="I428" s="2">
        <f>VLOOKUP(E428,'2018_commission_structure'!$A$11:$I$14,9,FALSE)</f>
        <v>600000</v>
      </c>
      <c r="J428" s="2">
        <f t="shared" si="54"/>
        <v>750000</v>
      </c>
      <c r="K428" s="2">
        <f t="shared" si="55"/>
        <v>900000</v>
      </c>
      <c r="L428" s="2">
        <f t="shared" si="56"/>
        <v>1200000</v>
      </c>
      <c r="M428" s="6">
        <f t="shared" si="57"/>
        <v>1.8208883333333334</v>
      </c>
      <c r="N428" t="str">
        <f t="shared" si="58"/>
        <v>150-200%</v>
      </c>
      <c r="O428" s="7">
        <f>MIN(I428,H428)*INDEX('2018_commission_structure'!$A$11:$I$14,MATCH(Calculations!$E428,'2018_commission_structure'!$A$11:$A$14,0),MATCH(Calculations!O$1,'2018_commission_structure'!$A$11:$I$11,0))</f>
        <v>78000</v>
      </c>
      <c r="P428" s="7">
        <f>IF($H428&gt;I428,MIN($H428-I428,J428-I428)*INDEX('2018_commission_structure'!$A$11:$I$14,MATCH(Calculations!$E428,'2018_commission_structure'!$A$11:$A$14,0), MATCH(Calculations!P$1,'2018_commission_structure'!$A$11:$I$11,0)),0)</f>
        <v>25500.000000000004</v>
      </c>
      <c r="Q428" s="7">
        <f>IF($H428&gt;J428,MIN($H428-J428,K428-J428)*INDEX('2018_commission_structure'!$A$11:$I$14,MATCH(Calculations!$E428,'2018_commission_structure'!$A$11:$A$14,0), MATCH(Calculations!Q$1,'2018_commission_structure'!$A$11:$I$11,0)),0)</f>
        <v>31500</v>
      </c>
      <c r="R428" s="7">
        <f>IF($H428&gt;K428,MIN($H428-K428,L428-K428)*INDEX('2018_commission_structure'!$A$11:$I$14,MATCH(Calculations!$E428,'2018_commission_structure'!$A$11:$A$14,0), MATCH(Calculations!R$1,'2018_commission_structure'!$A$11:$I$11,0)),0)</f>
        <v>50058.58</v>
      </c>
      <c r="S428" s="7">
        <f>IF(H428&gt;L428,(H428-L428)*INDEX('2018_commission_structure'!$A$11:$I$14,MATCH(Calculations!$E428,'2018_commission_structure'!$A$11:$A$14,0),MATCH(Calculations!S$1,'2018_commission_structure'!$A$11:$I$11,0)),0)</f>
        <v>0</v>
      </c>
      <c r="T428" s="7">
        <f t="shared" si="59"/>
        <v>185058.58000000002</v>
      </c>
      <c r="U428" s="7">
        <f t="shared" si="60"/>
        <v>264259.58</v>
      </c>
      <c r="V428" s="7">
        <f>MIN(H428,I428)*INDEX('2018_commission_structure'!$A$5:$J$8,MATCH(Calculations!$E428,'2018_commission_structure'!$A$5:$A$8,0),MATCH(Calculations!V$1,'2018_commission_structure'!$A$5:$J$5,0))</f>
        <v>90000</v>
      </c>
      <c r="W428" s="2">
        <f>IF($H428&gt;I428,MIN($H428-I428,J428-I428)*INDEX('2018_commission_structure'!$A$5:$J$8,MATCH(Calculations!$E428,'2018_commission_structure'!$A$5:$A$8,0),MATCH(Calculations!W$1,'2018_commission_structure'!$A$5:$J$5,0)),0)</f>
        <v>27000</v>
      </c>
      <c r="X428" s="2">
        <f>IF($H428&gt;J428,MIN($H428-J428,K428-J428)*INDEX('2018_commission_structure'!$A$5:$J$8,MATCH(Calculations!$E428,'2018_commission_structure'!$A$5:$A$8,0),MATCH(Calculations!X$1,'2018_commission_structure'!$A$5:$J$5,0)),0)</f>
        <v>37500</v>
      </c>
      <c r="Y428" s="2">
        <f>IF($H428&gt;K428,MIN($H428-K428,L428-K428)*INDEX('2018_commission_structure'!$A$5:$J$8,MATCH(Calculations!$E428,'2018_commission_structure'!$A$5:$A$8,0),MATCH(Calculations!Y$1,'2018_commission_structure'!$A$5:$J$5,0)),0)</f>
        <v>57759.9</v>
      </c>
      <c r="Z428" s="2">
        <f xml:space="preserve"> IF(H428&gt;L428,(H428-L428)*INDEX('2018_commission_structure'!$A$11:$I$14,MATCH(Calculations!$E428,'2018_commission_structure'!$A$11:$A$14,0),MATCH(Calculations!Z$1,'2018_commission_structure'!$A$11:$I$11,0)),0)</f>
        <v>0</v>
      </c>
      <c r="AA428" s="7">
        <f t="shared" si="61"/>
        <v>212259.9</v>
      </c>
      <c r="AB428" s="7">
        <f t="shared" si="62"/>
        <v>291460.90000000002</v>
      </c>
    </row>
    <row r="429" spans="1:28" x14ac:dyDescent="0.25">
      <c r="A429">
        <v>2659144249</v>
      </c>
      <c r="B429" t="s">
        <v>27</v>
      </c>
      <c r="C429" t="s">
        <v>28</v>
      </c>
      <c r="D429" t="str">
        <f>B429&amp;" "&amp;C429</f>
        <v>Baird Hayhow</v>
      </c>
      <c r="E429" t="s">
        <v>29</v>
      </c>
      <c r="F429">
        <v>59822</v>
      </c>
      <c r="G429">
        <f>COUNTIF(deals_closed!D:D,Calculations!A429)</f>
        <v>23</v>
      </c>
      <c r="H429" s="2">
        <f>SUMIF(deals_closed!D:D,Calculations!A429,deals_closed!C:C)</f>
        <v>871918</v>
      </c>
      <c r="I429" s="2">
        <f>VLOOKUP(E429,'2018_commission_structure'!$A$11:$I$14,9,FALSE)</f>
        <v>600000</v>
      </c>
      <c r="J429" s="2">
        <f t="shared" si="54"/>
        <v>750000</v>
      </c>
      <c r="K429" s="2">
        <f t="shared" si="55"/>
        <v>900000</v>
      </c>
      <c r="L429" s="2">
        <f t="shared" si="56"/>
        <v>1200000</v>
      </c>
      <c r="M429" s="6">
        <f t="shared" si="57"/>
        <v>1.4531966666666667</v>
      </c>
      <c r="N429" t="str">
        <f t="shared" si="58"/>
        <v>125-150%</v>
      </c>
      <c r="O429" s="7">
        <f>MIN(I429,H429)*INDEX('2018_commission_structure'!$A$11:$I$14,MATCH(Calculations!$E429,'2018_commission_structure'!$A$11:$A$14,0),MATCH(Calculations!O$1,'2018_commission_structure'!$A$11:$I$11,0))</f>
        <v>78000</v>
      </c>
      <c r="P429" s="7">
        <f>IF($H429&gt;I429,MIN($H429-I429,J429-I429)*INDEX('2018_commission_structure'!$A$11:$I$14,MATCH(Calculations!$E429,'2018_commission_structure'!$A$11:$A$14,0), MATCH(Calculations!P$1,'2018_commission_structure'!$A$11:$I$11,0)),0)</f>
        <v>25500.000000000004</v>
      </c>
      <c r="Q429" s="7">
        <f>IF($H429&gt;J429,MIN($H429-J429,K429-J429)*INDEX('2018_commission_structure'!$A$11:$I$14,MATCH(Calculations!$E429,'2018_commission_structure'!$A$11:$A$14,0), MATCH(Calculations!Q$1,'2018_commission_structure'!$A$11:$I$11,0)),0)</f>
        <v>25602.78</v>
      </c>
      <c r="R429" s="7">
        <f>IF($H429&gt;K429,MIN($H429-K429,L429-K429)*INDEX('2018_commission_structure'!$A$11:$I$14,MATCH(Calculations!$E429,'2018_commission_structure'!$A$11:$A$14,0), MATCH(Calculations!R$1,'2018_commission_structure'!$A$11:$I$11,0)),0)</f>
        <v>0</v>
      </c>
      <c r="S429" s="7">
        <f>IF(H429&gt;L429,(H429-L429)*INDEX('2018_commission_structure'!$A$11:$I$14,MATCH(Calculations!$E429,'2018_commission_structure'!$A$11:$A$14,0),MATCH(Calculations!S$1,'2018_commission_structure'!$A$11:$I$11,0)),0)</f>
        <v>0</v>
      </c>
      <c r="T429" s="7">
        <f t="shared" si="59"/>
        <v>129102.78</v>
      </c>
      <c r="U429" s="7">
        <f t="shared" si="60"/>
        <v>188924.78</v>
      </c>
      <c r="V429" s="7">
        <f>MIN(H429,I429)*INDEX('2018_commission_structure'!$A$5:$J$8,MATCH(Calculations!$E429,'2018_commission_structure'!$A$5:$A$8,0),MATCH(Calculations!V$1,'2018_commission_structure'!$A$5:$J$5,0))</f>
        <v>90000</v>
      </c>
      <c r="W429" s="2">
        <f>IF($H429&gt;I429,MIN($H429-I429,J429-I429)*INDEX('2018_commission_structure'!$A$5:$J$8,MATCH(Calculations!$E429,'2018_commission_structure'!$A$5:$A$8,0),MATCH(Calculations!W$1,'2018_commission_structure'!$A$5:$J$5,0)),0)</f>
        <v>27000</v>
      </c>
      <c r="X429" s="2">
        <f>IF($H429&gt;J429,MIN($H429-J429,K429-J429)*INDEX('2018_commission_structure'!$A$5:$J$8,MATCH(Calculations!$E429,'2018_commission_structure'!$A$5:$A$8,0),MATCH(Calculations!X$1,'2018_commission_structure'!$A$5:$J$5,0)),0)</f>
        <v>30479.5</v>
      </c>
      <c r="Y429" s="2">
        <f>IF($H429&gt;K429,MIN($H429-K429,L429-K429)*INDEX('2018_commission_structure'!$A$5:$J$8,MATCH(Calculations!$E429,'2018_commission_structure'!$A$5:$A$8,0),MATCH(Calculations!Y$1,'2018_commission_structure'!$A$5:$J$5,0)),0)</f>
        <v>0</v>
      </c>
      <c r="Z429" s="2">
        <f xml:space="preserve"> IF(H429&gt;L429,(H429-L429)*INDEX('2018_commission_structure'!$A$11:$I$14,MATCH(Calculations!$E429,'2018_commission_structure'!$A$11:$A$14,0),MATCH(Calculations!Z$1,'2018_commission_structure'!$A$11:$I$11,0)),0)</f>
        <v>0</v>
      </c>
      <c r="AA429" s="7">
        <f t="shared" si="61"/>
        <v>147479.5</v>
      </c>
      <c r="AB429" s="7">
        <f t="shared" si="62"/>
        <v>207301.5</v>
      </c>
    </row>
    <row r="430" spans="1:28" x14ac:dyDescent="0.25">
      <c r="A430">
        <v>9328457335</v>
      </c>
      <c r="B430" t="s">
        <v>1676</v>
      </c>
      <c r="C430" t="s">
        <v>1677</v>
      </c>
      <c r="D430" t="str">
        <f>B430&amp;" "&amp;C430</f>
        <v>Faustine Hayward</v>
      </c>
      <c r="E430" t="s">
        <v>7</v>
      </c>
      <c r="F430">
        <v>48929</v>
      </c>
      <c r="G430">
        <f>COUNTIF(deals_closed!D:D,Calculations!A430)</f>
        <v>22</v>
      </c>
      <c r="H430" s="2">
        <f>SUMIF(deals_closed!D:D,Calculations!A430,deals_closed!C:C)</f>
        <v>814665</v>
      </c>
      <c r="I430" s="2">
        <f>VLOOKUP(E430,'2018_commission_structure'!$A$11:$I$14,9,FALSE)</f>
        <v>500000</v>
      </c>
      <c r="J430" s="2">
        <f t="shared" si="54"/>
        <v>625000</v>
      </c>
      <c r="K430" s="2">
        <f t="shared" si="55"/>
        <v>750000</v>
      </c>
      <c r="L430" s="2">
        <f t="shared" si="56"/>
        <v>1000000</v>
      </c>
      <c r="M430" s="6">
        <f t="shared" si="57"/>
        <v>1.6293299999999999</v>
      </c>
      <c r="N430" t="str">
        <f t="shared" si="58"/>
        <v>150-200%</v>
      </c>
      <c r="O430" s="7">
        <f>MIN(I430,H430)*INDEX('2018_commission_structure'!$A$11:$I$14,MATCH(Calculations!$E430,'2018_commission_structure'!$A$11:$A$14,0),MATCH(Calculations!O$1,'2018_commission_structure'!$A$11:$I$11,0))</f>
        <v>50000</v>
      </c>
      <c r="P430" s="7">
        <f>IF($H430&gt;I430,MIN($H430-I430,J430-I430)*INDEX('2018_commission_structure'!$A$11:$I$14,MATCH(Calculations!$E430,'2018_commission_structure'!$A$11:$A$14,0), MATCH(Calculations!P$1,'2018_commission_structure'!$A$11:$I$11,0)),0)</f>
        <v>18750</v>
      </c>
      <c r="Q430" s="7">
        <f>IF($H430&gt;J430,MIN($H430-J430,K430-J430)*INDEX('2018_commission_structure'!$A$11:$I$14,MATCH(Calculations!$E430,'2018_commission_structure'!$A$11:$A$14,0), MATCH(Calculations!Q$1,'2018_commission_structure'!$A$11:$I$11,0)),0)</f>
        <v>22500</v>
      </c>
      <c r="R430" s="7">
        <f>IF($H430&gt;K430,MIN($H430-K430,L430-K430)*INDEX('2018_commission_structure'!$A$11:$I$14,MATCH(Calculations!$E430,'2018_commission_structure'!$A$11:$A$14,0), MATCH(Calculations!R$1,'2018_commission_structure'!$A$11:$I$11,0)),0)</f>
        <v>14226.3</v>
      </c>
      <c r="S430" s="7">
        <f>IF(H430&gt;L430,(H430-L430)*INDEX('2018_commission_structure'!$A$11:$I$14,MATCH(Calculations!$E430,'2018_commission_structure'!$A$11:$A$14,0),MATCH(Calculations!S$1,'2018_commission_structure'!$A$11:$I$11,0)),0)</f>
        <v>0</v>
      </c>
      <c r="T430" s="7">
        <f t="shared" si="59"/>
        <v>105476.3</v>
      </c>
      <c r="U430" s="7">
        <f t="shared" si="60"/>
        <v>154405.29999999999</v>
      </c>
      <c r="V430" s="7">
        <f>MIN(H430,I430)*INDEX('2018_commission_structure'!$A$5:$J$8,MATCH(Calculations!$E430,'2018_commission_structure'!$A$5:$A$8,0),MATCH(Calculations!V$1,'2018_commission_structure'!$A$5:$J$5,0))</f>
        <v>60000</v>
      </c>
      <c r="W430" s="2">
        <f>IF($H430&gt;I430,MIN($H430-I430,J430-I430)*INDEX('2018_commission_structure'!$A$5:$J$8,MATCH(Calculations!$E430,'2018_commission_structure'!$A$5:$A$8,0),MATCH(Calculations!W$1,'2018_commission_structure'!$A$5:$J$5,0)),0)</f>
        <v>21250</v>
      </c>
      <c r="X430" s="2">
        <f>IF($H430&gt;J430,MIN($H430-J430,K430-J430)*INDEX('2018_commission_structure'!$A$5:$J$8,MATCH(Calculations!$E430,'2018_commission_structure'!$A$5:$A$8,0),MATCH(Calculations!X$1,'2018_commission_structure'!$A$5:$J$5,0)),0)</f>
        <v>25000</v>
      </c>
      <c r="Y430" s="2">
        <f>IF($H430&gt;K430,MIN($H430-K430,L430-K430)*INDEX('2018_commission_structure'!$A$5:$J$8,MATCH(Calculations!$E430,'2018_commission_structure'!$A$5:$A$8,0),MATCH(Calculations!Y$1,'2018_commission_structure'!$A$5:$J$5,0)),0)</f>
        <v>14226.3</v>
      </c>
      <c r="Z430" s="2">
        <f xml:space="preserve"> IF(H430&gt;L430,(H430-L430)*INDEX('2018_commission_structure'!$A$11:$I$14,MATCH(Calculations!$E430,'2018_commission_structure'!$A$11:$A$14,0),MATCH(Calculations!Z$1,'2018_commission_structure'!$A$11:$I$11,0)),0)</f>
        <v>0</v>
      </c>
      <c r="AA430" s="7">
        <f t="shared" si="61"/>
        <v>120476.3</v>
      </c>
      <c r="AB430" s="7">
        <f t="shared" si="62"/>
        <v>169405.3</v>
      </c>
    </row>
    <row r="431" spans="1:28" x14ac:dyDescent="0.25">
      <c r="A431">
        <v>3580617389</v>
      </c>
      <c r="B431" t="s">
        <v>1300</v>
      </c>
      <c r="C431" t="s">
        <v>1301</v>
      </c>
      <c r="D431" t="str">
        <f>B431&amp;" "&amp;C431</f>
        <v>Demetris Hazlegrove</v>
      </c>
      <c r="E431" t="s">
        <v>7</v>
      </c>
      <c r="F431">
        <v>30231</v>
      </c>
      <c r="G431">
        <f>COUNTIF(deals_closed!D:D,Calculations!A431)</f>
        <v>18</v>
      </c>
      <c r="H431" s="2">
        <f>SUMIF(deals_closed!D:D,Calculations!A431,deals_closed!C:C)</f>
        <v>577677</v>
      </c>
      <c r="I431" s="2">
        <f>VLOOKUP(E431,'2018_commission_structure'!$A$11:$I$14,9,FALSE)</f>
        <v>500000</v>
      </c>
      <c r="J431" s="2">
        <f t="shared" si="54"/>
        <v>625000</v>
      </c>
      <c r="K431" s="2">
        <f t="shared" si="55"/>
        <v>750000</v>
      </c>
      <c r="L431" s="2">
        <f t="shared" si="56"/>
        <v>1000000</v>
      </c>
      <c r="M431" s="6">
        <f t="shared" si="57"/>
        <v>1.155354</v>
      </c>
      <c r="N431" t="str">
        <f t="shared" si="58"/>
        <v>100-125%</v>
      </c>
      <c r="O431" s="7">
        <f>MIN(I431,H431)*INDEX('2018_commission_structure'!$A$11:$I$14,MATCH(Calculations!$E431,'2018_commission_structure'!$A$11:$A$14,0),MATCH(Calculations!O$1,'2018_commission_structure'!$A$11:$I$11,0))</f>
        <v>50000</v>
      </c>
      <c r="P431" s="7">
        <f>IF($H431&gt;I431,MIN($H431-I431,J431-I431)*INDEX('2018_commission_structure'!$A$11:$I$14,MATCH(Calculations!$E431,'2018_commission_structure'!$A$11:$A$14,0), MATCH(Calculations!P$1,'2018_commission_structure'!$A$11:$I$11,0)),0)</f>
        <v>11651.55</v>
      </c>
      <c r="Q431" s="7">
        <f>IF($H431&gt;J431,MIN($H431-J431,K431-J431)*INDEX('2018_commission_structure'!$A$11:$I$14,MATCH(Calculations!$E431,'2018_commission_structure'!$A$11:$A$14,0), MATCH(Calculations!Q$1,'2018_commission_structure'!$A$11:$I$11,0)),0)</f>
        <v>0</v>
      </c>
      <c r="R431" s="7">
        <f>IF($H431&gt;K431,MIN($H431-K431,L431-K431)*INDEX('2018_commission_structure'!$A$11:$I$14,MATCH(Calculations!$E431,'2018_commission_structure'!$A$11:$A$14,0), MATCH(Calculations!R$1,'2018_commission_structure'!$A$11:$I$11,0)),0)</f>
        <v>0</v>
      </c>
      <c r="S431" s="7">
        <f>IF(H431&gt;L431,(H431-L431)*INDEX('2018_commission_structure'!$A$11:$I$14,MATCH(Calculations!$E431,'2018_commission_structure'!$A$11:$A$14,0),MATCH(Calculations!S$1,'2018_commission_structure'!$A$11:$I$11,0)),0)</f>
        <v>0</v>
      </c>
      <c r="T431" s="7">
        <f t="shared" si="59"/>
        <v>61651.55</v>
      </c>
      <c r="U431" s="7">
        <f t="shared" si="60"/>
        <v>91882.55</v>
      </c>
      <c r="V431" s="7">
        <f>MIN(H431,I431)*INDEX('2018_commission_structure'!$A$5:$J$8,MATCH(Calculations!$E431,'2018_commission_structure'!$A$5:$A$8,0),MATCH(Calculations!V$1,'2018_commission_structure'!$A$5:$J$5,0))</f>
        <v>60000</v>
      </c>
      <c r="W431" s="2">
        <f>IF($H431&gt;I431,MIN($H431-I431,J431-I431)*INDEX('2018_commission_structure'!$A$5:$J$8,MATCH(Calculations!$E431,'2018_commission_structure'!$A$5:$A$8,0),MATCH(Calculations!W$1,'2018_commission_structure'!$A$5:$J$5,0)),0)</f>
        <v>13205.09</v>
      </c>
      <c r="X431" s="2">
        <f>IF($H431&gt;J431,MIN($H431-J431,K431-J431)*INDEX('2018_commission_structure'!$A$5:$J$8,MATCH(Calculations!$E431,'2018_commission_structure'!$A$5:$A$8,0),MATCH(Calculations!X$1,'2018_commission_structure'!$A$5:$J$5,0)),0)</f>
        <v>0</v>
      </c>
      <c r="Y431" s="2">
        <f>IF($H431&gt;K431,MIN($H431-K431,L431-K431)*INDEX('2018_commission_structure'!$A$5:$J$8,MATCH(Calculations!$E431,'2018_commission_structure'!$A$5:$A$8,0),MATCH(Calculations!Y$1,'2018_commission_structure'!$A$5:$J$5,0)),0)</f>
        <v>0</v>
      </c>
      <c r="Z431" s="2">
        <f xml:space="preserve"> IF(H431&gt;L431,(H431-L431)*INDEX('2018_commission_structure'!$A$11:$I$14,MATCH(Calculations!$E431,'2018_commission_structure'!$A$11:$A$14,0),MATCH(Calculations!Z$1,'2018_commission_structure'!$A$11:$I$11,0)),0)</f>
        <v>0</v>
      </c>
      <c r="AA431" s="7">
        <f t="shared" si="61"/>
        <v>73205.09</v>
      </c>
      <c r="AB431" s="7">
        <f t="shared" si="62"/>
        <v>103436.09</v>
      </c>
    </row>
    <row r="432" spans="1:28" x14ac:dyDescent="0.25">
      <c r="A432">
        <v>4839119791</v>
      </c>
      <c r="B432" t="s">
        <v>457</v>
      </c>
      <c r="C432" t="s">
        <v>1175</v>
      </c>
      <c r="D432" t="str">
        <f>B432&amp;" "&amp;C432</f>
        <v>Kalindi Hedin</v>
      </c>
      <c r="E432" t="s">
        <v>10</v>
      </c>
      <c r="F432">
        <v>80045</v>
      </c>
      <c r="G432">
        <f>COUNTIF(deals_closed!D:D,Calculations!A432)</f>
        <v>19</v>
      </c>
      <c r="H432" s="2">
        <f>SUMIF(deals_closed!D:D,Calculations!A432,deals_closed!C:C)</f>
        <v>626420</v>
      </c>
      <c r="I432" s="2">
        <f>VLOOKUP(E432,'2018_commission_structure'!$A$11:$I$14,9,FALSE)</f>
        <v>750000</v>
      </c>
      <c r="J432" s="2">
        <f t="shared" si="54"/>
        <v>937500</v>
      </c>
      <c r="K432" s="2">
        <f t="shared" si="55"/>
        <v>1125000</v>
      </c>
      <c r="L432" s="2">
        <f t="shared" si="56"/>
        <v>1500000</v>
      </c>
      <c r="M432" s="6">
        <f t="shared" si="57"/>
        <v>0.83522666666666667</v>
      </c>
      <c r="N432" t="str">
        <f t="shared" si="58"/>
        <v>0-100%</v>
      </c>
      <c r="O432" s="7">
        <f>MIN(I432,H432)*INDEX('2018_commission_structure'!$A$11:$I$14,MATCH(Calculations!$E432,'2018_commission_structure'!$A$11:$A$14,0),MATCH(Calculations!O$1,'2018_commission_structure'!$A$11:$I$11,0))</f>
        <v>93963</v>
      </c>
      <c r="P432" s="7">
        <f>IF($H432&gt;I432,MIN($H432-I432,J432-I432)*INDEX('2018_commission_structure'!$A$11:$I$14,MATCH(Calculations!$E432,'2018_commission_structure'!$A$11:$A$14,0), MATCH(Calculations!P$1,'2018_commission_structure'!$A$11:$I$11,0)),0)</f>
        <v>0</v>
      </c>
      <c r="Q432" s="7">
        <f>IF($H432&gt;J432,MIN($H432-J432,K432-J432)*INDEX('2018_commission_structure'!$A$11:$I$14,MATCH(Calculations!$E432,'2018_commission_structure'!$A$11:$A$14,0), MATCH(Calculations!Q$1,'2018_commission_structure'!$A$11:$I$11,0)),0)</f>
        <v>0</v>
      </c>
      <c r="R432" s="7">
        <f>IF($H432&gt;K432,MIN($H432-K432,L432-K432)*INDEX('2018_commission_structure'!$A$11:$I$14,MATCH(Calculations!$E432,'2018_commission_structure'!$A$11:$A$14,0), MATCH(Calculations!R$1,'2018_commission_structure'!$A$11:$I$11,0)),0)</f>
        <v>0</v>
      </c>
      <c r="S432" s="7">
        <f>IF(H432&gt;L432,(H432-L432)*INDEX('2018_commission_structure'!$A$11:$I$14,MATCH(Calculations!$E432,'2018_commission_structure'!$A$11:$A$14,0),MATCH(Calculations!S$1,'2018_commission_structure'!$A$11:$I$11,0)),0)</f>
        <v>0</v>
      </c>
      <c r="T432" s="7">
        <f t="shared" si="59"/>
        <v>93963</v>
      </c>
      <c r="U432" s="7">
        <f t="shared" si="60"/>
        <v>174008</v>
      </c>
      <c r="V432" s="7">
        <f>MIN(H432,I432)*INDEX('2018_commission_structure'!$A$5:$J$8,MATCH(Calculations!$E432,'2018_commission_structure'!$A$5:$A$8,0),MATCH(Calculations!V$1,'2018_commission_structure'!$A$5:$J$5,0))</f>
        <v>93963</v>
      </c>
      <c r="W432" s="2">
        <f>IF($H432&gt;I432,MIN($H432-I432,J432-I432)*INDEX('2018_commission_structure'!$A$5:$J$8,MATCH(Calculations!$E432,'2018_commission_structure'!$A$5:$A$8,0),MATCH(Calculations!W$1,'2018_commission_structure'!$A$5:$J$5,0)),0)</f>
        <v>0</v>
      </c>
      <c r="X432" s="2">
        <f>IF($H432&gt;J432,MIN($H432-J432,K432-J432)*INDEX('2018_commission_structure'!$A$5:$J$8,MATCH(Calculations!$E432,'2018_commission_structure'!$A$5:$A$8,0),MATCH(Calculations!X$1,'2018_commission_structure'!$A$5:$J$5,0)),0)</f>
        <v>0</v>
      </c>
      <c r="Y432" s="2">
        <f>IF($H432&gt;K432,MIN($H432-K432,L432-K432)*INDEX('2018_commission_structure'!$A$5:$J$8,MATCH(Calculations!$E432,'2018_commission_structure'!$A$5:$A$8,0),MATCH(Calculations!Y$1,'2018_commission_structure'!$A$5:$J$5,0)),0)</f>
        <v>0</v>
      </c>
      <c r="Z432" s="2">
        <f xml:space="preserve"> IF(H432&gt;L432,(H432-L432)*INDEX('2018_commission_structure'!$A$11:$I$14,MATCH(Calculations!$E432,'2018_commission_structure'!$A$11:$A$14,0),MATCH(Calculations!Z$1,'2018_commission_structure'!$A$11:$I$11,0)),0)</f>
        <v>0</v>
      </c>
      <c r="AA432" s="7">
        <f t="shared" si="61"/>
        <v>93963</v>
      </c>
      <c r="AB432" s="7">
        <f t="shared" si="62"/>
        <v>174008</v>
      </c>
    </row>
    <row r="433" spans="1:28" x14ac:dyDescent="0.25">
      <c r="A433">
        <v>5828678620</v>
      </c>
      <c r="B433" t="s">
        <v>1782</v>
      </c>
      <c r="C433" t="s">
        <v>1783</v>
      </c>
      <c r="D433" t="str">
        <f>B433&amp;" "&amp;C433</f>
        <v>Kitti Hedworth</v>
      </c>
      <c r="E433" t="s">
        <v>7</v>
      </c>
      <c r="F433">
        <v>52885</v>
      </c>
      <c r="G433">
        <f>COUNTIF(deals_closed!D:D,Calculations!A433)</f>
        <v>25</v>
      </c>
      <c r="H433" s="2">
        <f>SUMIF(deals_closed!D:D,Calculations!A433,deals_closed!C:C)</f>
        <v>860242</v>
      </c>
      <c r="I433" s="2">
        <f>VLOOKUP(E433,'2018_commission_structure'!$A$11:$I$14,9,FALSE)</f>
        <v>500000</v>
      </c>
      <c r="J433" s="2">
        <f t="shared" si="54"/>
        <v>625000</v>
      </c>
      <c r="K433" s="2">
        <f t="shared" si="55"/>
        <v>750000</v>
      </c>
      <c r="L433" s="2">
        <f t="shared" si="56"/>
        <v>1000000</v>
      </c>
      <c r="M433" s="6">
        <f t="shared" si="57"/>
        <v>1.7204839999999999</v>
      </c>
      <c r="N433" t="str">
        <f t="shared" si="58"/>
        <v>150-200%</v>
      </c>
      <c r="O433" s="7">
        <f>MIN(I433,H433)*INDEX('2018_commission_structure'!$A$11:$I$14,MATCH(Calculations!$E433,'2018_commission_structure'!$A$11:$A$14,0),MATCH(Calculations!O$1,'2018_commission_structure'!$A$11:$I$11,0))</f>
        <v>50000</v>
      </c>
      <c r="P433" s="7">
        <f>IF($H433&gt;I433,MIN($H433-I433,J433-I433)*INDEX('2018_commission_structure'!$A$11:$I$14,MATCH(Calculations!$E433,'2018_commission_structure'!$A$11:$A$14,0), MATCH(Calculations!P$1,'2018_commission_structure'!$A$11:$I$11,0)),0)</f>
        <v>18750</v>
      </c>
      <c r="Q433" s="7">
        <f>IF($H433&gt;J433,MIN($H433-J433,K433-J433)*INDEX('2018_commission_structure'!$A$11:$I$14,MATCH(Calculations!$E433,'2018_commission_structure'!$A$11:$A$14,0), MATCH(Calculations!Q$1,'2018_commission_structure'!$A$11:$I$11,0)),0)</f>
        <v>22500</v>
      </c>
      <c r="R433" s="7">
        <f>IF($H433&gt;K433,MIN($H433-K433,L433-K433)*INDEX('2018_commission_structure'!$A$11:$I$14,MATCH(Calculations!$E433,'2018_commission_structure'!$A$11:$A$14,0), MATCH(Calculations!R$1,'2018_commission_structure'!$A$11:$I$11,0)),0)</f>
        <v>24253.24</v>
      </c>
      <c r="S433" s="7">
        <f>IF(H433&gt;L433,(H433-L433)*INDEX('2018_commission_structure'!$A$11:$I$14,MATCH(Calculations!$E433,'2018_commission_structure'!$A$11:$A$14,0),MATCH(Calculations!S$1,'2018_commission_structure'!$A$11:$I$11,0)),0)</f>
        <v>0</v>
      </c>
      <c r="T433" s="7">
        <f t="shared" si="59"/>
        <v>115503.24</v>
      </c>
      <c r="U433" s="7">
        <f t="shared" si="60"/>
        <v>168388.24</v>
      </c>
      <c r="V433" s="7">
        <f>MIN(H433,I433)*INDEX('2018_commission_structure'!$A$5:$J$8,MATCH(Calculations!$E433,'2018_commission_structure'!$A$5:$A$8,0),MATCH(Calculations!V$1,'2018_commission_structure'!$A$5:$J$5,0))</f>
        <v>60000</v>
      </c>
      <c r="W433" s="2">
        <f>IF($H433&gt;I433,MIN($H433-I433,J433-I433)*INDEX('2018_commission_structure'!$A$5:$J$8,MATCH(Calculations!$E433,'2018_commission_structure'!$A$5:$A$8,0),MATCH(Calculations!W$1,'2018_commission_structure'!$A$5:$J$5,0)),0)</f>
        <v>21250</v>
      </c>
      <c r="X433" s="2">
        <f>IF($H433&gt;J433,MIN($H433-J433,K433-J433)*INDEX('2018_commission_structure'!$A$5:$J$8,MATCH(Calculations!$E433,'2018_commission_structure'!$A$5:$A$8,0),MATCH(Calculations!X$1,'2018_commission_structure'!$A$5:$J$5,0)),0)</f>
        <v>25000</v>
      </c>
      <c r="Y433" s="2">
        <f>IF($H433&gt;K433,MIN($H433-K433,L433-K433)*INDEX('2018_commission_structure'!$A$5:$J$8,MATCH(Calculations!$E433,'2018_commission_structure'!$A$5:$A$8,0),MATCH(Calculations!Y$1,'2018_commission_structure'!$A$5:$J$5,0)),0)</f>
        <v>24253.24</v>
      </c>
      <c r="Z433" s="2">
        <f xml:space="preserve"> IF(H433&gt;L433,(H433-L433)*INDEX('2018_commission_structure'!$A$11:$I$14,MATCH(Calculations!$E433,'2018_commission_structure'!$A$11:$A$14,0),MATCH(Calculations!Z$1,'2018_commission_structure'!$A$11:$I$11,0)),0)</f>
        <v>0</v>
      </c>
      <c r="AA433" s="7">
        <f t="shared" si="61"/>
        <v>130503.24</v>
      </c>
      <c r="AB433" s="7">
        <f t="shared" si="62"/>
        <v>183388.24</v>
      </c>
    </row>
    <row r="434" spans="1:28" x14ac:dyDescent="0.25">
      <c r="A434">
        <v>701563818</v>
      </c>
      <c r="B434" t="s">
        <v>1817</v>
      </c>
      <c r="C434" t="s">
        <v>1818</v>
      </c>
      <c r="D434" t="str">
        <f>B434&amp;" "&amp;C434</f>
        <v>Skell Heijne</v>
      </c>
      <c r="E434" t="s">
        <v>10</v>
      </c>
      <c r="F434">
        <v>99084</v>
      </c>
      <c r="G434">
        <f>COUNTIF(deals_closed!D:D,Calculations!A434)</f>
        <v>25</v>
      </c>
      <c r="H434" s="2">
        <f>SUMIF(deals_closed!D:D,Calculations!A434,deals_closed!C:C)</f>
        <v>890240</v>
      </c>
      <c r="I434" s="2">
        <f>VLOOKUP(E434,'2018_commission_structure'!$A$11:$I$14,9,FALSE)</f>
        <v>750000</v>
      </c>
      <c r="J434" s="2">
        <f t="shared" si="54"/>
        <v>937500</v>
      </c>
      <c r="K434" s="2">
        <f t="shared" si="55"/>
        <v>1125000</v>
      </c>
      <c r="L434" s="2">
        <f t="shared" si="56"/>
        <v>1500000</v>
      </c>
      <c r="M434" s="6">
        <f t="shared" si="57"/>
        <v>1.1869866666666666</v>
      </c>
      <c r="N434" t="str">
        <f t="shared" si="58"/>
        <v>100-125%</v>
      </c>
      <c r="O434" s="7">
        <f>MIN(I434,H434)*INDEX('2018_commission_structure'!$A$11:$I$14,MATCH(Calculations!$E434,'2018_commission_structure'!$A$11:$A$14,0),MATCH(Calculations!O$1,'2018_commission_structure'!$A$11:$I$11,0))</f>
        <v>112500</v>
      </c>
      <c r="P434" s="7">
        <f>IF($H434&gt;I434,MIN($H434-I434,J434-I434)*INDEX('2018_commission_structure'!$A$11:$I$14,MATCH(Calculations!$E434,'2018_commission_structure'!$A$11:$A$14,0), MATCH(Calculations!P$1,'2018_commission_structure'!$A$11:$I$11,0)),0)</f>
        <v>26645.599999999999</v>
      </c>
      <c r="Q434" s="7">
        <f>IF($H434&gt;J434,MIN($H434-J434,K434-J434)*INDEX('2018_commission_structure'!$A$11:$I$14,MATCH(Calculations!$E434,'2018_commission_structure'!$A$11:$A$14,0), MATCH(Calculations!Q$1,'2018_commission_structure'!$A$11:$I$11,0)),0)</f>
        <v>0</v>
      </c>
      <c r="R434" s="7">
        <f>IF($H434&gt;K434,MIN($H434-K434,L434-K434)*INDEX('2018_commission_structure'!$A$11:$I$14,MATCH(Calculations!$E434,'2018_commission_structure'!$A$11:$A$14,0), MATCH(Calculations!R$1,'2018_commission_structure'!$A$11:$I$11,0)),0)</f>
        <v>0</v>
      </c>
      <c r="S434" s="7">
        <f>IF(H434&gt;L434,(H434-L434)*INDEX('2018_commission_structure'!$A$11:$I$14,MATCH(Calculations!$E434,'2018_commission_structure'!$A$11:$A$14,0),MATCH(Calculations!S$1,'2018_commission_structure'!$A$11:$I$11,0)),0)</f>
        <v>0</v>
      </c>
      <c r="T434" s="7">
        <f t="shared" si="59"/>
        <v>139145.60000000001</v>
      </c>
      <c r="U434" s="7">
        <f t="shared" si="60"/>
        <v>238229.6</v>
      </c>
      <c r="V434" s="7">
        <f>MIN(H434,I434)*INDEX('2018_commission_structure'!$A$5:$J$8,MATCH(Calculations!$E434,'2018_commission_structure'!$A$5:$A$8,0),MATCH(Calculations!V$1,'2018_commission_structure'!$A$5:$J$5,0))</f>
        <v>112500</v>
      </c>
      <c r="W434" s="2">
        <f>IF($H434&gt;I434,MIN($H434-I434,J434-I434)*INDEX('2018_commission_structure'!$A$5:$J$8,MATCH(Calculations!$E434,'2018_commission_structure'!$A$5:$A$8,0),MATCH(Calculations!W$1,'2018_commission_structure'!$A$5:$J$5,0)),0)</f>
        <v>30852.799999999999</v>
      </c>
      <c r="X434" s="2">
        <f>IF($H434&gt;J434,MIN($H434-J434,K434-J434)*INDEX('2018_commission_structure'!$A$5:$J$8,MATCH(Calculations!$E434,'2018_commission_structure'!$A$5:$A$8,0),MATCH(Calculations!X$1,'2018_commission_structure'!$A$5:$J$5,0)),0)</f>
        <v>0</v>
      </c>
      <c r="Y434" s="2">
        <f>IF($H434&gt;K434,MIN($H434-K434,L434-K434)*INDEX('2018_commission_structure'!$A$5:$J$8,MATCH(Calculations!$E434,'2018_commission_structure'!$A$5:$A$8,0),MATCH(Calculations!Y$1,'2018_commission_structure'!$A$5:$J$5,0)),0)</f>
        <v>0</v>
      </c>
      <c r="Z434" s="2">
        <f xml:space="preserve"> IF(H434&gt;L434,(H434-L434)*INDEX('2018_commission_structure'!$A$11:$I$14,MATCH(Calculations!$E434,'2018_commission_structure'!$A$11:$A$14,0),MATCH(Calculations!Z$1,'2018_commission_structure'!$A$11:$I$11,0)),0)</f>
        <v>0</v>
      </c>
      <c r="AA434" s="7">
        <f t="shared" si="61"/>
        <v>143352.79999999999</v>
      </c>
      <c r="AB434" s="7">
        <f t="shared" si="62"/>
        <v>242436.8</v>
      </c>
    </row>
    <row r="435" spans="1:28" x14ac:dyDescent="0.25">
      <c r="A435">
        <v>2417008025</v>
      </c>
      <c r="B435" t="s">
        <v>923</v>
      </c>
      <c r="C435" t="s">
        <v>924</v>
      </c>
      <c r="D435" t="str">
        <f>B435&amp;" "&amp;C435</f>
        <v>Tori Helis</v>
      </c>
      <c r="E435" t="s">
        <v>29</v>
      </c>
      <c r="F435">
        <v>74012</v>
      </c>
      <c r="G435">
        <f>COUNTIF(deals_closed!D:D,Calculations!A435)</f>
        <v>17</v>
      </c>
      <c r="H435" s="2">
        <f>SUMIF(deals_closed!D:D,Calculations!A435,deals_closed!C:C)</f>
        <v>613323</v>
      </c>
      <c r="I435" s="2">
        <f>VLOOKUP(E435,'2018_commission_structure'!$A$11:$I$14,9,FALSE)</f>
        <v>600000</v>
      </c>
      <c r="J435" s="2">
        <f t="shared" si="54"/>
        <v>750000</v>
      </c>
      <c r="K435" s="2">
        <f t="shared" si="55"/>
        <v>900000</v>
      </c>
      <c r="L435" s="2">
        <f t="shared" si="56"/>
        <v>1200000</v>
      </c>
      <c r="M435" s="6">
        <f t="shared" si="57"/>
        <v>1.022205</v>
      </c>
      <c r="N435" t="str">
        <f t="shared" si="58"/>
        <v>100-125%</v>
      </c>
      <c r="O435" s="7">
        <f>MIN(I435,H435)*INDEX('2018_commission_structure'!$A$11:$I$14,MATCH(Calculations!$E435,'2018_commission_structure'!$A$11:$A$14,0),MATCH(Calculations!O$1,'2018_commission_structure'!$A$11:$I$11,0))</f>
        <v>78000</v>
      </c>
      <c r="P435" s="7">
        <f>IF($H435&gt;I435,MIN($H435-I435,J435-I435)*INDEX('2018_commission_structure'!$A$11:$I$14,MATCH(Calculations!$E435,'2018_commission_structure'!$A$11:$A$14,0), MATCH(Calculations!P$1,'2018_commission_structure'!$A$11:$I$11,0)),0)</f>
        <v>2264.9100000000003</v>
      </c>
      <c r="Q435" s="7">
        <f>IF($H435&gt;J435,MIN($H435-J435,K435-J435)*INDEX('2018_commission_structure'!$A$11:$I$14,MATCH(Calculations!$E435,'2018_commission_structure'!$A$11:$A$14,0), MATCH(Calculations!Q$1,'2018_commission_structure'!$A$11:$I$11,0)),0)</f>
        <v>0</v>
      </c>
      <c r="R435" s="7">
        <f>IF($H435&gt;K435,MIN($H435-K435,L435-K435)*INDEX('2018_commission_structure'!$A$11:$I$14,MATCH(Calculations!$E435,'2018_commission_structure'!$A$11:$A$14,0), MATCH(Calculations!R$1,'2018_commission_structure'!$A$11:$I$11,0)),0)</f>
        <v>0</v>
      </c>
      <c r="S435" s="7">
        <f>IF(H435&gt;L435,(H435-L435)*INDEX('2018_commission_structure'!$A$11:$I$14,MATCH(Calculations!$E435,'2018_commission_structure'!$A$11:$A$14,0),MATCH(Calculations!S$1,'2018_commission_structure'!$A$11:$I$11,0)),0)</f>
        <v>0</v>
      </c>
      <c r="T435" s="7">
        <f t="shared" si="59"/>
        <v>80264.91</v>
      </c>
      <c r="U435" s="7">
        <f t="shared" si="60"/>
        <v>154276.91</v>
      </c>
      <c r="V435" s="7">
        <f>MIN(H435,I435)*INDEX('2018_commission_structure'!$A$5:$J$8,MATCH(Calculations!$E435,'2018_commission_structure'!$A$5:$A$8,0),MATCH(Calculations!V$1,'2018_commission_structure'!$A$5:$J$5,0))</f>
        <v>90000</v>
      </c>
      <c r="W435" s="2">
        <f>IF($H435&gt;I435,MIN($H435-I435,J435-I435)*INDEX('2018_commission_structure'!$A$5:$J$8,MATCH(Calculations!$E435,'2018_commission_structure'!$A$5:$A$8,0),MATCH(Calculations!W$1,'2018_commission_structure'!$A$5:$J$5,0)),0)</f>
        <v>2398.14</v>
      </c>
      <c r="X435" s="2">
        <f>IF($H435&gt;J435,MIN($H435-J435,K435-J435)*INDEX('2018_commission_structure'!$A$5:$J$8,MATCH(Calculations!$E435,'2018_commission_structure'!$A$5:$A$8,0),MATCH(Calculations!X$1,'2018_commission_structure'!$A$5:$J$5,0)),0)</f>
        <v>0</v>
      </c>
      <c r="Y435" s="2">
        <f>IF($H435&gt;K435,MIN($H435-K435,L435-K435)*INDEX('2018_commission_structure'!$A$5:$J$8,MATCH(Calculations!$E435,'2018_commission_structure'!$A$5:$A$8,0),MATCH(Calculations!Y$1,'2018_commission_structure'!$A$5:$J$5,0)),0)</f>
        <v>0</v>
      </c>
      <c r="Z435" s="2">
        <f xml:space="preserve"> IF(H435&gt;L435,(H435-L435)*INDEX('2018_commission_structure'!$A$11:$I$14,MATCH(Calculations!$E435,'2018_commission_structure'!$A$11:$A$14,0),MATCH(Calculations!Z$1,'2018_commission_structure'!$A$11:$I$11,0)),0)</f>
        <v>0</v>
      </c>
      <c r="AA435" s="7">
        <f t="shared" si="61"/>
        <v>92398.14</v>
      </c>
      <c r="AB435" s="7">
        <f t="shared" si="62"/>
        <v>166410.14000000001</v>
      </c>
    </row>
    <row r="436" spans="1:28" x14ac:dyDescent="0.25">
      <c r="A436">
        <v>4085082426</v>
      </c>
      <c r="B436" t="s">
        <v>97</v>
      </c>
      <c r="C436" t="s">
        <v>98</v>
      </c>
      <c r="D436" t="str">
        <f>B436&amp;" "&amp;C436</f>
        <v>Clarke Hemphall</v>
      </c>
      <c r="E436" t="s">
        <v>29</v>
      </c>
      <c r="F436">
        <v>64047</v>
      </c>
      <c r="G436">
        <f>COUNTIF(deals_closed!D:D,Calculations!A436)</f>
        <v>28</v>
      </c>
      <c r="H436" s="2">
        <f>SUMIF(deals_closed!D:D,Calculations!A436,deals_closed!C:C)</f>
        <v>1002125</v>
      </c>
      <c r="I436" s="2">
        <f>VLOOKUP(E436,'2018_commission_structure'!$A$11:$I$14,9,FALSE)</f>
        <v>600000</v>
      </c>
      <c r="J436" s="2">
        <f t="shared" si="54"/>
        <v>750000</v>
      </c>
      <c r="K436" s="2">
        <f t="shared" si="55"/>
        <v>900000</v>
      </c>
      <c r="L436" s="2">
        <f t="shared" si="56"/>
        <v>1200000</v>
      </c>
      <c r="M436" s="6">
        <f t="shared" si="57"/>
        <v>1.6702083333333333</v>
      </c>
      <c r="N436" t="str">
        <f t="shared" si="58"/>
        <v>150-200%</v>
      </c>
      <c r="O436" s="7">
        <f>MIN(I436,H436)*INDEX('2018_commission_structure'!$A$11:$I$14,MATCH(Calculations!$E436,'2018_commission_structure'!$A$11:$A$14,0),MATCH(Calculations!O$1,'2018_commission_structure'!$A$11:$I$11,0))</f>
        <v>78000</v>
      </c>
      <c r="P436" s="7">
        <f>IF($H436&gt;I436,MIN($H436-I436,J436-I436)*INDEX('2018_commission_structure'!$A$11:$I$14,MATCH(Calculations!$E436,'2018_commission_structure'!$A$11:$A$14,0), MATCH(Calculations!P$1,'2018_commission_structure'!$A$11:$I$11,0)),0)</f>
        <v>25500.000000000004</v>
      </c>
      <c r="Q436" s="7">
        <f>IF($H436&gt;J436,MIN($H436-J436,K436-J436)*INDEX('2018_commission_structure'!$A$11:$I$14,MATCH(Calculations!$E436,'2018_commission_structure'!$A$11:$A$14,0), MATCH(Calculations!Q$1,'2018_commission_structure'!$A$11:$I$11,0)),0)</f>
        <v>31500</v>
      </c>
      <c r="R436" s="7">
        <f>IF($H436&gt;K436,MIN($H436-K436,L436-K436)*INDEX('2018_commission_structure'!$A$11:$I$14,MATCH(Calculations!$E436,'2018_commission_structure'!$A$11:$A$14,0), MATCH(Calculations!R$1,'2018_commission_structure'!$A$11:$I$11,0)),0)</f>
        <v>26552.5</v>
      </c>
      <c r="S436" s="7">
        <f>IF(H436&gt;L436,(H436-L436)*INDEX('2018_commission_structure'!$A$11:$I$14,MATCH(Calculations!$E436,'2018_commission_structure'!$A$11:$A$14,0),MATCH(Calculations!S$1,'2018_commission_structure'!$A$11:$I$11,0)),0)</f>
        <v>0</v>
      </c>
      <c r="T436" s="7">
        <f t="shared" si="59"/>
        <v>161552.5</v>
      </c>
      <c r="U436" s="7">
        <f t="shared" si="60"/>
        <v>225599.5</v>
      </c>
      <c r="V436" s="7">
        <f>MIN(H436,I436)*INDEX('2018_commission_structure'!$A$5:$J$8,MATCH(Calculations!$E436,'2018_commission_structure'!$A$5:$A$8,0),MATCH(Calculations!V$1,'2018_commission_structure'!$A$5:$J$5,0))</f>
        <v>90000</v>
      </c>
      <c r="W436" s="2">
        <f>IF($H436&gt;I436,MIN($H436-I436,J436-I436)*INDEX('2018_commission_structure'!$A$5:$J$8,MATCH(Calculations!$E436,'2018_commission_structure'!$A$5:$A$8,0),MATCH(Calculations!W$1,'2018_commission_structure'!$A$5:$J$5,0)),0)</f>
        <v>27000</v>
      </c>
      <c r="X436" s="2">
        <f>IF($H436&gt;J436,MIN($H436-J436,K436-J436)*INDEX('2018_commission_structure'!$A$5:$J$8,MATCH(Calculations!$E436,'2018_commission_structure'!$A$5:$A$8,0),MATCH(Calculations!X$1,'2018_commission_structure'!$A$5:$J$5,0)),0)</f>
        <v>37500</v>
      </c>
      <c r="Y436" s="2">
        <f>IF($H436&gt;K436,MIN($H436-K436,L436-K436)*INDEX('2018_commission_structure'!$A$5:$J$8,MATCH(Calculations!$E436,'2018_commission_structure'!$A$5:$A$8,0),MATCH(Calculations!Y$1,'2018_commission_structure'!$A$5:$J$5,0)),0)</f>
        <v>30637.5</v>
      </c>
      <c r="Z436" s="2">
        <f xml:space="preserve"> IF(H436&gt;L436,(H436-L436)*INDEX('2018_commission_structure'!$A$11:$I$14,MATCH(Calculations!$E436,'2018_commission_structure'!$A$11:$A$14,0),MATCH(Calculations!Z$1,'2018_commission_structure'!$A$11:$I$11,0)),0)</f>
        <v>0</v>
      </c>
      <c r="AA436" s="7">
        <f t="shared" si="61"/>
        <v>185137.5</v>
      </c>
      <c r="AB436" s="7">
        <f t="shared" si="62"/>
        <v>249184.5</v>
      </c>
    </row>
    <row r="437" spans="1:28" x14ac:dyDescent="0.25">
      <c r="A437">
        <v>7707009371</v>
      </c>
      <c r="B437" t="s">
        <v>406</v>
      </c>
      <c r="C437" t="s">
        <v>407</v>
      </c>
      <c r="D437" t="str">
        <f>B437&amp;" "&amp;C437</f>
        <v>Orel Henrie</v>
      </c>
      <c r="E437" t="s">
        <v>10</v>
      </c>
      <c r="F437">
        <v>119934</v>
      </c>
      <c r="G437">
        <f>COUNTIF(deals_closed!D:D,Calculations!A437)</f>
        <v>16</v>
      </c>
      <c r="H437" s="2">
        <f>SUMIF(deals_closed!D:D,Calculations!A437,deals_closed!C:C)</f>
        <v>511004</v>
      </c>
      <c r="I437" s="2">
        <f>VLOOKUP(E437,'2018_commission_structure'!$A$11:$I$14,9,FALSE)</f>
        <v>750000</v>
      </c>
      <c r="J437" s="2">
        <f t="shared" si="54"/>
        <v>937500</v>
      </c>
      <c r="K437" s="2">
        <f t="shared" si="55"/>
        <v>1125000</v>
      </c>
      <c r="L437" s="2">
        <f t="shared" si="56"/>
        <v>1500000</v>
      </c>
      <c r="M437" s="6">
        <f t="shared" si="57"/>
        <v>0.68133866666666665</v>
      </c>
      <c r="N437" t="str">
        <f t="shared" si="58"/>
        <v>0-100%</v>
      </c>
      <c r="O437" s="7">
        <f>MIN(I437,H437)*INDEX('2018_commission_structure'!$A$11:$I$14,MATCH(Calculations!$E437,'2018_commission_structure'!$A$11:$A$14,0),MATCH(Calculations!O$1,'2018_commission_structure'!$A$11:$I$11,0))</f>
        <v>76650.599999999991</v>
      </c>
      <c r="P437" s="7">
        <f>IF($H437&gt;I437,MIN($H437-I437,J437-I437)*INDEX('2018_commission_structure'!$A$11:$I$14,MATCH(Calculations!$E437,'2018_commission_structure'!$A$11:$A$14,0), MATCH(Calculations!P$1,'2018_commission_structure'!$A$11:$I$11,0)),0)</f>
        <v>0</v>
      </c>
      <c r="Q437" s="7">
        <f>IF($H437&gt;J437,MIN($H437-J437,K437-J437)*INDEX('2018_commission_structure'!$A$11:$I$14,MATCH(Calculations!$E437,'2018_commission_structure'!$A$11:$A$14,0), MATCH(Calculations!Q$1,'2018_commission_structure'!$A$11:$I$11,0)),0)</f>
        <v>0</v>
      </c>
      <c r="R437" s="7">
        <f>IF($H437&gt;K437,MIN($H437-K437,L437-K437)*INDEX('2018_commission_structure'!$A$11:$I$14,MATCH(Calculations!$E437,'2018_commission_structure'!$A$11:$A$14,0), MATCH(Calculations!R$1,'2018_commission_structure'!$A$11:$I$11,0)),0)</f>
        <v>0</v>
      </c>
      <c r="S437" s="7">
        <f>IF(H437&gt;L437,(H437-L437)*INDEX('2018_commission_structure'!$A$11:$I$14,MATCH(Calculations!$E437,'2018_commission_structure'!$A$11:$A$14,0),MATCH(Calculations!S$1,'2018_commission_structure'!$A$11:$I$11,0)),0)</f>
        <v>0</v>
      </c>
      <c r="T437" s="7">
        <f t="shared" si="59"/>
        <v>76650.599999999991</v>
      </c>
      <c r="U437" s="7">
        <f t="shared" si="60"/>
        <v>196584.59999999998</v>
      </c>
      <c r="V437" s="7">
        <f>MIN(H437,I437)*INDEX('2018_commission_structure'!$A$5:$J$8,MATCH(Calculations!$E437,'2018_commission_structure'!$A$5:$A$8,0),MATCH(Calculations!V$1,'2018_commission_structure'!$A$5:$J$5,0))</f>
        <v>76650.599999999991</v>
      </c>
      <c r="W437" s="2">
        <f>IF($H437&gt;I437,MIN($H437-I437,J437-I437)*INDEX('2018_commission_structure'!$A$5:$J$8,MATCH(Calculations!$E437,'2018_commission_structure'!$A$5:$A$8,0),MATCH(Calculations!W$1,'2018_commission_structure'!$A$5:$J$5,0)),0)</f>
        <v>0</v>
      </c>
      <c r="X437" s="2">
        <f>IF($H437&gt;J437,MIN($H437-J437,K437-J437)*INDEX('2018_commission_structure'!$A$5:$J$8,MATCH(Calculations!$E437,'2018_commission_structure'!$A$5:$A$8,0),MATCH(Calculations!X$1,'2018_commission_structure'!$A$5:$J$5,0)),0)</f>
        <v>0</v>
      </c>
      <c r="Y437" s="2">
        <f>IF($H437&gt;K437,MIN($H437-K437,L437-K437)*INDEX('2018_commission_structure'!$A$5:$J$8,MATCH(Calculations!$E437,'2018_commission_structure'!$A$5:$A$8,0),MATCH(Calculations!Y$1,'2018_commission_structure'!$A$5:$J$5,0)),0)</f>
        <v>0</v>
      </c>
      <c r="Z437" s="2">
        <f xml:space="preserve"> IF(H437&gt;L437,(H437-L437)*INDEX('2018_commission_structure'!$A$11:$I$14,MATCH(Calculations!$E437,'2018_commission_structure'!$A$11:$A$14,0),MATCH(Calculations!Z$1,'2018_commission_structure'!$A$11:$I$11,0)),0)</f>
        <v>0</v>
      </c>
      <c r="AA437" s="7">
        <f t="shared" si="61"/>
        <v>76650.599999999991</v>
      </c>
      <c r="AB437" s="7">
        <f t="shared" si="62"/>
        <v>196584.59999999998</v>
      </c>
    </row>
    <row r="438" spans="1:28" x14ac:dyDescent="0.25">
      <c r="A438">
        <v>5811999097</v>
      </c>
      <c r="B438" t="s">
        <v>724</v>
      </c>
      <c r="C438" t="s">
        <v>725</v>
      </c>
      <c r="D438" t="str">
        <f>B438&amp;" "&amp;C438</f>
        <v>Terry Hess</v>
      </c>
      <c r="E438" t="s">
        <v>7</v>
      </c>
      <c r="F438">
        <v>41580</v>
      </c>
      <c r="G438">
        <f>COUNTIF(deals_closed!D:D,Calculations!A438)</f>
        <v>18</v>
      </c>
      <c r="H438" s="2">
        <f>SUMIF(deals_closed!D:D,Calculations!A438,deals_closed!C:C)</f>
        <v>641225</v>
      </c>
      <c r="I438" s="2">
        <f>VLOOKUP(E438,'2018_commission_structure'!$A$11:$I$14,9,FALSE)</f>
        <v>500000</v>
      </c>
      <c r="J438" s="2">
        <f t="shared" si="54"/>
        <v>625000</v>
      </c>
      <c r="K438" s="2">
        <f t="shared" si="55"/>
        <v>750000</v>
      </c>
      <c r="L438" s="2">
        <f t="shared" si="56"/>
        <v>1000000</v>
      </c>
      <c r="M438" s="6">
        <f t="shared" si="57"/>
        <v>1.2824500000000001</v>
      </c>
      <c r="N438" t="str">
        <f t="shared" si="58"/>
        <v>125-150%</v>
      </c>
      <c r="O438" s="7">
        <f>MIN(I438,H438)*INDEX('2018_commission_structure'!$A$11:$I$14,MATCH(Calculations!$E438,'2018_commission_structure'!$A$11:$A$14,0),MATCH(Calculations!O$1,'2018_commission_structure'!$A$11:$I$11,0))</f>
        <v>50000</v>
      </c>
      <c r="P438" s="7">
        <f>IF($H438&gt;I438,MIN($H438-I438,J438-I438)*INDEX('2018_commission_structure'!$A$11:$I$14,MATCH(Calculations!$E438,'2018_commission_structure'!$A$11:$A$14,0), MATCH(Calculations!P$1,'2018_commission_structure'!$A$11:$I$11,0)),0)</f>
        <v>18750</v>
      </c>
      <c r="Q438" s="7">
        <f>IF($H438&gt;J438,MIN($H438-J438,K438-J438)*INDEX('2018_commission_structure'!$A$11:$I$14,MATCH(Calculations!$E438,'2018_commission_structure'!$A$11:$A$14,0), MATCH(Calculations!Q$1,'2018_commission_structure'!$A$11:$I$11,0)),0)</f>
        <v>2920.5</v>
      </c>
      <c r="R438" s="7">
        <f>IF($H438&gt;K438,MIN($H438-K438,L438-K438)*INDEX('2018_commission_structure'!$A$11:$I$14,MATCH(Calculations!$E438,'2018_commission_structure'!$A$11:$A$14,0), MATCH(Calculations!R$1,'2018_commission_structure'!$A$11:$I$11,0)),0)</f>
        <v>0</v>
      </c>
      <c r="S438" s="7">
        <f>IF(H438&gt;L438,(H438-L438)*INDEX('2018_commission_structure'!$A$11:$I$14,MATCH(Calculations!$E438,'2018_commission_structure'!$A$11:$A$14,0),MATCH(Calculations!S$1,'2018_commission_structure'!$A$11:$I$11,0)),0)</f>
        <v>0</v>
      </c>
      <c r="T438" s="7">
        <f t="shared" si="59"/>
        <v>71670.5</v>
      </c>
      <c r="U438" s="7">
        <f t="shared" si="60"/>
        <v>113250.5</v>
      </c>
      <c r="V438" s="7">
        <f>MIN(H438,I438)*INDEX('2018_commission_structure'!$A$5:$J$8,MATCH(Calculations!$E438,'2018_commission_structure'!$A$5:$A$8,0),MATCH(Calculations!V$1,'2018_commission_structure'!$A$5:$J$5,0))</f>
        <v>60000</v>
      </c>
      <c r="W438" s="2">
        <f>IF($H438&gt;I438,MIN($H438-I438,J438-I438)*INDEX('2018_commission_structure'!$A$5:$J$8,MATCH(Calculations!$E438,'2018_commission_structure'!$A$5:$A$8,0),MATCH(Calculations!W$1,'2018_commission_structure'!$A$5:$J$5,0)),0)</f>
        <v>21250</v>
      </c>
      <c r="X438" s="2">
        <f>IF($H438&gt;J438,MIN($H438-J438,K438-J438)*INDEX('2018_commission_structure'!$A$5:$J$8,MATCH(Calculations!$E438,'2018_commission_structure'!$A$5:$A$8,0),MATCH(Calculations!X$1,'2018_commission_structure'!$A$5:$J$5,0)),0)</f>
        <v>3245</v>
      </c>
      <c r="Y438" s="2">
        <f>IF($H438&gt;K438,MIN($H438-K438,L438-K438)*INDEX('2018_commission_structure'!$A$5:$J$8,MATCH(Calculations!$E438,'2018_commission_structure'!$A$5:$A$8,0),MATCH(Calculations!Y$1,'2018_commission_structure'!$A$5:$J$5,0)),0)</f>
        <v>0</v>
      </c>
      <c r="Z438" s="2">
        <f xml:space="preserve"> IF(H438&gt;L438,(H438-L438)*INDEX('2018_commission_structure'!$A$11:$I$14,MATCH(Calculations!$E438,'2018_commission_structure'!$A$11:$A$14,0),MATCH(Calculations!Z$1,'2018_commission_structure'!$A$11:$I$11,0)),0)</f>
        <v>0</v>
      </c>
      <c r="AA438" s="7">
        <f t="shared" si="61"/>
        <v>84495</v>
      </c>
      <c r="AB438" s="7">
        <f t="shared" si="62"/>
        <v>126075</v>
      </c>
    </row>
    <row r="439" spans="1:28" x14ac:dyDescent="0.25">
      <c r="A439">
        <v>5903124704</v>
      </c>
      <c r="B439" t="s">
        <v>1123</v>
      </c>
      <c r="C439" t="s">
        <v>1124</v>
      </c>
      <c r="D439" t="str">
        <f>B439&amp;" "&amp;C439</f>
        <v>Renaud Highwood</v>
      </c>
      <c r="E439" t="s">
        <v>10</v>
      </c>
      <c r="F439">
        <v>117483</v>
      </c>
      <c r="G439">
        <f>COUNTIF(deals_closed!D:D,Calculations!A439)</f>
        <v>26</v>
      </c>
      <c r="H439" s="2">
        <f>SUMIF(deals_closed!D:D,Calculations!A439,deals_closed!C:C)</f>
        <v>885649</v>
      </c>
      <c r="I439" s="2">
        <f>VLOOKUP(E439,'2018_commission_structure'!$A$11:$I$14,9,FALSE)</f>
        <v>750000</v>
      </c>
      <c r="J439" s="2">
        <f t="shared" si="54"/>
        <v>937500</v>
      </c>
      <c r="K439" s="2">
        <f t="shared" si="55"/>
        <v>1125000</v>
      </c>
      <c r="L439" s="2">
        <f t="shared" si="56"/>
        <v>1500000</v>
      </c>
      <c r="M439" s="6">
        <f t="shared" si="57"/>
        <v>1.1808653333333334</v>
      </c>
      <c r="N439" t="str">
        <f t="shared" si="58"/>
        <v>100-125%</v>
      </c>
      <c r="O439" s="7">
        <f>MIN(I439,H439)*INDEX('2018_commission_structure'!$A$11:$I$14,MATCH(Calculations!$E439,'2018_commission_structure'!$A$11:$A$14,0),MATCH(Calculations!O$1,'2018_commission_structure'!$A$11:$I$11,0))</f>
        <v>112500</v>
      </c>
      <c r="P439" s="7">
        <f>IF($H439&gt;I439,MIN($H439-I439,J439-I439)*INDEX('2018_commission_structure'!$A$11:$I$14,MATCH(Calculations!$E439,'2018_commission_structure'!$A$11:$A$14,0), MATCH(Calculations!P$1,'2018_commission_structure'!$A$11:$I$11,0)),0)</f>
        <v>25773.31</v>
      </c>
      <c r="Q439" s="7">
        <f>IF($H439&gt;J439,MIN($H439-J439,K439-J439)*INDEX('2018_commission_structure'!$A$11:$I$14,MATCH(Calculations!$E439,'2018_commission_structure'!$A$11:$A$14,0), MATCH(Calculations!Q$1,'2018_commission_structure'!$A$11:$I$11,0)),0)</f>
        <v>0</v>
      </c>
      <c r="R439" s="7">
        <f>IF($H439&gt;K439,MIN($H439-K439,L439-K439)*INDEX('2018_commission_structure'!$A$11:$I$14,MATCH(Calculations!$E439,'2018_commission_structure'!$A$11:$A$14,0), MATCH(Calculations!R$1,'2018_commission_structure'!$A$11:$I$11,0)),0)</f>
        <v>0</v>
      </c>
      <c r="S439" s="7">
        <f>IF(H439&gt;L439,(H439-L439)*INDEX('2018_commission_structure'!$A$11:$I$14,MATCH(Calculations!$E439,'2018_commission_structure'!$A$11:$A$14,0),MATCH(Calculations!S$1,'2018_commission_structure'!$A$11:$I$11,0)),0)</f>
        <v>0</v>
      </c>
      <c r="T439" s="7">
        <f t="shared" si="59"/>
        <v>138273.31</v>
      </c>
      <c r="U439" s="7">
        <f t="shared" si="60"/>
        <v>255756.31</v>
      </c>
      <c r="V439" s="7">
        <f>MIN(H439,I439)*INDEX('2018_commission_structure'!$A$5:$J$8,MATCH(Calculations!$E439,'2018_commission_structure'!$A$5:$A$8,0),MATCH(Calculations!V$1,'2018_commission_structure'!$A$5:$J$5,0))</f>
        <v>112500</v>
      </c>
      <c r="W439" s="2">
        <f>IF($H439&gt;I439,MIN($H439-I439,J439-I439)*INDEX('2018_commission_structure'!$A$5:$J$8,MATCH(Calculations!$E439,'2018_commission_structure'!$A$5:$A$8,0),MATCH(Calculations!W$1,'2018_commission_structure'!$A$5:$J$5,0)),0)</f>
        <v>29842.78</v>
      </c>
      <c r="X439" s="2">
        <f>IF($H439&gt;J439,MIN($H439-J439,K439-J439)*INDEX('2018_commission_structure'!$A$5:$J$8,MATCH(Calculations!$E439,'2018_commission_structure'!$A$5:$A$8,0),MATCH(Calculations!X$1,'2018_commission_structure'!$A$5:$J$5,0)),0)</f>
        <v>0</v>
      </c>
      <c r="Y439" s="2">
        <f>IF($H439&gt;K439,MIN($H439-K439,L439-K439)*INDEX('2018_commission_structure'!$A$5:$J$8,MATCH(Calculations!$E439,'2018_commission_structure'!$A$5:$A$8,0),MATCH(Calculations!Y$1,'2018_commission_structure'!$A$5:$J$5,0)),0)</f>
        <v>0</v>
      </c>
      <c r="Z439" s="2">
        <f xml:space="preserve"> IF(H439&gt;L439,(H439-L439)*INDEX('2018_commission_structure'!$A$11:$I$14,MATCH(Calculations!$E439,'2018_commission_structure'!$A$11:$A$14,0),MATCH(Calculations!Z$1,'2018_commission_structure'!$A$11:$I$11,0)),0)</f>
        <v>0</v>
      </c>
      <c r="AA439" s="7">
        <f t="shared" si="61"/>
        <v>142342.78</v>
      </c>
      <c r="AB439" s="7">
        <f t="shared" si="62"/>
        <v>259825.78</v>
      </c>
    </row>
    <row r="440" spans="1:28" x14ac:dyDescent="0.25">
      <c r="A440">
        <v>893122882</v>
      </c>
      <c r="B440" t="s">
        <v>1861</v>
      </c>
      <c r="C440" t="s">
        <v>1862</v>
      </c>
      <c r="D440" t="str">
        <f>B440&amp;" "&amp;C440</f>
        <v>Reeta Hildred</v>
      </c>
      <c r="E440" t="s">
        <v>10</v>
      </c>
      <c r="F440">
        <v>103112</v>
      </c>
      <c r="G440">
        <f>COUNTIF(deals_closed!D:D,Calculations!A440)</f>
        <v>20</v>
      </c>
      <c r="H440" s="2">
        <f>SUMIF(deals_closed!D:D,Calculations!A440,deals_closed!C:C)</f>
        <v>638133</v>
      </c>
      <c r="I440" s="2">
        <f>VLOOKUP(E440,'2018_commission_structure'!$A$11:$I$14,9,FALSE)</f>
        <v>750000</v>
      </c>
      <c r="J440" s="2">
        <f t="shared" si="54"/>
        <v>937500</v>
      </c>
      <c r="K440" s="2">
        <f t="shared" si="55"/>
        <v>1125000</v>
      </c>
      <c r="L440" s="2">
        <f t="shared" si="56"/>
        <v>1500000</v>
      </c>
      <c r="M440" s="6">
        <f t="shared" si="57"/>
        <v>0.85084400000000004</v>
      </c>
      <c r="N440" t="str">
        <f t="shared" si="58"/>
        <v>0-100%</v>
      </c>
      <c r="O440" s="7">
        <f>MIN(I440,H440)*INDEX('2018_commission_structure'!$A$11:$I$14,MATCH(Calculations!$E440,'2018_commission_structure'!$A$11:$A$14,0),MATCH(Calculations!O$1,'2018_commission_structure'!$A$11:$I$11,0))</f>
        <v>95719.95</v>
      </c>
      <c r="P440" s="7">
        <f>IF($H440&gt;I440,MIN($H440-I440,J440-I440)*INDEX('2018_commission_structure'!$A$11:$I$14,MATCH(Calculations!$E440,'2018_commission_structure'!$A$11:$A$14,0), MATCH(Calculations!P$1,'2018_commission_structure'!$A$11:$I$11,0)),0)</f>
        <v>0</v>
      </c>
      <c r="Q440" s="7">
        <f>IF($H440&gt;J440,MIN($H440-J440,K440-J440)*INDEX('2018_commission_structure'!$A$11:$I$14,MATCH(Calculations!$E440,'2018_commission_structure'!$A$11:$A$14,0), MATCH(Calculations!Q$1,'2018_commission_structure'!$A$11:$I$11,0)),0)</f>
        <v>0</v>
      </c>
      <c r="R440" s="7">
        <f>IF($H440&gt;K440,MIN($H440-K440,L440-K440)*INDEX('2018_commission_structure'!$A$11:$I$14,MATCH(Calculations!$E440,'2018_commission_structure'!$A$11:$A$14,0), MATCH(Calculations!R$1,'2018_commission_structure'!$A$11:$I$11,0)),0)</f>
        <v>0</v>
      </c>
      <c r="S440" s="7">
        <f>IF(H440&gt;L440,(H440-L440)*INDEX('2018_commission_structure'!$A$11:$I$14,MATCH(Calculations!$E440,'2018_commission_structure'!$A$11:$A$14,0),MATCH(Calculations!S$1,'2018_commission_structure'!$A$11:$I$11,0)),0)</f>
        <v>0</v>
      </c>
      <c r="T440" s="7">
        <f t="shared" si="59"/>
        <v>95719.95</v>
      </c>
      <c r="U440" s="7">
        <f t="shared" si="60"/>
        <v>198831.95</v>
      </c>
      <c r="V440" s="7">
        <f>MIN(H440,I440)*INDEX('2018_commission_structure'!$A$5:$J$8,MATCH(Calculations!$E440,'2018_commission_structure'!$A$5:$A$8,0),MATCH(Calculations!V$1,'2018_commission_structure'!$A$5:$J$5,0))</f>
        <v>95719.95</v>
      </c>
      <c r="W440" s="2">
        <f>IF($H440&gt;I440,MIN($H440-I440,J440-I440)*INDEX('2018_commission_structure'!$A$5:$J$8,MATCH(Calculations!$E440,'2018_commission_structure'!$A$5:$A$8,0),MATCH(Calculations!W$1,'2018_commission_structure'!$A$5:$J$5,0)),0)</f>
        <v>0</v>
      </c>
      <c r="X440" s="2">
        <f>IF($H440&gt;J440,MIN($H440-J440,K440-J440)*INDEX('2018_commission_structure'!$A$5:$J$8,MATCH(Calculations!$E440,'2018_commission_structure'!$A$5:$A$8,0),MATCH(Calculations!X$1,'2018_commission_structure'!$A$5:$J$5,0)),0)</f>
        <v>0</v>
      </c>
      <c r="Y440" s="2">
        <f>IF($H440&gt;K440,MIN($H440-K440,L440-K440)*INDEX('2018_commission_structure'!$A$5:$J$8,MATCH(Calculations!$E440,'2018_commission_structure'!$A$5:$A$8,0),MATCH(Calculations!Y$1,'2018_commission_structure'!$A$5:$J$5,0)),0)</f>
        <v>0</v>
      </c>
      <c r="Z440" s="2">
        <f xml:space="preserve"> IF(H440&gt;L440,(H440-L440)*INDEX('2018_commission_structure'!$A$11:$I$14,MATCH(Calculations!$E440,'2018_commission_structure'!$A$11:$A$14,0),MATCH(Calculations!Z$1,'2018_commission_structure'!$A$11:$I$11,0)),0)</f>
        <v>0</v>
      </c>
      <c r="AA440" s="7">
        <f t="shared" si="61"/>
        <v>95719.95</v>
      </c>
      <c r="AB440" s="7">
        <f t="shared" si="62"/>
        <v>198831.95</v>
      </c>
    </row>
    <row r="441" spans="1:28" x14ac:dyDescent="0.25">
      <c r="A441">
        <v>5764917026</v>
      </c>
      <c r="B441" t="s">
        <v>181</v>
      </c>
      <c r="C441" t="s">
        <v>182</v>
      </c>
      <c r="D441" t="str">
        <f>B441&amp;" "&amp;C441</f>
        <v>Trisha Hinchshaw</v>
      </c>
      <c r="E441" t="s">
        <v>7</v>
      </c>
      <c r="F441">
        <v>37046</v>
      </c>
      <c r="G441">
        <f>COUNTIF(deals_closed!D:D,Calculations!A441)</f>
        <v>21</v>
      </c>
      <c r="H441" s="2">
        <f>SUMIF(deals_closed!D:D,Calculations!A441,deals_closed!C:C)</f>
        <v>599671</v>
      </c>
      <c r="I441" s="2">
        <f>VLOOKUP(E441,'2018_commission_structure'!$A$11:$I$14,9,FALSE)</f>
        <v>500000</v>
      </c>
      <c r="J441" s="2">
        <f t="shared" si="54"/>
        <v>625000</v>
      </c>
      <c r="K441" s="2">
        <f t="shared" si="55"/>
        <v>750000</v>
      </c>
      <c r="L441" s="2">
        <f t="shared" si="56"/>
        <v>1000000</v>
      </c>
      <c r="M441" s="6">
        <f t="shared" si="57"/>
        <v>1.1993419999999999</v>
      </c>
      <c r="N441" t="str">
        <f t="shared" si="58"/>
        <v>100-125%</v>
      </c>
      <c r="O441" s="7">
        <f>MIN(I441,H441)*INDEX('2018_commission_structure'!$A$11:$I$14,MATCH(Calculations!$E441,'2018_commission_structure'!$A$11:$A$14,0),MATCH(Calculations!O$1,'2018_commission_structure'!$A$11:$I$11,0))</f>
        <v>50000</v>
      </c>
      <c r="P441" s="7">
        <f>IF($H441&gt;I441,MIN($H441-I441,J441-I441)*INDEX('2018_commission_structure'!$A$11:$I$14,MATCH(Calculations!$E441,'2018_commission_structure'!$A$11:$A$14,0), MATCH(Calculations!P$1,'2018_commission_structure'!$A$11:$I$11,0)),0)</f>
        <v>14950.65</v>
      </c>
      <c r="Q441" s="7">
        <f>IF($H441&gt;J441,MIN($H441-J441,K441-J441)*INDEX('2018_commission_structure'!$A$11:$I$14,MATCH(Calculations!$E441,'2018_commission_structure'!$A$11:$A$14,0), MATCH(Calculations!Q$1,'2018_commission_structure'!$A$11:$I$11,0)),0)</f>
        <v>0</v>
      </c>
      <c r="R441" s="7">
        <f>IF($H441&gt;K441,MIN($H441-K441,L441-K441)*INDEX('2018_commission_structure'!$A$11:$I$14,MATCH(Calculations!$E441,'2018_commission_structure'!$A$11:$A$14,0), MATCH(Calculations!R$1,'2018_commission_structure'!$A$11:$I$11,0)),0)</f>
        <v>0</v>
      </c>
      <c r="S441" s="7">
        <f>IF(H441&gt;L441,(H441-L441)*INDEX('2018_commission_structure'!$A$11:$I$14,MATCH(Calculations!$E441,'2018_commission_structure'!$A$11:$A$14,0),MATCH(Calculations!S$1,'2018_commission_structure'!$A$11:$I$11,0)),0)</f>
        <v>0</v>
      </c>
      <c r="T441" s="7">
        <f t="shared" si="59"/>
        <v>64950.65</v>
      </c>
      <c r="U441" s="7">
        <f t="shared" si="60"/>
        <v>101996.65</v>
      </c>
      <c r="V441" s="7">
        <f>MIN(H441,I441)*INDEX('2018_commission_structure'!$A$5:$J$8,MATCH(Calculations!$E441,'2018_commission_structure'!$A$5:$A$8,0),MATCH(Calculations!V$1,'2018_commission_structure'!$A$5:$J$5,0))</f>
        <v>60000</v>
      </c>
      <c r="W441" s="2">
        <f>IF($H441&gt;I441,MIN($H441-I441,J441-I441)*INDEX('2018_commission_structure'!$A$5:$J$8,MATCH(Calculations!$E441,'2018_commission_structure'!$A$5:$A$8,0),MATCH(Calculations!W$1,'2018_commission_structure'!$A$5:$J$5,0)),0)</f>
        <v>16944.07</v>
      </c>
      <c r="X441" s="2">
        <f>IF($H441&gt;J441,MIN($H441-J441,K441-J441)*INDEX('2018_commission_structure'!$A$5:$J$8,MATCH(Calculations!$E441,'2018_commission_structure'!$A$5:$A$8,0),MATCH(Calculations!X$1,'2018_commission_structure'!$A$5:$J$5,0)),0)</f>
        <v>0</v>
      </c>
      <c r="Y441" s="2">
        <f>IF($H441&gt;K441,MIN($H441-K441,L441-K441)*INDEX('2018_commission_structure'!$A$5:$J$8,MATCH(Calculations!$E441,'2018_commission_structure'!$A$5:$A$8,0),MATCH(Calculations!Y$1,'2018_commission_structure'!$A$5:$J$5,0)),0)</f>
        <v>0</v>
      </c>
      <c r="Z441" s="2">
        <f xml:space="preserve"> IF(H441&gt;L441,(H441-L441)*INDEX('2018_commission_structure'!$A$11:$I$14,MATCH(Calculations!$E441,'2018_commission_structure'!$A$11:$A$14,0),MATCH(Calculations!Z$1,'2018_commission_structure'!$A$11:$I$11,0)),0)</f>
        <v>0</v>
      </c>
      <c r="AA441" s="7">
        <f t="shared" si="61"/>
        <v>76944.070000000007</v>
      </c>
      <c r="AB441" s="7">
        <f t="shared" si="62"/>
        <v>113990.07</v>
      </c>
    </row>
    <row r="442" spans="1:28" x14ac:dyDescent="0.25">
      <c r="A442">
        <v>3806430489</v>
      </c>
      <c r="B442" t="s">
        <v>915</v>
      </c>
      <c r="C442" t="s">
        <v>916</v>
      </c>
      <c r="D442" t="str">
        <f>B442&amp;" "&amp;C442</f>
        <v>Darsey Hooban</v>
      </c>
      <c r="E442" t="s">
        <v>29</v>
      </c>
      <c r="F442">
        <v>72117</v>
      </c>
      <c r="G442">
        <f>COUNTIF(deals_closed!D:D,Calculations!A442)</f>
        <v>23</v>
      </c>
      <c r="H442" s="2">
        <f>SUMIF(deals_closed!D:D,Calculations!A442,deals_closed!C:C)</f>
        <v>795153</v>
      </c>
      <c r="I442" s="2">
        <f>VLOOKUP(E442,'2018_commission_structure'!$A$11:$I$14,9,FALSE)</f>
        <v>600000</v>
      </c>
      <c r="J442" s="2">
        <f t="shared" si="54"/>
        <v>750000</v>
      </c>
      <c r="K442" s="2">
        <f t="shared" si="55"/>
        <v>900000</v>
      </c>
      <c r="L442" s="2">
        <f t="shared" si="56"/>
        <v>1200000</v>
      </c>
      <c r="M442" s="6">
        <f t="shared" si="57"/>
        <v>1.3252550000000001</v>
      </c>
      <c r="N442" t="str">
        <f t="shared" si="58"/>
        <v>125-150%</v>
      </c>
      <c r="O442" s="7">
        <f>MIN(I442,H442)*INDEX('2018_commission_structure'!$A$11:$I$14,MATCH(Calculations!$E442,'2018_commission_structure'!$A$11:$A$14,0),MATCH(Calculations!O$1,'2018_commission_structure'!$A$11:$I$11,0))</f>
        <v>78000</v>
      </c>
      <c r="P442" s="7">
        <f>IF($H442&gt;I442,MIN($H442-I442,J442-I442)*INDEX('2018_commission_structure'!$A$11:$I$14,MATCH(Calculations!$E442,'2018_commission_structure'!$A$11:$A$14,0), MATCH(Calculations!P$1,'2018_commission_structure'!$A$11:$I$11,0)),0)</f>
        <v>25500.000000000004</v>
      </c>
      <c r="Q442" s="7">
        <f>IF($H442&gt;J442,MIN($H442-J442,K442-J442)*INDEX('2018_commission_structure'!$A$11:$I$14,MATCH(Calculations!$E442,'2018_commission_structure'!$A$11:$A$14,0), MATCH(Calculations!Q$1,'2018_commission_structure'!$A$11:$I$11,0)),0)</f>
        <v>9482.1299999999992</v>
      </c>
      <c r="R442" s="7">
        <f>IF($H442&gt;K442,MIN($H442-K442,L442-K442)*INDEX('2018_commission_structure'!$A$11:$I$14,MATCH(Calculations!$E442,'2018_commission_structure'!$A$11:$A$14,0), MATCH(Calculations!R$1,'2018_commission_structure'!$A$11:$I$11,0)),0)</f>
        <v>0</v>
      </c>
      <c r="S442" s="7">
        <f>IF(H442&gt;L442,(H442-L442)*INDEX('2018_commission_structure'!$A$11:$I$14,MATCH(Calculations!$E442,'2018_commission_structure'!$A$11:$A$14,0),MATCH(Calculations!S$1,'2018_commission_structure'!$A$11:$I$11,0)),0)</f>
        <v>0</v>
      </c>
      <c r="T442" s="7">
        <f t="shared" si="59"/>
        <v>112982.13</v>
      </c>
      <c r="U442" s="7">
        <f t="shared" si="60"/>
        <v>185099.13</v>
      </c>
      <c r="V442" s="7">
        <f>MIN(H442,I442)*INDEX('2018_commission_structure'!$A$5:$J$8,MATCH(Calculations!$E442,'2018_commission_structure'!$A$5:$A$8,0),MATCH(Calculations!V$1,'2018_commission_structure'!$A$5:$J$5,0))</f>
        <v>90000</v>
      </c>
      <c r="W442" s="2">
        <f>IF($H442&gt;I442,MIN($H442-I442,J442-I442)*INDEX('2018_commission_structure'!$A$5:$J$8,MATCH(Calculations!$E442,'2018_commission_structure'!$A$5:$A$8,0),MATCH(Calculations!W$1,'2018_commission_structure'!$A$5:$J$5,0)),0)</f>
        <v>27000</v>
      </c>
      <c r="X442" s="2">
        <f>IF($H442&gt;J442,MIN($H442-J442,K442-J442)*INDEX('2018_commission_structure'!$A$5:$J$8,MATCH(Calculations!$E442,'2018_commission_structure'!$A$5:$A$8,0),MATCH(Calculations!X$1,'2018_commission_structure'!$A$5:$J$5,0)),0)</f>
        <v>11288.25</v>
      </c>
      <c r="Y442" s="2">
        <f>IF($H442&gt;K442,MIN($H442-K442,L442-K442)*INDEX('2018_commission_structure'!$A$5:$J$8,MATCH(Calculations!$E442,'2018_commission_structure'!$A$5:$A$8,0),MATCH(Calculations!Y$1,'2018_commission_structure'!$A$5:$J$5,0)),0)</f>
        <v>0</v>
      </c>
      <c r="Z442" s="2">
        <f xml:space="preserve"> IF(H442&gt;L442,(H442-L442)*INDEX('2018_commission_structure'!$A$11:$I$14,MATCH(Calculations!$E442,'2018_commission_structure'!$A$11:$A$14,0),MATCH(Calculations!Z$1,'2018_commission_structure'!$A$11:$I$11,0)),0)</f>
        <v>0</v>
      </c>
      <c r="AA442" s="7">
        <f t="shared" si="61"/>
        <v>128288.25</v>
      </c>
      <c r="AB442" s="7">
        <f t="shared" si="62"/>
        <v>200405.25</v>
      </c>
    </row>
    <row r="443" spans="1:28" x14ac:dyDescent="0.25">
      <c r="A443">
        <v>8267733809</v>
      </c>
      <c r="B443" t="s">
        <v>1223</v>
      </c>
      <c r="C443" t="s">
        <v>1224</v>
      </c>
      <c r="D443" t="str">
        <f>B443&amp;" "&amp;C443</f>
        <v>Abram Hopfer</v>
      </c>
      <c r="E443" t="s">
        <v>7</v>
      </c>
      <c r="F443">
        <v>41928</v>
      </c>
      <c r="G443">
        <f>COUNTIF(deals_closed!D:D,Calculations!A443)</f>
        <v>18</v>
      </c>
      <c r="H443" s="2">
        <f>SUMIF(deals_closed!D:D,Calculations!A443,deals_closed!C:C)</f>
        <v>638085</v>
      </c>
      <c r="I443" s="2">
        <f>VLOOKUP(E443,'2018_commission_structure'!$A$11:$I$14,9,FALSE)</f>
        <v>500000</v>
      </c>
      <c r="J443" s="2">
        <f t="shared" si="54"/>
        <v>625000</v>
      </c>
      <c r="K443" s="2">
        <f t="shared" si="55"/>
        <v>750000</v>
      </c>
      <c r="L443" s="2">
        <f t="shared" si="56"/>
        <v>1000000</v>
      </c>
      <c r="M443" s="6">
        <f t="shared" si="57"/>
        <v>1.27617</v>
      </c>
      <c r="N443" t="str">
        <f t="shared" si="58"/>
        <v>125-150%</v>
      </c>
      <c r="O443" s="7">
        <f>MIN(I443,H443)*INDEX('2018_commission_structure'!$A$11:$I$14,MATCH(Calculations!$E443,'2018_commission_structure'!$A$11:$A$14,0),MATCH(Calculations!O$1,'2018_commission_structure'!$A$11:$I$11,0))</f>
        <v>50000</v>
      </c>
      <c r="P443" s="7">
        <f>IF($H443&gt;I443,MIN($H443-I443,J443-I443)*INDEX('2018_commission_structure'!$A$11:$I$14,MATCH(Calculations!$E443,'2018_commission_structure'!$A$11:$A$14,0), MATCH(Calculations!P$1,'2018_commission_structure'!$A$11:$I$11,0)),0)</f>
        <v>18750</v>
      </c>
      <c r="Q443" s="7">
        <f>IF($H443&gt;J443,MIN($H443-J443,K443-J443)*INDEX('2018_commission_structure'!$A$11:$I$14,MATCH(Calculations!$E443,'2018_commission_structure'!$A$11:$A$14,0), MATCH(Calculations!Q$1,'2018_commission_structure'!$A$11:$I$11,0)),0)</f>
        <v>2355.2999999999997</v>
      </c>
      <c r="R443" s="7">
        <f>IF($H443&gt;K443,MIN($H443-K443,L443-K443)*INDEX('2018_commission_structure'!$A$11:$I$14,MATCH(Calculations!$E443,'2018_commission_structure'!$A$11:$A$14,0), MATCH(Calculations!R$1,'2018_commission_structure'!$A$11:$I$11,0)),0)</f>
        <v>0</v>
      </c>
      <c r="S443" s="7">
        <f>IF(H443&gt;L443,(H443-L443)*INDEX('2018_commission_structure'!$A$11:$I$14,MATCH(Calculations!$E443,'2018_commission_structure'!$A$11:$A$14,0),MATCH(Calculations!S$1,'2018_commission_structure'!$A$11:$I$11,0)),0)</f>
        <v>0</v>
      </c>
      <c r="T443" s="7">
        <f t="shared" si="59"/>
        <v>71105.3</v>
      </c>
      <c r="U443" s="7">
        <f t="shared" si="60"/>
        <v>113033.3</v>
      </c>
      <c r="V443" s="7">
        <f>MIN(H443,I443)*INDEX('2018_commission_structure'!$A$5:$J$8,MATCH(Calculations!$E443,'2018_commission_structure'!$A$5:$A$8,0),MATCH(Calculations!V$1,'2018_commission_structure'!$A$5:$J$5,0))</f>
        <v>60000</v>
      </c>
      <c r="W443" s="2">
        <f>IF($H443&gt;I443,MIN($H443-I443,J443-I443)*INDEX('2018_commission_structure'!$A$5:$J$8,MATCH(Calculations!$E443,'2018_commission_structure'!$A$5:$A$8,0),MATCH(Calculations!W$1,'2018_commission_structure'!$A$5:$J$5,0)),0)</f>
        <v>21250</v>
      </c>
      <c r="X443" s="2">
        <f>IF($H443&gt;J443,MIN($H443-J443,K443-J443)*INDEX('2018_commission_structure'!$A$5:$J$8,MATCH(Calculations!$E443,'2018_commission_structure'!$A$5:$A$8,0),MATCH(Calculations!X$1,'2018_commission_structure'!$A$5:$J$5,0)),0)</f>
        <v>2617</v>
      </c>
      <c r="Y443" s="2">
        <f>IF($H443&gt;K443,MIN($H443-K443,L443-K443)*INDEX('2018_commission_structure'!$A$5:$J$8,MATCH(Calculations!$E443,'2018_commission_structure'!$A$5:$A$8,0),MATCH(Calculations!Y$1,'2018_commission_structure'!$A$5:$J$5,0)),0)</f>
        <v>0</v>
      </c>
      <c r="Z443" s="2">
        <f xml:space="preserve"> IF(H443&gt;L443,(H443-L443)*INDEX('2018_commission_structure'!$A$11:$I$14,MATCH(Calculations!$E443,'2018_commission_structure'!$A$11:$A$14,0),MATCH(Calculations!Z$1,'2018_commission_structure'!$A$11:$I$11,0)),0)</f>
        <v>0</v>
      </c>
      <c r="AA443" s="7">
        <f t="shared" si="61"/>
        <v>83867</v>
      </c>
      <c r="AB443" s="7">
        <f t="shared" si="62"/>
        <v>125795</v>
      </c>
    </row>
    <row r="444" spans="1:28" x14ac:dyDescent="0.25">
      <c r="A444">
        <v>9008589443</v>
      </c>
      <c r="B444" t="s">
        <v>1653</v>
      </c>
      <c r="C444" t="s">
        <v>1654</v>
      </c>
      <c r="D444" t="str">
        <f>B444&amp;" "&amp;C444</f>
        <v>Mellicent Hopkyns</v>
      </c>
      <c r="E444" t="s">
        <v>29</v>
      </c>
      <c r="F444">
        <v>77458</v>
      </c>
      <c r="G444">
        <f>COUNTIF(deals_closed!D:D,Calculations!A444)</f>
        <v>18</v>
      </c>
      <c r="H444" s="2">
        <f>SUMIF(deals_closed!D:D,Calculations!A444,deals_closed!C:C)</f>
        <v>620204</v>
      </c>
      <c r="I444" s="2">
        <f>VLOOKUP(E444,'2018_commission_structure'!$A$11:$I$14,9,FALSE)</f>
        <v>600000</v>
      </c>
      <c r="J444" s="2">
        <f t="shared" si="54"/>
        <v>750000</v>
      </c>
      <c r="K444" s="2">
        <f t="shared" si="55"/>
        <v>900000</v>
      </c>
      <c r="L444" s="2">
        <f t="shared" si="56"/>
        <v>1200000</v>
      </c>
      <c r="M444" s="6">
        <f t="shared" si="57"/>
        <v>1.0336733333333334</v>
      </c>
      <c r="N444" t="str">
        <f t="shared" si="58"/>
        <v>100-125%</v>
      </c>
      <c r="O444" s="7">
        <f>MIN(I444,H444)*INDEX('2018_commission_structure'!$A$11:$I$14,MATCH(Calculations!$E444,'2018_commission_structure'!$A$11:$A$14,0),MATCH(Calculations!O$1,'2018_commission_structure'!$A$11:$I$11,0))</f>
        <v>78000</v>
      </c>
      <c r="P444" s="7">
        <f>IF($H444&gt;I444,MIN($H444-I444,J444-I444)*INDEX('2018_commission_structure'!$A$11:$I$14,MATCH(Calculations!$E444,'2018_commission_structure'!$A$11:$A$14,0), MATCH(Calculations!P$1,'2018_commission_structure'!$A$11:$I$11,0)),0)</f>
        <v>3434.6800000000003</v>
      </c>
      <c r="Q444" s="7">
        <f>IF($H444&gt;J444,MIN($H444-J444,K444-J444)*INDEX('2018_commission_structure'!$A$11:$I$14,MATCH(Calculations!$E444,'2018_commission_structure'!$A$11:$A$14,0), MATCH(Calculations!Q$1,'2018_commission_structure'!$A$11:$I$11,0)),0)</f>
        <v>0</v>
      </c>
      <c r="R444" s="7">
        <f>IF($H444&gt;K444,MIN($H444-K444,L444-K444)*INDEX('2018_commission_structure'!$A$11:$I$14,MATCH(Calculations!$E444,'2018_commission_structure'!$A$11:$A$14,0), MATCH(Calculations!R$1,'2018_commission_structure'!$A$11:$I$11,0)),0)</f>
        <v>0</v>
      </c>
      <c r="S444" s="7">
        <f>IF(H444&gt;L444,(H444-L444)*INDEX('2018_commission_structure'!$A$11:$I$14,MATCH(Calculations!$E444,'2018_commission_structure'!$A$11:$A$14,0),MATCH(Calculations!S$1,'2018_commission_structure'!$A$11:$I$11,0)),0)</f>
        <v>0</v>
      </c>
      <c r="T444" s="7">
        <f t="shared" si="59"/>
        <v>81434.679999999993</v>
      </c>
      <c r="U444" s="7">
        <f t="shared" si="60"/>
        <v>158892.68</v>
      </c>
      <c r="V444" s="7">
        <f>MIN(H444,I444)*INDEX('2018_commission_structure'!$A$5:$J$8,MATCH(Calculations!$E444,'2018_commission_structure'!$A$5:$A$8,0),MATCH(Calculations!V$1,'2018_commission_structure'!$A$5:$J$5,0))</f>
        <v>90000</v>
      </c>
      <c r="W444" s="2">
        <f>IF($H444&gt;I444,MIN($H444-I444,J444-I444)*INDEX('2018_commission_structure'!$A$5:$J$8,MATCH(Calculations!$E444,'2018_commission_structure'!$A$5:$A$8,0),MATCH(Calculations!W$1,'2018_commission_structure'!$A$5:$J$5,0)),0)</f>
        <v>3636.72</v>
      </c>
      <c r="X444" s="2">
        <f>IF($H444&gt;J444,MIN($H444-J444,K444-J444)*INDEX('2018_commission_structure'!$A$5:$J$8,MATCH(Calculations!$E444,'2018_commission_structure'!$A$5:$A$8,0),MATCH(Calculations!X$1,'2018_commission_structure'!$A$5:$J$5,0)),0)</f>
        <v>0</v>
      </c>
      <c r="Y444" s="2">
        <f>IF($H444&gt;K444,MIN($H444-K444,L444-K444)*INDEX('2018_commission_structure'!$A$5:$J$8,MATCH(Calculations!$E444,'2018_commission_structure'!$A$5:$A$8,0),MATCH(Calculations!Y$1,'2018_commission_structure'!$A$5:$J$5,0)),0)</f>
        <v>0</v>
      </c>
      <c r="Z444" s="2">
        <f xml:space="preserve"> IF(H444&gt;L444,(H444-L444)*INDEX('2018_commission_structure'!$A$11:$I$14,MATCH(Calculations!$E444,'2018_commission_structure'!$A$11:$A$14,0),MATCH(Calculations!Z$1,'2018_commission_structure'!$A$11:$I$11,0)),0)</f>
        <v>0</v>
      </c>
      <c r="AA444" s="7">
        <f t="shared" si="61"/>
        <v>93636.72</v>
      </c>
      <c r="AB444" s="7">
        <f t="shared" si="62"/>
        <v>171094.72</v>
      </c>
    </row>
    <row r="445" spans="1:28" x14ac:dyDescent="0.25">
      <c r="A445">
        <v>37593587</v>
      </c>
      <c r="B445" t="s">
        <v>1529</v>
      </c>
      <c r="C445" t="s">
        <v>1530</v>
      </c>
      <c r="D445" t="str">
        <f>B445&amp;" "&amp;C445</f>
        <v>Antonella Horrod</v>
      </c>
      <c r="E445" t="s">
        <v>10</v>
      </c>
      <c r="F445">
        <v>112138</v>
      </c>
      <c r="G445">
        <f>COUNTIF(deals_closed!D:D,Calculations!A445)</f>
        <v>21</v>
      </c>
      <c r="H445" s="2">
        <f>SUMIF(deals_closed!D:D,Calculations!A445,deals_closed!C:C)</f>
        <v>697983</v>
      </c>
      <c r="I445" s="2">
        <f>VLOOKUP(E445,'2018_commission_structure'!$A$11:$I$14,9,FALSE)</f>
        <v>750000</v>
      </c>
      <c r="J445" s="2">
        <f t="shared" si="54"/>
        <v>937500</v>
      </c>
      <c r="K445" s="2">
        <f t="shared" si="55"/>
        <v>1125000</v>
      </c>
      <c r="L445" s="2">
        <f t="shared" si="56"/>
        <v>1500000</v>
      </c>
      <c r="M445" s="6">
        <f t="shared" si="57"/>
        <v>0.93064400000000003</v>
      </c>
      <c r="N445" t="str">
        <f t="shared" si="58"/>
        <v>0-100%</v>
      </c>
      <c r="O445" s="7">
        <f>MIN(I445,H445)*INDEX('2018_commission_structure'!$A$11:$I$14,MATCH(Calculations!$E445,'2018_commission_structure'!$A$11:$A$14,0),MATCH(Calculations!O$1,'2018_commission_structure'!$A$11:$I$11,0))</f>
        <v>104697.45</v>
      </c>
      <c r="P445" s="7">
        <f>IF($H445&gt;I445,MIN($H445-I445,J445-I445)*INDEX('2018_commission_structure'!$A$11:$I$14,MATCH(Calculations!$E445,'2018_commission_structure'!$A$11:$A$14,0), MATCH(Calculations!P$1,'2018_commission_structure'!$A$11:$I$11,0)),0)</f>
        <v>0</v>
      </c>
      <c r="Q445" s="7">
        <f>IF($H445&gt;J445,MIN($H445-J445,K445-J445)*INDEX('2018_commission_structure'!$A$11:$I$14,MATCH(Calculations!$E445,'2018_commission_structure'!$A$11:$A$14,0), MATCH(Calculations!Q$1,'2018_commission_structure'!$A$11:$I$11,0)),0)</f>
        <v>0</v>
      </c>
      <c r="R445" s="7">
        <f>IF($H445&gt;K445,MIN($H445-K445,L445-K445)*INDEX('2018_commission_structure'!$A$11:$I$14,MATCH(Calculations!$E445,'2018_commission_structure'!$A$11:$A$14,0), MATCH(Calculations!R$1,'2018_commission_structure'!$A$11:$I$11,0)),0)</f>
        <v>0</v>
      </c>
      <c r="S445" s="7">
        <f>IF(H445&gt;L445,(H445-L445)*INDEX('2018_commission_structure'!$A$11:$I$14,MATCH(Calculations!$E445,'2018_commission_structure'!$A$11:$A$14,0),MATCH(Calculations!S$1,'2018_commission_structure'!$A$11:$I$11,0)),0)</f>
        <v>0</v>
      </c>
      <c r="T445" s="7">
        <f t="shared" si="59"/>
        <v>104697.45</v>
      </c>
      <c r="U445" s="7">
        <f t="shared" si="60"/>
        <v>216835.45</v>
      </c>
      <c r="V445" s="7">
        <f>MIN(H445,I445)*INDEX('2018_commission_structure'!$A$5:$J$8,MATCH(Calculations!$E445,'2018_commission_structure'!$A$5:$A$8,0),MATCH(Calculations!V$1,'2018_commission_structure'!$A$5:$J$5,0))</f>
        <v>104697.45</v>
      </c>
      <c r="W445" s="2">
        <f>IF($H445&gt;I445,MIN($H445-I445,J445-I445)*INDEX('2018_commission_structure'!$A$5:$J$8,MATCH(Calculations!$E445,'2018_commission_structure'!$A$5:$A$8,0),MATCH(Calculations!W$1,'2018_commission_structure'!$A$5:$J$5,0)),0)</f>
        <v>0</v>
      </c>
      <c r="X445" s="2">
        <f>IF($H445&gt;J445,MIN($H445-J445,K445-J445)*INDEX('2018_commission_structure'!$A$5:$J$8,MATCH(Calculations!$E445,'2018_commission_structure'!$A$5:$A$8,0),MATCH(Calculations!X$1,'2018_commission_structure'!$A$5:$J$5,0)),0)</f>
        <v>0</v>
      </c>
      <c r="Y445" s="2">
        <f>IF($H445&gt;K445,MIN($H445-K445,L445-K445)*INDEX('2018_commission_structure'!$A$5:$J$8,MATCH(Calculations!$E445,'2018_commission_structure'!$A$5:$A$8,0),MATCH(Calculations!Y$1,'2018_commission_structure'!$A$5:$J$5,0)),0)</f>
        <v>0</v>
      </c>
      <c r="Z445" s="2">
        <f xml:space="preserve"> IF(H445&gt;L445,(H445-L445)*INDEX('2018_commission_structure'!$A$11:$I$14,MATCH(Calculations!$E445,'2018_commission_structure'!$A$11:$A$14,0),MATCH(Calculations!Z$1,'2018_commission_structure'!$A$11:$I$11,0)),0)</f>
        <v>0</v>
      </c>
      <c r="AA445" s="7">
        <f t="shared" si="61"/>
        <v>104697.45</v>
      </c>
      <c r="AB445" s="7">
        <f t="shared" si="62"/>
        <v>216835.45</v>
      </c>
    </row>
    <row r="446" spans="1:28" x14ac:dyDescent="0.25">
      <c r="A446">
        <v>5588978080</v>
      </c>
      <c r="B446" t="s">
        <v>982</v>
      </c>
      <c r="C446" t="s">
        <v>983</v>
      </c>
      <c r="D446" t="str">
        <f>B446&amp;" "&amp;C446</f>
        <v>Letti Howarth</v>
      </c>
      <c r="E446" t="s">
        <v>29</v>
      </c>
      <c r="F446">
        <v>51565</v>
      </c>
      <c r="G446">
        <f>COUNTIF(deals_closed!D:D,Calculations!A446)</f>
        <v>23</v>
      </c>
      <c r="H446" s="2">
        <f>SUMIF(deals_closed!D:D,Calculations!A446,deals_closed!C:C)</f>
        <v>773302</v>
      </c>
      <c r="I446" s="2">
        <f>VLOOKUP(E446,'2018_commission_structure'!$A$11:$I$14,9,FALSE)</f>
        <v>600000</v>
      </c>
      <c r="J446" s="2">
        <f t="shared" si="54"/>
        <v>750000</v>
      </c>
      <c r="K446" s="2">
        <f t="shared" si="55"/>
        <v>900000</v>
      </c>
      <c r="L446" s="2">
        <f t="shared" si="56"/>
        <v>1200000</v>
      </c>
      <c r="M446" s="6">
        <f t="shared" si="57"/>
        <v>1.2888366666666666</v>
      </c>
      <c r="N446" t="str">
        <f t="shared" si="58"/>
        <v>125-150%</v>
      </c>
      <c r="O446" s="7">
        <f>MIN(I446,H446)*INDEX('2018_commission_structure'!$A$11:$I$14,MATCH(Calculations!$E446,'2018_commission_structure'!$A$11:$A$14,0),MATCH(Calculations!O$1,'2018_commission_structure'!$A$11:$I$11,0))</f>
        <v>78000</v>
      </c>
      <c r="P446" s="7">
        <f>IF($H446&gt;I446,MIN($H446-I446,J446-I446)*INDEX('2018_commission_structure'!$A$11:$I$14,MATCH(Calculations!$E446,'2018_commission_structure'!$A$11:$A$14,0), MATCH(Calculations!P$1,'2018_commission_structure'!$A$11:$I$11,0)),0)</f>
        <v>25500.000000000004</v>
      </c>
      <c r="Q446" s="7">
        <f>IF($H446&gt;J446,MIN($H446-J446,K446-J446)*INDEX('2018_commission_structure'!$A$11:$I$14,MATCH(Calculations!$E446,'2018_commission_structure'!$A$11:$A$14,0), MATCH(Calculations!Q$1,'2018_commission_structure'!$A$11:$I$11,0)),0)</f>
        <v>4893.42</v>
      </c>
      <c r="R446" s="7">
        <f>IF($H446&gt;K446,MIN($H446-K446,L446-K446)*INDEX('2018_commission_structure'!$A$11:$I$14,MATCH(Calculations!$E446,'2018_commission_structure'!$A$11:$A$14,0), MATCH(Calculations!R$1,'2018_commission_structure'!$A$11:$I$11,0)),0)</f>
        <v>0</v>
      </c>
      <c r="S446" s="7">
        <f>IF(H446&gt;L446,(H446-L446)*INDEX('2018_commission_structure'!$A$11:$I$14,MATCH(Calculations!$E446,'2018_commission_structure'!$A$11:$A$14,0),MATCH(Calculations!S$1,'2018_commission_structure'!$A$11:$I$11,0)),0)</f>
        <v>0</v>
      </c>
      <c r="T446" s="7">
        <f t="shared" si="59"/>
        <v>108393.42</v>
      </c>
      <c r="U446" s="7">
        <f t="shared" si="60"/>
        <v>159958.41999999998</v>
      </c>
      <c r="V446" s="7">
        <f>MIN(H446,I446)*INDEX('2018_commission_structure'!$A$5:$J$8,MATCH(Calculations!$E446,'2018_commission_structure'!$A$5:$A$8,0),MATCH(Calculations!V$1,'2018_commission_structure'!$A$5:$J$5,0))</f>
        <v>90000</v>
      </c>
      <c r="W446" s="2">
        <f>IF($H446&gt;I446,MIN($H446-I446,J446-I446)*INDEX('2018_commission_structure'!$A$5:$J$8,MATCH(Calculations!$E446,'2018_commission_structure'!$A$5:$A$8,0),MATCH(Calculations!W$1,'2018_commission_structure'!$A$5:$J$5,0)),0)</f>
        <v>27000</v>
      </c>
      <c r="X446" s="2">
        <f>IF($H446&gt;J446,MIN($H446-J446,K446-J446)*INDEX('2018_commission_structure'!$A$5:$J$8,MATCH(Calculations!$E446,'2018_commission_structure'!$A$5:$A$8,0),MATCH(Calculations!X$1,'2018_commission_structure'!$A$5:$J$5,0)),0)</f>
        <v>5825.5</v>
      </c>
      <c r="Y446" s="2">
        <f>IF($H446&gt;K446,MIN($H446-K446,L446-K446)*INDEX('2018_commission_structure'!$A$5:$J$8,MATCH(Calculations!$E446,'2018_commission_structure'!$A$5:$A$8,0),MATCH(Calculations!Y$1,'2018_commission_structure'!$A$5:$J$5,0)),0)</f>
        <v>0</v>
      </c>
      <c r="Z446" s="2">
        <f xml:space="preserve"> IF(H446&gt;L446,(H446-L446)*INDEX('2018_commission_structure'!$A$11:$I$14,MATCH(Calculations!$E446,'2018_commission_structure'!$A$11:$A$14,0),MATCH(Calculations!Z$1,'2018_commission_structure'!$A$11:$I$11,0)),0)</f>
        <v>0</v>
      </c>
      <c r="AA446" s="7">
        <f t="shared" si="61"/>
        <v>122825.5</v>
      </c>
      <c r="AB446" s="7">
        <f t="shared" si="62"/>
        <v>174390.5</v>
      </c>
    </row>
    <row r="447" spans="1:28" x14ac:dyDescent="0.25">
      <c r="A447">
        <v>9624054975</v>
      </c>
      <c r="B447" t="s">
        <v>131</v>
      </c>
      <c r="C447" t="s">
        <v>132</v>
      </c>
      <c r="D447" t="str">
        <f>B447&amp;" "&amp;C447</f>
        <v>Timmie Howis</v>
      </c>
      <c r="E447" t="s">
        <v>29</v>
      </c>
      <c r="F447">
        <v>73192</v>
      </c>
      <c r="G447">
        <f>COUNTIF(deals_closed!D:D,Calculations!A447)</f>
        <v>24</v>
      </c>
      <c r="H447" s="2">
        <f>SUMIF(deals_closed!D:D,Calculations!A447,deals_closed!C:C)</f>
        <v>911285</v>
      </c>
      <c r="I447" s="2">
        <f>VLOOKUP(E447,'2018_commission_structure'!$A$11:$I$14,9,FALSE)</f>
        <v>600000</v>
      </c>
      <c r="J447" s="2">
        <f t="shared" si="54"/>
        <v>750000</v>
      </c>
      <c r="K447" s="2">
        <f t="shared" si="55"/>
        <v>900000</v>
      </c>
      <c r="L447" s="2">
        <f t="shared" si="56"/>
        <v>1200000</v>
      </c>
      <c r="M447" s="6">
        <f t="shared" si="57"/>
        <v>1.5188083333333333</v>
      </c>
      <c r="N447" t="str">
        <f t="shared" si="58"/>
        <v>150-200%</v>
      </c>
      <c r="O447" s="7">
        <f>MIN(I447,H447)*INDEX('2018_commission_structure'!$A$11:$I$14,MATCH(Calculations!$E447,'2018_commission_structure'!$A$11:$A$14,0),MATCH(Calculations!O$1,'2018_commission_structure'!$A$11:$I$11,0))</f>
        <v>78000</v>
      </c>
      <c r="P447" s="7">
        <f>IF($H447&gt;I447,MIN($H447-I447,J447-I447)*INDEX('2018_commission_structure'!$A$11:$I$14,MATCH(Calculations!$E447,'2018_commission_structure'!$A$11:$A$14,0), MATCH(Calculations!P$1,'2018_commission_structure'!$A$11:$I$11,0)),0)</f>
        <v>25500.000000000004</v>
      </c>
      <c r="Q447" s="7">
        <f>IF($H447&gt;J447,MIN($H447-J447,K447-J447)*INDEX('2018_commission_structure'!$A$11:$I$14,MATCH(Calculations!$E447,'2018_commission_structure'!$A$11:$A$14,0), MATCH(Calculations!Q$1,'2018_commission_structure'!$A$11:$I$11,0)),0)</f>
        <v>31500</v>
      </c>
      <c r="R447" s="7">
        <f>IF($H447&gt;K447,MIN($H447-K447,L447-K447)*INDEX('2018_commission_structure'!$A$11:$I$14,MATCH(Calculations!$E447,'2018_commission_structure'!$A$11:$A$14,0), MATCH(Calculations!R$1,'2018_commission_structure'!$A$11:$I$11,0)),0)</f>
        <v>2934.1</v>
      </c>
      <c r="S447" s="7">
        <f>IF(H447&gt;L447,(H447-L447)*INDEX('2018_commission_structure'!$A$11:$I$14,MATCH(Calculations!$E447,'2018_commission_structure'!$A$11:$A$14,0),MATCH(Calculations!S$1,'2018_commission_structure'!$A$11:$I$11,0)),0)</f>
        <v>0</v>
      </c>
      <c r="T447" s="7">
        <f t="shared" si="59"/>
        <v>137934.1</v>
      </c>
      <c r="U447" s="7">
        <f t="shared" si="60"/>
        <v>211126.1</v>
      </c>
      <c r="V447" s="7">
        <f>MIN(H447,I447)*INDEX('2018_commission_structure'!$A$5:$J$8,MATCH(Calculations!$E447,'2018_commission_structure'!$A$5:$A$8,0),MATCH(Calculations!V$1,'2018_commission_structure'!$A$5:$J$5,0))</f>
        <v>90000</v>
      </c>
      <c r="W447" s="2">
        <f>IF($H447&gt;I447,MIN($H447-I447,J447-I447)*INDEX('2018_commission_structure'!$A$5:$J$8,MATCH(Calculations!$E447,'2018_commission_structure'!$A$5:$A$8,0),MATCH(Calculations!W$1,'2018_commission_structure'!$A$5:$J$5,0)),0)</f>
        <v>27000</v>
      </c>
      <c r="X447" s="2">
        <f>IF($H447&gt;J447,MIN($H447-J447,K447-J447)*INDEX('2018_commission_structure'!$A$5:$J$8,MATCH(Calculations!$E447,'2018_commission_structure'!$A$5:$A$8,0),MATCH(Calculations!X$1,'2018_commission_structure'!$A$5:$J$5,0)),0)</f>
        <v>37500</v>
      </c>
      <c r="Y447" s="2">
        <f>IF($H447&gt;K447,MIN($H447-K447,L447-K447)*INDEX('2018_commission_structure'!$A$5:$J$8,MATCH(Calculations!$E447,'2018_commission_structure'!$A$5:$A$8,0),MATCH(Calculations!Y$1,'2018_commission_structure'!$A$5:$J$5,0)),0)</f>
        <v>3385.5</v>
      </c>
      <c r="Z447" s="2">
        <f xml:space="preserve"> IF(H447&gt;L447,(H447-L447)*INDEX('2018_commission_structure'!$A$11:$I$14,MATCH(Calculations!$E447,'2018_commission_structure'!$A$11:$A$14,0),MATCH(Calculations!Z$1,'2018_commission_structure'!$A$11:$I$11,0)),0)</f>
        <v>0</v>
      </c>
      <c r="AA447" s="7">
        <f t="shared" si="61"/>
        <v>157885.5</v>
      </c>
      <c r="AB447" s="7">
        <f t="shared" si="62"/>
        <v>231077.5</v>
      </c>
    </row>
    <row r="448" spans="1:28" x14ac:dyDescent="0.25">
      <c r="A448">
        <v>5439294325</v>
      </c>
      <c r="B448" t="s">
        <v>1293</v>
      </c>
      <c r="C448" t="s">
        <v>132</v>
      </c>
      <c r="D448" t="str">
        <f>B448&amp;" "&amp;C448</f>
        <v>Carri Howis</v>
      </c>
      <c r="E448" t="s">
        <v>10</v>
      </c>
      <c r="F448">
        <v>94605</v>
      </c>
      <c r="G448">
        <f>COUNTIF(deals_closed!D:D,Calculations!A448)</f>
        <v>23</v>
      </c>
      <c r="H448" s="2">
        <f>SUMIF(deals_closed!D:D,Calculations!A448,deals_closed!C:C)</f>
        <v>732680</v>
      </c>
      <c r="I448" s="2">
        <f>VLOOKUP(E448,'2018_commission_structure'!$A$11:$I$14,9,FALSE)</f>
        <v>750000</v>
      </c>
      <c r="J448" s="2">
        <f t="shared" si="54"/>
        <v>937500</v>
      </c>
      <c r="K448" s="2">
        <f t="shared" si="55"/>
        <v>1125000</v>
      </c>
      <c r="L448" s="2">
        <f t="shared" si="56"/>
        <v>1500000</v>
      </c>
      <c r="M448" s="6">
        <f t="shared" si="57"/>
        <v>0.9769066666666667</v>
      </c>
      <c r="N448" t="str">
        <f t="shared" si="58"/>
        <v>0-100%</v>
      </c>
      <c r="O448" s="7">
        <f>MIN(I448,H448)*INDEX('2018_commission_structure'!$A$11:$I$14,MATCH(Calculations!$E448,'2018_commission_structure'!$A$11:$A$14,0),MATCH(Calculations!O$1,'2018_commission_structure'!$A$11:$I$11,0))</f>
        <v>109902</v>
      </c>
      <c r="P448" s="7">
        <f>IF($H448&gt;I448,MIN($H448-I448,J448-I448)*INDEX('2018_commission_structure'!$A$11:$I$14,MATCH(Calculations!$E448,'2018_commission_structure'!$A$11:$A$14,0), MATCH(Calculations!P$1,'2018_commission_structure'!$A$11:$I$11,0)),0)</f>
        <v>0</v>
      </c>
      <c r="Q448" s="7">
        <f>IF($H448&gt;J448,MIN($H448-J448,K448-J448)*INDEX('2018_commission_structure'!$A$11:$I$14,MATCH(Calculations!$E448,'2018_commission_structure'!$A$11:$A$14,0), MATCH(Calculations!Q$1,'2018_commission_structure'!$A$11:$I$11,0)),0)</f>
        <v>0</v>
      </c>
      <c r="R448" s="7">
        <f>IF($H448&gt;K448,MIN($H448-K448,L448-K448)*INDEX('2018_commission_structure'!$A$11:$I$14,MATCH(Calculations!$E448,'2018_commission_structure'!$A$11:$A$14,0), MATCH(Calculations!R$1,'2018_commission_structure'!$A$11:$I$11,0)),0)</f>
        <v>0</v>
      </c>
      <c r="S448" s="7">
        <f>IF(H448&gt;L448,(H448-L448)*INDEX('2018_commission_structure'!$A$11:$I$14,MATCH(Calculations!$E448,'2018_commission_structure'!$A$11:$A$14,0),MATCH(Calculations!S$1,'2018_commission_structure'!$A$11:$I$11,0)),0)</f>
        <v>0</v>
      </c>
      <c r="T448" s="7">
        <f t="shared" si="59"/>
        <v>109902</v>
      </c>
      <c r="U448" s="7">
        <f t="shared" si="60"/>
        <v>204507</v>
      </c>
      <c r="V448" s="7">
        <f>MIN(H448,I448)*INDEX('2018_commission_structure'!$A$5:$J$8,MATCH(Calculations!$E448,'2018_commission_structure'!$A$5:$A$8,0),MATCH(Calculations!V$1,'2018_commission_structure'!$A$5:$J$5,0))</f>
        <v>109902</v>
      </c>
      <c r="W448" s="2">
        <f>IF($H448&gt;I448,MIN($H448-I448,J448-I448)*INDEX('2018_commission_structure'!$A$5:$J$8,MATCH(Calculations!$E448,'2018_commission_structure'!$A$5:$A$8,0),MATCH(Calculations!W$1,'2018_commission_structure'!$A$5:$J$5,0)),0)</f>
        <v>0</v>
      </c>
      <c r="X448" s="2">
        <f>IF($H448&gt;J448,MIN($H448-J448,K448-J448)*INDEX('2018_commission_structure'!$A$5:$J$8,MATCH(Calculations!$E448,'2018_commission_structure'!$A$5:$A$8,0),MATCH(Calculations!X$1,'2018_commission_structure'!$A$5:$J$5,0)),0)</f>
        <v>0</v>
      </c>
      <c r="Y448" s="2">
        <f>IF($H448&gt;K448,MIN($H448-K448,L448-K448)*INDEX('2018_commission_structure'!$A$5:$J$8,MATCH(Calculations!$E448,'2018_commission_structure'!$A$5:$A$8,0),MATCH(Calculations!Y$1,'2018_commission_structure'!$A$5:$J$5,0)),0)</f>
        <v>0</v>
      </c>
      <c r="Z448" s="2">
        <f xml:space="preserve"> IF(H448&gt;L448,(H448-L448)*INDEX('2018_commission_structure'!$A$11:$I$14,MATCH(Calculations!$E448,'2018_commission_structure'!$A$11:$A$14,0),MATCH(Calculations!Z$1,'2018_commission_structure'!$A$11:$I$11,0)),0)</f>
        <v>0</v>
      </c>
      <c r="AA448" s="7">
        <f t="shared" si="61"/>
        <v>109902</v>
      </c>
      <c r="AB448" s="7">
        <f t="shared" si="62"/>
        <v>204507</v>
      </c>
    </row>
    <row r="449" spans="1:28" x14ac:dyDescent="0.25">
      <c r="A449">
        <v>2378102658</v>
      </c>
      <c r="B449" t="s">
        <v>805</v>
      </c>
      <c r="C449" t="s">
        <v>806</v>
      </c>
      <c r="D449" t="str">
        <f>B449&amp;" "&amp;C449</f>
        <v>Teresina Howling</v>
      </c>
      <c r="E449" t="s">
        <v>7</v>
      </c>
      <c r="F449">
        <v>32554</v>
      </c>
      <c r="G449">
        <f>COUNTIF(deals_closed!D:D,Calculations!A449)</f>
        <v>11</v>
      </c>
      <c r="H449" s="2">
        <f>SUMIF(deals_closed!D:D,Calculations!A449,deals_closed!C:C)</f>
        <v>298334</v>
      </c>
      <c r="I449" s="2">
        <f>VLOOKUP(E449,'2018_commission_structure'!$A$11:$I$14,9,FALSE)</f>
        <v>500000</v>
      </c>
      <c r="J449" s="2">
        <f t="shared" si="54"/>
        <v>625000</v>
      </c>
      <c r="K449" s="2">
        <f t="shared" si="55"/>
        <v>750000</v>
      </c>
      <c r="L449" s="2">
        <f t="shared" si="56"/>
        <v>1000000</v>
      </c>
      <c r="M449" s="6">
        <f t="shared" si="57"/>
        <v>0.59666799999999998</v>
      </c>
      <c r="N449" t="str">
        <f t="shared" si="58"/>
        <v>0-100%</v>
      </c>
      <c r="O449" s="7">
        <f>MIN(I449,H449)*INDEX('2018_commission_structure'!$A$11:$I$14,MATCH(Calculations!$E449,'2018_commission_structure'!$A$11:$A$14,0),MATCH(Calculations!O$1,'2018_commission_structure'!$A$11:$I$11,0))</f>
        <v>29833.4</v>
      </c>
      <c r="P449" s="7">
        <f>IF($H449&gt;I449,MIN($H449-I449,J449-I449)*INDEX('2018_commission_structure'!$A$11:$I$14,MATCH(Calculations!$E449,'2018_commission_structure'!$A$11:$A$14,0), MATCH(Calculations!P$1,'2018_commission_structure'!$A$11:$I$11,0)),0)</f>
        <v>0</v>
      </c>
      <c r="Q449" s="7">
        <f>IF($H449&gt;J449,MIN($H449-J449,K449-J449)*INDEX('2018_commission_structure'!$A$11:$I$14,MATCH(Calculations!$E449,'2018_commission_structure'!$A$11:$A$14,0), MATCH(Calculations!Q$1,'2018_commission_structure'!$A$11:$I$11,0)),0)</f>
        <v>0</v>
      </c>
      <c r="R449" s="7">
        <f>IF($H449&gt;K449,MIN($H449-K449,L449-K449)*INDEX('2018_commission_structure'!$A$11:$I$14,MATCH(Calculations!$E449,'2018_commission_structure'!$A$11:$A$14,0), MATCH(Calculations!R$1,'2018_commission_structure'!$A$11:$I$11,0)),0)</f>
        <v>0</v>
      </c>
      <c r="S449" s="7">
        <f>IF(H449&gt;L449,(H449-L449)*INDEX('2018_commission_structure'!$A$11:$I$14,MATCH(Calculations!$E449,'2018_commission_structure'!$A$11:$A$14,0),MATCH(Calculations!S$1,'2018_commission_structure'!$A$11:$I$11,0)),0)</f>
        <v>0</v>
      </c>
      <c r="T449" s="7">
        <f t="shared" si="59"/>
        <v>29833.4</v>
      </c>
      <c r="U449" s="7">
        <f t="shared" si="60"/>
        <v>62387.4</v>
      </c>
      <c r="V449" s="7">
        <f>MIN(H449,I449)*INDEX('2018_commission_structure'!$A$5:$J$8,MATCH(Calculations!$E449,'2018_commission_structure'!$A$5:$A$8,0),MATCH(Calculations!V$1,'2018_commission_structure'!$A$5:$J$5,0))</f>
        <v>35800.080000000002</v>
      </c>
      <c r="W449" s="2">
        <f>IF($H449&gt;I449,MIN($H449-I449,J449-I449)*INDEX('2018_commission_structure'!$A$5:$J$8,MATCH(Calculations!$E449,'2018_commission_structure'!$A$5:$A$8,0),MATCH(Calculations!W$1,'2018_commission_structure'!$A$5:$J$5,0)),0)</f>
        <v>0</v>
      </c>
      <c r="X449" s="2">
        <f>IF($H449&gt;J449,MIN($H449-J449,K449-J449)*INDEX('2018_commission_structure'!$A$5:$J$8,MATCH(Calculations!$E449,'2018_commission_structure'!$A$5:$A$8,0),MATCH(Calculations!X$1,'2018_commission_structure'!$A$5:$J$5,0)),0)</f>
        <v>0</v>
      </c>
      <c r="Y449" s="2">
        <f>IF($H449&gt;K449,MIN($H449-K449,L449-K449)*INDEX('2018_commission_structure'!$A$5:$J$8,MATCH(Calculations!$E449,'2018_commission_structure'!$A$5:$A$8,0),MATCH(Calculations!Y$1,'2018_commission_structure'!$A$5:$J$5,0)),0)</f>
        <v>0</v>
      </c>
      <c r="Z449" s="2">
        <f xml:space="preserve"> IF(H449&gt;L449,(H449-L449)*INDEX('2018_commission_structure'!$A$11:$I$14,MATCH(Calculations!$E449,'2018_commission_structure'!$A$11:$A$14,0),MATCH(Calculations!Z$1,'2018_commission_structure'!$A$11:$I$11,0)),0)</f>
        <v>0</v>
      </c>
      <c r="AA449" s="7">
        <f t="shared" si="61"/>
        <v>35800.080000000002</v>
      </c>
      <c r="AB449" s="7">
        <f t="shared" si="62"/>
        <v>68354.080000000002</v>
      </c>
    </row>
    <row r="450" spans="1:28" x14ac:dyDescent="0.25">
      <c r="A450">
        <v>2599557828</v>
      </c>
      <c r="B450" t="s">
        <v>1599</v>
      </c>
      <c r="C450" t="s">
        <v>1600</v>
      </c>
      <c r="D450" t="str">
        <f>B450&amp;" "&amp;C450</f>
        <v>Saunders Hubery</v>
      </c>
      <c r="E450" t="s">
        <v>29</v>
      </c>
      <c r="F450">
        <v>51532</v>
      </c>
      <c r="G450">
        <f>COUNTIF(deals_closed!D:D,Calculations!A450)</f>
        <v>20</v>
      </c>
      <c r="H450" s="2">
        <f>SUMIF(deals_closed!D:D,Calculations!A450,deals_closed!C:C)</f>
        <v>740914</v>
      </c>
      <c r="I450" s="2">
        <f>VLOOKUP(E450,'2018_commission_structure'!$A$11:$I$14,9,FALSE)</f>
        <v>600000</v>
      </c>
      <c r="J450" s="2">
        <f t="shared" ref="J450:J513" si="63">I450*1.25</f>
        <v>750000</v>
      </c>
      <c r="K450" s="2">
        <f t="shared" ref="K450:K513" si="64">I450*1.5</f>
        <v>900000</v>
      </c>
      <c r="L450" s="2">
        <f t="shared" ref="L450:L513" si="65">I450*2</f>
        <v>1200000</v>
      </c>
      <c r="M450" s="6">
        <f t="shared" ref="M450:M513" si="66">H450/I450</f>
        <v>1.2348566666666667</v>
      </c>
      <c r="N450" t="str">
        <f t="shared" ref="N450:N513" si="67">IF(M450&lt;=1, "0-100%", IF(M450&lt;=1.25, "100-125%", IF(M450&lt;=1.5, "125-150%", IF(M450&lt;=2, "150-200%", "&gt;200%"))))</f>
        <v>100-125%</v>
      </c>
      <c r="O450" s="7">
        <f>MIN(I450,H450)*INDEX('2018_commission_structure'!$A$11:$I$14,MATCH(Calculations!$E450,'2018_commission_structure'!$A$11:$A$14,0),MATCH(Calculations!O$1,'2018_commission_structure'!$A$11:$I$11,0))</f>
        <v>78000</v>
      </c>
      <c r="P450" s="7">
        <f>IF($H450&gt;I450,MIN($H450-I450,J450-I450)*INDEX('2018_commission_structure'!$A$11:$I$14,MATCH(Calculations!$E450,'2018_commission_structure'!$A$11:$A$14,0), MATCH(Calculations!P$1,'2018_commission_structure'!$A$11:$I$11,0)),0)</f>
        <v>23955.38</v>
      </c>
      <c r="Q450" s="7">
        <f>IF($H450&gt;J450,MIN($H450-J450,K450-J450)*INDEX('2018_commission_structure'!$A$11:$I$14,MATCH(Calculations!$E450,'2018_commission_structure'!$A$11:$A$14,0), MATCH(Calculations!Q$1,'2018_commission_structure'!$A$11:$I$11,0)),0)</f>
        <v>0</v>
      </c>
      <c r="R450" s="7">
        <f>IF($H450&gt;K450,MIN($H450-K450,L450-K450)*INDEX('2018_commission_structure'!$A$11:$I$14,MATCH(Calculations!$E450,'2018_commission_structure'!$A$11:$A$14,0), MATCH(Calculations!R$1,'2018_commission_structure'!$A$11:$I$11,0)),0)</f>
        <v>0</v>
      </c>
      <c r="S450" s="7">
        <f>IF(H450&gt;L450,(H450-L450)*INDEX('2018_commission_structure'!$A$11:$I$14,MATCH(Calculations!$E450,'2018_commission_structure'!$A$11:$A$14,0),MATCH(Calculations!S$1,'2018_commission_structure'!$A$11:$I$11,0)),0)</f>
        <v>0</v>
      </c>
      <c r="T450" s="7">
        <f t="shared" ref="T450:T513" si="68">SUM(O450:S450)</f>
        <v>101955.38</v>
      </c>
      <c r="U450" s="7">
        <f t="shared" ref="U450:U513" si="69">T450+F450</f>
        <v>153487.38</v>
      </c>
      <c r="V450" s="7">
        <f>MIN(H450,I450)*INDEX('2018_commission_structure'!$A$5:$J$8,MATCH(Calculations!$E450,'2018_commission_structure'!$A$5:$A$8,0),MATCH(Calculations!V$1,'2018_commission_structure'!$A$5:$J$5,0))</f>
        <v>90000</v>
      </c>
      <c r="W450" s="2">
        <f>IF($H450&gt;I450,MIN($H450-I450,J450-I450)*INDEX('2018_commission_structure'!$A$5:$J$8,MATCH(Calculations!$E450,'2018_commission_structure'!$A$5:$A$8,0),MATCH(Calculations!W$1,'2018_commission_structure'!$A$5:$J$5,0)),0)</f>
        <v>25364.52</v>
      </c>
      <c r="X450" s="2">
        <f>IF($H450&gt;J450,MIN($H450-J450,K450-J450)*INDEX('2018_commission_structure'!$A$5:$J$8,MATCH(Calculations!$E450,'2018_commission_structure'!$A$5:$A$8,0),MATCH(Calculations!X$1,'2018_commission_structure'!$A$5:$J$5,0)),0)</f>
        <v>0</v>
      </c>
      <c r="Y450" s="2">
        <f>IF($H450&gt;K450,MIN($H450-K450,L450-K450)*INDEX('2018_commission_structure'!$A$5:$J$8,MATCH(Calculations!$E450,'2018_commission_structure'!$A$5:$A$8,0),MATCH(Calculations!Y$1,'2018_commission_structure'!$A$5:$J$5,0)),0)</f>
        <v>0</v>
      </c>
      <c r="Z450" s="2">
        <f xml:space="preserve"> IF(H450&gt;L450,(H450-L450)*INDEX('2018_commission_structure'!$A$11:$I$14,MATCH(Calculations!$E450,'2018_commission_structure'!$A$11:$A$14,0),MATCH(Calculations!Z$1,'2018_commission_structure'!$A$11:$I$11,0)),0)</f>
        <v>0</v>
      </c>
      <c r="AA450" s="7">
        <f t="shared" si="61"/>
        <v>115364.52</v>
      </c>
      <c r="AB450" s="7">
        <f t="shared" si="62"/>
        <v>166896.52000000002</v>
      </c>
    </row>
    <row r="451" spans="1:28" x14ac:dyDescent="0.25">
      <c r="A451">
        <v>509393462</v>
      </c>
      <c r="B451" t="s">
        <v>1708</v>
      </c>
      <c r="C451" t="s">
        <v>1709</v>
      </c>
      <c r="D451" t="str">
        <f>B451&amp;" "&amp;C451</f>
        <v>Dex Hughill</v>
      </c>
      <c r="E451" t="s">
        <v>29</v>
      </c>
      <c r="F451">
        <v>58109</v>
      </c>
      <c r="G451">
        <f>COUNTIF(deals_closed!D:D,Calculations!A451)</f>
        <v>23</v>
      </c>
      <c r="H451" s="2">
        <f>SUMIF(deals_closed!D:D,Calculations!A451,deals_closed!C:C)</f>
        <v>754953</v>
      </c>
      <c r="I451" s="2">
        <f>VLOOKUP(E451,'2018_commission_structure'!$A$11:$I$14,9,FALSE)</f>
        <v>600000</v>
      </c>
      <c r="J451" s="2">
        <f t="shared" si="63"/>
        <v>750000</v>
      </c>
      <c r="K451" s="2">
        <f t="shared" si="64"/>
        <v>900000</v>
      </c>
      <c r="L451" s="2">
        <f t="shared" si="65"/>
        <v>1200000</v>
      </c>
      <c r="M451" s="6">
        <f t="shared" si="66"/>
        <v>1.2582549999999999</v>
      </c>
      <c r="N451" t="str">
        <f t="shared" si="67"/>
        <v>125-150%</v>
      </c>
      <c r="O451" s="7">
        <f>MIN(I451,H451)*INDEX('2018_commission_structure'!$A$11:$I$14,MATCH(Calculations!$E451,'2018_commission_structure'!$A$11:$A$14,0),MATCH(Calculations!O$1,'2018_commission_structure'!$A$11:$I$11,0))</f>
        <v>78000</v>
      </c>
      <c r="P451" s="7">
        <f>IF($H451&gt;I451,MIN($H451-I451,J451-I451)*INDEX('2018_commission_structure'!$A$11:$I$14,MATCH(Calculations!$E451,'2018_commission_structure'!$A$11:$A$14,0), MATCH(Calculations!P$1,'2018_commission_structure'!$A$11:$I$11,0)),0)</f>
        <v>25500.000000000004</v>
      </c>
      <c r="Q451" s="7">
        <f>IF($H451&gt;J451,MIN($H451-J451,K451-J451)*INDEX('2018_commission_structure'!$A$11:$I$14,MATCH(Calculations!$E451,'2018_commission_structure'!$A$11:$A$14,0), MATCH(Calculations!Q$1,'2018_commission_structure'!$A$11:$I$11,0)),0)</f>
        <v>1040.1299999999999</v>
      </c>
      <c r="R451" s="7">
        <f>IF($H451&gt;K451,MIN($H451-K451,L451-K451)*INDEX('2018_commission_structure'!$A$11:$I$14,MATCH(Calculations!$E451,'2018_commission_structure'!$A$11:$A$14,0), MATCH(Calculations!R$1,'2018_commission_structure'!$A$11:$I$11,0)),0)</f>
        <v>0</v>
      </c>
      <c r="S451" s="7">
        <f>IF(H451&gt;L451,(H451-L451)*INDEX('2018_commission_structure'!$A$11:$I$14,MATCH(Calculations!$E451,'2018_commission_structure'!$A$11:$A$14,0),MATCH(Calculations!S$1,'2018_commission_structure'!$A$11:$I$11,0)),0)</f>
        <v>0</v>
      </c>
      <c r="T451" s="7">
        <f t="shared" si="68"/>
        <v>104540.13</v>
      </c>
      <c r="U451" s="7">
        <f t="shared" si="69"/>
        <v>162649.13</v>
      </c>
      <c r="V451" s="7">
        <f>MIN(H451,I451)*INDEX('2018_commission_structure'!$A$5:$J$8,MATCH(Calculations!$E451,'2018_commission_structure'!$A$5:$A$8,0),MATCH(Calculations!V$1,'2018_commission_structure'!$A$5:$J$5,0))</f>
        <v>90000</v>
      </c>
      <c r="W451" s="2">
        <f>IF($H451&gt;I451,MIN($H451-I451,J451-I451)*INDEX('2018_commission_structure'!$A$5:$J$8,MATCH(Calculations!$E451,'2018_commission_structure'!$A$5:$A$8,0),MATCH(Calculations!W$1,'2018_commission_structure'!$A$5:$J$5,0)),0)</f>
        <v>27000</v>
      </c>
      <c r="X451" s="2">
        <f>IF($H451&gt;J451,MIN($H451-J451,K451-J451)*INDEX('2018_commission_structure'!$A$5:$J$8,MATCH(Calculations!$E451,'2018_commission_structure'!$A$5:$A$8,0),MATCH(Calculations!X$1,'2018_commission_structure'!$A$5:$J$5,0)),0)</f>
        <v>1238.25</v>
      </c>
      <c r="Y451" s="2">
        <f>IF($H451&gt;K451,MIN($H451-K451,L451-K451)*INDEX('2018_commission_structure'!$A$5:$J$8,MATCH(Calculations!$E451,'2018_commission_structure'!$A$5:$A$8,0),MATCH(Calculations!Y$1,'2018_commission_structure'!$A$5:$J$5,0)),0)</f>
        <v>0</v>
      </c>
      <c r="Z451" s="2">
        <f xml:space="preserve"> IF(H451&gt;L451,(H451-L451)*INDEX('2018_commission_structure'!$A$11:$I$14,MATCH(Calculations!$E451,'2018_commission_structure'!$A$11:$A$14,0),MATCH(Calculations!Z$1,'2018_commission_structure'!$A$11:$I$11,0)),0)</f>
        <v>0</v>
      </c>
      <c r="AA451" s="7">
        <f t="shared" ref="AA451:AA514" si="70">SUM(V451:Z451)</f>
        <v>118238.25</v>
      </c>
      <c r="AB451" s="7">
        <f t="shared" ref="AB451:AB514" si="71">AA451+F451</f>
        <v>176347.25</v>
      </c>
    </row>
    <row r="452" spans="1:28" x14ac:dyDescent="0.25">
      <c r="A452">
        <v>4439073344</v>
      </c>
      <c r="B452" t="s">
        <v>1894</v>
      </c>
      <c r="C452" t="s">
        <v>1895</v>
      </c>
      <c r="D452" t="str">
        <f>B452&amp;" "&amp;C452</f>
        <v>Pippo Huish</v>
      </c>
      <c r="E452" t="s">
        <v>7</v>
      </c>
      <c r="F452">
        <v>61002</v>
      </c>
      <c r="G452">
        <f>COUNTIF(deals_closed!D:D,Calculations!A452)</f>
        <v>26</v>
      </c>
      <c r="H452" s="2">
        <f>SUMIF(deals_closed!D:D,Calculations!A452,deals_closed!C:C)</f>
        <v>924420</v>
      </c>
      <c r="I452" s="2">
        <f>VLOOKUP(E452,'2018_commission_structure'!$A$11:$I$14,9,FALSE)</f>
        <v>500000</v>
      </c>
      <c r="J452" s="2">
        <f t="shared" si="63"/>
        <v>625000</v>
      </c>
      <c r="K452" s="2">
        <f t="shared" si="64"/>
        <v>750000</v>
      </c>
      <c r="L452" s="2">
        <f t="shared" si="65"/>
        <v>1000000</v>
      </c>
      <c r="M452" s="6">
        <f t="shared" si="66"/>
        <v>1.84884</v>
      </c>
      <c r="N452" t="str">
        <f t="shared" si="67"/>
        <v>150-200%</v>
      </c>
      <c r="O452" s="7">
        <f>MIN(I452,H452)*INDEX('2018_commission_structure'!$A$11:$I$14,MATCH(Calculations!$E452,'2018_commission_structure'!$A$11:$A$14,0),MATCH(Calculations!O$1,'2018_commission_structure'!$A$11:$I$11,0))</f>
        <v>50000</v>
      </c>
      <c r="P452" s="7">
        <f>IF($H452&gt;I452,MIN($H452-I452,J452-I452)*INDEX('2018_commission_structure'!$A$11:$I$14,MATCH(Calculations!$E452,'2018_commission_structure'!$A$11:$A$14,0), MATCH(Calculations!P$1,'2018_commission_structure'!$A$11:$I$11,0)),0)</f>
        <v>18750</v>
      </c>
      <c r="Q452" s="7">
        <f>IF($H452&gt;J452,MIN($H452-J452,K452-J452)*INDEX('2018_commission_structure'!$A$11:$I$14,MATCH(Calculations!$E452,'2018_commission_structure'!$A$11:$A$14,0), MATCH(Calculations!Q$1,'2018_commission_structure'!$A$11:$I$11,0)),0)</f>
        <v>22500</v>
      </c>
      <c r="R452" s="7">
        <f>IF($H452&gt;K452,MIN($H452-K452,L452-K452)*INDEX('2018_commission_structure'!$A$11:$I$14,MATCH(Calculations!$E452,'2018_commission_structure'!$A$11:$A$14,0), MATCH(Calculations!R$1,'2018_commission_structure'!$A$11:$I$11,0)),0)</f>
        <v>38372.400000000001</v>
      </c>
      <c r="S452" s="7">
        <f>IF(H452&gt;L452,(H452-L452)*INDEX('2018_commission_structure'!$A$11:$I$14,MATCH(Calculations!$E452,'2018_commission_structure'!$A$11:$A$14,0),MATCH(Calculations!S$1,'2018_commission_structure'!$A$11:$I$11,0)),0)</f>
        <v>0</v>
      </c>
      <c r="T452" s="7">
        <f t="shared" si="68"/>
        <v>129622.39999999999</v>
      </c>
      <c r="U452" s="7">
        <f t="shared" si="69"/>
        <v>190624.4</v>
      </c>
      <c r="V452" s="7">
        <f>MIN(H452,I452)*INDEX('2018_commission_structure'!$A$5:$J$8,MATCH(Calculations!$E452,'2018_commission_structure'!$A$5:$A$8,0),MATCH(Calculations!V$1,'2018_commission_structure'!$A$5:$J$5,0))</f>
        <v>60000</v>
      </c>
      <c r="W452" s="2">
        <f>IF($H452&gt;I452,MIN($H452-I452,J452-I452)*INDEX('2018_commission_structure'!$A$5:$J$8,MATCH(Calculations!$E452,'2018_commission_structure'!$A$5:$A$8,0),MATCH(Calculations!W$1,'2018_commission_structure'!$A$5:$J$5,0)),0)</f>
        <v>21250</v>
      </c>
      <c r="X452" s="2">
        <f>IF($H452&gt;J452,MIN($H452-J452,K452-J452)*INDEX('2018_commission_structure'!$A$5:$J$8,MATCH(Calculations!$E452,'2018_commission_structure'!$A$5:$A$8,0),MATCH(Calculations!X$1,'2018_commission_structure'!$A$5:$J$5,0)),0)</f>
        <v>25000</v>
      </c>
      <c r="Y452" s="2">
        <f>IF($H452&gt;K452,MIN($H452-K452,L452-K452)*INDEX('2018_commission_structure'!$A$5:$J$8,MATCH(Calculations!$E452,'2018_commission_structure'!$A$5:$A$8,0),MATCH(Calculations!Y$1,'2018_commission_structure'!$A$5:$J$5,0)),0)</f>
        <v>38372.400000000001</v>
      </c>
      <c r="Z452" s="2">
        <f xml:space="preserve"> IF(H452&gt;L452,(H452-L452)*INDEX('2018_commission_structure'!$A$11:$I$14,MATCH(Calculations!$E452,'2018_commission_structure'!$A$11:$A$14,0),MATCH(Calculations!Z$1,'2018_commission_structure'!$A$11:$I$11,0)),0)</f>
        <v>0</v>
      </c>
      <c r="AA452" s="7">
        <f t="shared" si="70"/>
        <v>144622.39999999999</v>
      </c>
      <c r="AB452" s="7">
        <f t="shared" si="71"/>
        <v>205624.4</v>
      </c>
    </row>
    <row r="453" spans="1:28" x14ac:dyDescent="0.25">
      <c r="A453">
        <v>9340547551</v>
      </c>
      <c r="B453" t="s">
        <v>594</v>
      </c>
      <c r="C453" t="s">
        <v>595</v>
      </c>
      <c r="D453" t="str">
        <f>B453&amp;" "&amp;C453</f>
        <v>Rowen Hullbrook</v>
      </c>
      <c r="E453" t="s">
        <v>29</v>
      </c>
      <c r="F453">
        <v>50051</v>
      </c>
      <c r="G453">
        <f>COUNTIF(deals_closed!D:D,Calculations!A453)</f>
        <v>17</v>
      </c>
      <c r="H453" s="2">
        <f>SUMIF(deals_closed!D:D,Calculations!A453,deals_closed!C:C)</f>
        <v>647443</v>
      </c>
      <c r="I453" s="2">
        <f>VLOOKUP(E453,'2018_commission_structure'!$A$11:$I$14,9,FALSE)</f>
        <v>600000</v>
      </c>
      <c r="J453" s="2">
        <f t="shared" si="63"/>
        <v>750000</v>
      </c>
      <c r="K453" s="2">
        <f t="shared" si="64"/>
        <v>900000</v>
      </c>
      <c r="L453" s="2">
        <f t="shared" si="65"/>
        <v>1200000</v>
      </c>
      <c r="M453" s="6">
        <f t="shared" si="66"/>
        <v>1.0790716666666667</v>
      </c>
      <c r="N453" t="str">
        <f t="shared" si="67"/>
        <v>100-125%</v>
      </c>
      <c r="O453" s="7">
        <f>MIN(I453,H453)*INDEX('2018_commission_structure'!$A$11:$I$14,MATCH(Calculations!$E453,'2018_commission_structure'!$A$11:$A$14,0),MATCH(Calculations!O$1,'2018_commission_structure'!$A$11:$I$11,0))</f>
        <v>78000</v>
      </c>
      <c r="P453" s="7">
        <f>IF($H453&gt;I453,MIN($H453-I453,J453-I453)*INDEX('2018_commission_structure'!$A$11:$I$14,MATCH(Calculations!$E453,'2018_commission_structure'!$A$11:$A$14,0), MATCH(Calculations!P$1,'2018_commission_structure'!$A$11:$I$11,0)),0)</f>
        <v>8065.31</v>
      </c>
      <c r="Q453" s="7">
        <f>IF($H453&gt;J453,MIN($H453-J453,K453-J453)*INDEX('2018_commission_structure'!$A$11:$I$14,MATCH(Calculations!$E453,'2018_commission_structure'!$A$11:$A$14,0), MATCH(Calculations!Q$1,'2018_commission_structure'!$A$11:$I$11,0)),0)</f>
        <v>0</v>
      </c>
      <c r="R453" s="7">
        <f>IF($H453&gt;K453,MIN($H453-K453,L453-K453)*INDEX('2018_commission_structure'!$A$11:$I$14,MATCH(Calculations!$E453,'2018_commission_structure'!$A$11:$A$14,0), MATCH(Calculations!R$1,'2018_commission_structure'!$A$11:$I$11,0)),0)</f>
        <v>0</v>
      </c>
      <c r="S453" s="7">
        <f>IF(H453&gt;L453,(H453-L453)*INDEX('2018_commission_structure'!$A$11:$I$14,MATCH(Calculations!$E453,'2018_commission_structure'!$A$11:$A$14,0),MATCH(Calculations!S$1,'2018_commission_structure'!$A$11:$I$11,0)),0)</f>
        <v>0</v>
      </c>
      <c r="T453" s="7">
        <f t="shared" si="68"/>
        <v>86065.31</v>
      </c>
      <c r="U453" s="7">
        <f t="shared" si="69"/>
        <v>136116.31</v>
      </c>
      <c r="V453" s="7">
        <f>MIN(H453,I453)*INDEX('2018_commission_structure'!$A$5:$J$8,MATCH(Calculations!$E453,'2018_commission_structure'!$A$5:$A$8,0),MATCH(Calculations!V$1,'2018_commission_structure'!$A$5:$J$5,0))</f>
        <v>90000</v>
      </c>
      <c r="W453" s="2">
        <f>IF($H453&gt;I453,MIN($H453-I453,J453-I453)*INDEX('2018_commission_structure'!$A$5:$J$8,MATCH(Calculations!$E453,'2018_commission_structure'!$A$5:$A$8,0),MATCH(Calculations!W$1,'2018_commission_structure'!$A$5:$J$5,0)),0)</f>
        <v>8539.74</v>
      </c>
      <c r="X453" s="2">
        <f>IF($H453&gt;J453,MIN($H453-J453,K453-J453)*INDEX('2018_commission_structure'!$A$5:$J$8,MATCH(Calculations!$E453,'2018_commission_structure'!$A$5:$A$8,0),MATCH(Calculations!X$1,'2018_commission_structure'!$A$5:$J$5,0)),0)</f>
        <v>0</v>
      </c>
      <c r="Y453" s="2">
        <f>IF($H453&gt;K453,MIN($H453-K453,L453-K453)*INDEX('2018_commission_structure'!$A$5:$J$8,MATCH(Calculations!$E453,'2018_commission_structure'!$A$5:$A$8,0),MATCH(Calculations!Y$1,'2018_commission_structure'!$A$5:$J$5,0)),0)</f>
        <v>0</v>
      </c>
      <c r="Z453" s="2">
        <f xml:space="preserve"> IF(H453&gt;L453,(H453-L453)*INDEX('2018_commission_structure'!$A$11:$I$14,MATCH(Calculations!$E453,'2018_commission_structure'!$A$11:$A$14,0),MATCH(Calculations!Z$1,'2018_commission_structure'!$A$11:$I$11,0)),0)</f>
        <v>0</v>
      </c>
      <c r="AA453" s="7">
        <f t="shared" si="70"/>
        <v>98539.74</v>
      </c>
      <c r="AB453" s="7">
        <f t="shared" si="71"/>
        <v>148590.74</v>
      </c>
    </row>
    <row r="454" spans="1:28" x14ac:dyDescent="0.25">
      <c r="A454">
        <v>8054305400</v>
      </c>
      <c r="B454" t="s">
        <v>870</v>
      </c>
      <c r="C454" t="s">
        <v>1049</v>
      </c>
      <c r="D454" t="str">
        <f>B454&amp;" "&amp;C454</f>
        <v>Wendel Hulmes</v>
      </c>
      <c r="E454" t="s">
        <v>10</v>
      </c>
      <c r="F454">
        <v>101542</v>
      </c>
      <c r="G454">
        <f>COUNTIF(deals_closed!D:D,Calculations!A454)</f>
        <v>19</v>
      </c>
      <c r="H454" s="2">
        <f>SUMIF(deals_closed!D:D,Calculations!A454,deals_closed!C:C)</f>
        <v>676232</v>
      </c>
      <c r="I454" s="2">
        <f>VLOOKUP(E454,'2018_commission_structure'!$A$11:$I$14,9,FALSE)</f>
        <v>750000</v>
      </c>
      <c r="J454" s="2">
        <f t="shared" si="63"/>
        <v>937500</v>
      </c>
      <c r="K454" s="2">
        <f t="shared" si="64"/>
        <v>1125000</v>
      </c>
      <c r="L454" s="2">
        <f t="shared" si="65"/>
        <v>1500000</v>
      </c>
      <c r="M454" s="6">
        <f t="shared" si="66"/>
        <v>0.9016426666666667</v>
      </c>
      <c r="N454" t="str">
        <f t="shared" si="67"/>
        <v>0-100%</v>
      </c>
      <c r="O454" s="7">
        <f>MIN(I454,H454)*INDEX('2018_commission_structure'!$A$11:$I$14,MATCH(Calculations!$E454,'2018_commission_structure'!$A$11:$A$14,0),MATCH(Calculations!O$1,'2018_commission_structure'!$A$11:$I$11,0))</f>
        <v>101434.8</v>
      </c>
      <c r="P454" s="7">
        <f>IF($H454&gt;I454,MIN($H454-I454,J454-I454)*INDEX('2018_commission_structure'!$A$11:$I$14,MATCH(Calculations!$E454,'2018_commission_structure'!$A$11:$A$14,0), MATCH(Calculations!P$1,'2018_commission_structure'!$A$11:$I$11,0)),0)</f>
        <v>0</v>
      </c>
      <c r="Q454" s="7">
        <f>IF($H454&gt;J454,MIN($H454-J454,K454-J454)*INDEX('2018_commission_structure'!$A$11:$I$14,MATCH(Calculations!$E454,'2018_commission_structure'!$A$11:$A$14,0), MATCH(Calculations!Q$1,'2018_commission_structure'!$A$11:$I$11,0)),0)</f>
        <v>0</v>
      </c>
      <c r="R454" s="7">
        <f>IF($H454&gt;K454,MIN($H454-K454,L454-K454)*INDEX('2018_commission_structure'!$A$11:$I$14,MATCH(Calculations!$E454,'2018_commission_structure'!$A$11:$A$14,0), MATCH(Calculations!R$1,'2018_commission_structure'!$A$11:$I$11,0)),0)</f>
        <v>0</v>
      </c>
      <c r="S454" s="7">
        <f>IF(H454&gt;L454,(H454-L454)*INDEX('2018_commission_structure'!$A$11:$I$14,MATCH(Calculations!$E454,'2018_commission_structure'!$A$11:$A$14,0),MATCH(Calculations!S$1,'2018_commission_structure'!$A$11:$I$11,0)),0)</f>
        <v>0</v>
      </c>
      <c r="T454" s="7">
        <f t="shared" si="68"/>
        <v>101434.8</v>
      </c>
      <c r="U454" s="7">
        <f t="shared" si="69"/>
        <v>202976.8</v>
      </c>
      <c r="V454" s="7">
        <f>MIN(H454,I454)*INDEX('2018_commission_structure'!$A$5:$J$8,MATCH(Calculations!$E454,'2018_commission_structure'!$A$5:$A$8,0),MATCH(Calculations!V$1,'2018_commission_structure'!$A$5:$J$5,0))</f>
        <v>101434.8</v>
      </c>
      <c r="W454" s="2">
        <f>IF($H454&gt;I454,MIN($H454-I454,J454-I454)*INDEX('2018_commission_structure'!$A$5:$J$8,MATCH(Calculations!$E454,'2018_commission_structure'!$A$5:$A$8,0),MATCH(Calculations!W$1,'2018_commission_structure'!$A$5:$J$5,0)),0)</f>
        <v>0</v>
      </c>
      <c r="X454" s="2">
        <f>IF($H454&gt;J454,MIN($H454-J454,K454-J454)*INDEX('2018_commission_structure'!$A$5:$J$8,MATCH(Calculations!$E454,'2018_commission_structure'!$A$5:$A$8,0),MATCH(Calculations!X$1,'2018_commission_structure'!$A$5:$J$5,0)),0)</f>
        <v>0</v>
      </c>
      <c r="Y454" s="2">
        <f>IF($H454&gt;K454,MIN($H454-K454,L454-K454)*INDEX('2018_commission_structure'!$A$5:$J$8,MATCH(Calculations!$E454,'2018_commission_structure'!$A$5:$A$8,0),MATCH(Calculations!Y$1,'2018_commission_structure'!$A$5:$J$5,0)),0)</f>
        <v>0</v>
      </c>
      <c r="Z454" s="2">
        <f xml:space="preserve"> IF(H454&gt;L454,(H454-L454)*INDEX('2018_commission_structure'!$A$11:$I$14,MATCH(Calculations!$E454,'2018_commission_structure'!$A$11:$A$14,0),MATCH(Calculations!Z$1,'2018_commission_structure'!$A$11:$I$11,0)),0)</f>
        <v>0</v>
      </c>
      <c r="AA454" s="7">
        <f t="shared" si="70"/>
        <v>101434.8</v>
      </c>
      <c r="AB454" s="7">
        <f t="shared" si="71"/>
        <v>202976.8</v>
      </c>
    </row>
    <row r="455" spans="1:28" x14ac:dyDescent="0.25">
      <c r="A455">
        <v>2191014690</v>
      </c>
      <c r="B455" t="s">
        <v>997</v>
      </c>
      <c r="C455" t="s">
        <v>998</v>
      </c>
      <c r="D455" t="str">
        <f>B455&amp;" "&amp;C455</f>
        <v>Fabe Hutchinges</v>
      </c>
      <c r="E455" t="s">
        <v>7</v>
      </c>
      <c r="F455">
        <v>58448</v>
      </c>
      <c r="G455">
        <f>COUNTIF(deals_closed!D:D,Calculations!A455)</f>
        <v>17</v>
      </c>
      <c r="H455" s="2">
        <f>SUMIF(deals_closed!D:D,Calculations!A455,deals_closed!C:C)</f>
        <v>545501</v>
      </c>
      <c r="I455" s="2">
        <f>VLOOKUP(E455,'2018_commission_structure'!$A$11:$I$14,9,FALSE)</f>
        <v>500000</v>
      </c>
      <c r="J455" s="2">
        <f t="shared" si="63"/>
        <v>625000</v>
      </c>
      <c r="K455" s="2">
        <f t="shared" si="64"/>
        <v>750000</v>
      </c>
      <c r="L455" s="2">
        <f t="shared" si="65"/>
        <v>1000000</v>
      </c>
      <c r="M455" s="6">
        <f t="shared" si="66"/>
        <v>1.091002</v>
      </c>
      <c r="N455" t="str">
        <f t="shared" si="67"/>
        <v>100-125%</v>
      </c>
      <c r="O455" s="7">
        <f>MIN(I455,H455)*INDEX('2018_commission_structure'!$A$11:$I$14,MATCH(Calculations!$E455,'2018_commission_structure'!$A$11:$A$14,0),MATCH(Calculations!O$1,'2018_commission_structure'!$A$11:$I$11,0))</f>
        <v>50000</v>
      </c>
      <c r="P455" s="7">
        <f>IF($H455&gt;I455,MIN($H455-I455,J455-I455)*INDEX('2018_commission_structure'!$A$11:$I$14,MATCH(Calculations!$E455,'2018_commission_structure'!$A$11:$A$14,0), MATCH(Calculations!P$1,'2018_commission_structure'!$A$11:$I$11,0)),0)</f>
        <v>6825.15</v>
      </c>
      <c r="Q455" s="7">
        <f>IF($H455&gt;J455,MIN($H455-J455,K455-J455)*INDEX('2018_commission_structure'!$A$11:$I$14,MATCH(Calculations!$E455,'2018_commission_structure'!$A$11:$A$14,0), MATCH(Calculations!Q$1,'2018_commission_structure'!$A$11:$I$11,0)),0)</f>
        <v>0</v>
      </c>
      <c r="R455" s="7">
        <f>IF($H455&gt;K455,MIN($H455-K455,L455-K455)*INDEX('2018_commission_structure'!$A$11:$I$14,MATCH(Calculations!$E455,'2018_commission_structure'!$A$11:$A$14,0), MATCH(Calculations!R$1,'2018_commission_structure'!$A$11:$I$11,0)),0)</f>
        <v>0</v>
      </c>
      <c r="S455" s="7">
        <f>IF(H455&gt;L455,(H455-L455)*INDEX('2018_commission_structure'!$A$11:$I$14,MATCH(Calculations!$E455,'2018_commission_structure'!$A$11:$A$14,0),MATCH(Calculations!S$1,'2018_commission_structure'!$A$11:$I$11,0)),0)</f>
        <v>0</v>
      </c>
      <c r="T455" s="7">
        <f t="shared" si="68"/>
        <v>56825.15</v>
      </c>
      <c r="U455" s="7">
        <f t="shared" si="69"/>
        <v>115273.15</v>
      </c>
      <c r="V455" s="7">
        <f>MIN(H455,I455)*INDEX('2018_commission_structure'!$A$5:$J$8,MATCH(Calculations!$E455,'2018_commission_structure'!$A$5:$A$8,0),MATCH(Calculations!V$1,'2018_commission_structure'!$A$5:$J$5,0))</f>
        <v>60000</v>
      </c>
      <c r="W455" s="2">
        <f>IF($H455&gt;I455,MIN($H455-I455,J455-I455)*INDEX('2018_commission_structure'!$A$5:$J$8,MATCH(Calculations!$E455,'2018_commission_structure'!$A$5:$A$8,0),MATCH(Calculations!W$1,'2018_commission_structure'!$A$5:$J$5,0)),0)</f>
        <v>7735.170000000001</v>
      </c>
      <c r="X455" s="2">
        <f>IF($H455&gt;J455,MIN($H455-J455,K455-J455)*INDEX('2018_commission_structure'!$A$5:$J$8,MATCH(Calculations!$E455,'2018_commission_structure'!$A$5:$A$8,0),MATCH(Calculations!X$1,'2018_commission_structure'!$A$5:$J$5,0)),0)</f>
        <v>0</v>
      </c>
      <c r="Y455" s="2">
        <f>IF($H455&gt;K455,MIN($H455-K455,L455-K455)*INDEX('2018_commission_structure'!$A$5:$J$8,MATCH(Calculations!$E455,'2018_commission_structure'!$A$5:$A$8,0),MATCH(Calculations!Y$1,'2018_commission_structure'!$A$5:$J$5,0)),0)</f>
        <v>0</v>
      </c>
      <c r="Z455" s="2">
        <f xml:space="preserve"> IF(H455&gt;L455,(H455-L455)*INDEX('2018_commission_structure'!$A$11:$I$14,MATCH(Calculations!$E455,'2018_commission_structure'!$A$11:$A$14,0),MATCH(Calculations!Z$1,'2018_commission_structure'!$A$11:$I$11,0)),0)</f>
        <v>0</v>
      </c>
      <c r="AA455" s="7">
        <f t="shared" si="70"/>
        <v>67735.17</v>
      </c>
      <c r="AB455" s="7">
        <f t="shared" si="71"/>
        <v>126183.17</v>
      </c>
    </row>
    <row r="456" spans="1:28" x14ac:dyDescent="0.25">
      <c r="A456">
        <v>6618120233</v>
      </c>
      <c r="B456" t="s">
        <v>453</v>
      </c>
      <c r="C456" t="s">
        <v>454</v>
      </c>
      <c r="D456" t="str">
        <f>B456&amp;" "&amp;C456</f>
        <v>Hillel Hutley</v>
      </c>
      <c r="E456" t="s">
        <v>29</v>
      </c>
      <c r="F456">
        <v>64077</v>
      </c>
      <c r="G456">
        <f>COUNTIF(deals_closed!D:D,Calculations!A456)</f>
        <v>16</v>
      </c>
      <c r="H456" s="2">
        <f>SUMIF(deals_closed!D:D,Calculations!A456,deals_closed!C:C)</f>
        <v>625052</v>
      </c>
      <c r="I456" s="2">
        <f>VLOOKUP(E456,'2018_commission_structure'!$A$11:$I$14,9,FALSE)</f>
        <v>600000</v>
      </c>
      <c r="J456" s="2">
        <f t="shared" si="63"/>
        <v>750000</v>
      </c>
      <c r="K456" s="2">
        <f t="shared" si="64"/>
        <v>900000</v>
      </c>
      <c r="L456" s="2">
        <f t="shared" si="65"/>
        <v>1200000</v>
      </c>
      <c r="M456" s="6">
        <f t="shared" si="66"/>
        <v>1.0417533333333333</v>
      </c>
      <c r="N456" t="str">
        <f t="shared" si="67"/>
        <v>100-125%</v>
      </c>
      <c r="O456" s="7">
        <f>MIN(I456,H456)*INDEX('2018_commission_structure'!$A$11:$I$14,MATCH(Calculations!$E456,'2018_commission_structure'!$A$11:$A$14,0),MATCH(Calculations!O$1,'2018_commission_structure'!$A$11:$I$11,0))</f>
        <v>78000</v>
      </c>
      <c r="P456" s="7">
        <f>IF($H456&gt;I456,MIN($H456-I456,J456-I456)*INDEX('2018_commission_structure'!$A$11:$I$14,MATCH(Calculations!$E456,'2018_commission_structure'!$A$11:$A$14,0), MATCH(Calculations!P$1,'2018_commission_structure'!$A$11:$I$11,0)),0)</f>
        <v>4258.84</v>
      </c>
      <c r="Q456" s="7">
        <f>IF($H456&gt;J456,MIN($H456-J456,K456-J456)*INDEX('2018_commission_structure'!$A$11:$I$14,MATCH(Calculations!$E456,'2018_commission_structure'!$A$11:$A$14,0), MATCH(Calculations!Q$1,'2018_commission_structure'!$A$11:$I$11,0)),0)</f>
        <v>0</v>
      </c>
      <c r="R456" s="7">
        <f>IF($H456&gt;K456,MIN($H456-K456,L456-K456)*INDEX('2018_commission_structure'!$A$11:$I$14,MATCH(Calculations!$E456,'2018_commission_structure'!$A$11:$A$14,0), MATCH(Calculations!R$1,'2018_commission_structure'!$A$11:$I$11,0)),0)</f>
        <v>0</v>
      </c>
      <c r="S456" s="7">
        <f>IF(H456&gt;L456,(H456-L456)*INDEX('2018_commission_structure'!$A$11:$I$14,MATCH(Calculations!$E456,'2018_commission_structure'!$A$11:$A$14,0),MATCH(Calculations!S$1,'2018_commission_structure'!$A$11:$I$11,0)),0)</f>
        <v>0</v>
      </c>
      <c r="T456" s="7">
        <f t="shared" si="68"/>
        <v>82258.84</v>
      </c>
      <c r="U456" s="7">
        <f t="shared" si="69"/>
        <v>146335.84</v>
      </c>
      <c r="V456" s="7">
        <f>MIN(H456,I456)*INDEX('2018_commission_structure'!$A$5:$J$8,MATCH(Calculations!$E456,'2018_commission_structure'!$A$5:$A$8,0),MATCH(Calculations!V$1,'2018_commission_structure'!$A$5:$J$5,0))</f>
        <v>90000</v>
      </c>
      <c r="W456" s="2">
        <f>IF($H456&gt;I456,MIN($H456-I456,J456-I456)*INDEX('2018_commission_structure'!$A$5:$J$8,MATCH(Calculations!$E456,'2018_commission_structure'!$A$5:$A$8,0),MATCH(Calculations!W$1,'2018_commission_structure'!$A$5:$J$5,0)),0)</f>
        <v>4509.3599999999997</v>
      </c>
      <c r="X456" s="2">
        <f>IF($H456&gt;J456,MIN($H456-J456,K456-J456)*INDEX('2018_commission_structure'!$A$5:$J$8,MATCH(Calculations!$E456,'2018_commission_structure'!$A$5:$A$8,0),MATCH(Calculations!X$1,'2018_commission_structure'!$A$5:$J$5,0)),0)</f>
        <v>0</v>
      </c>
      <c r="Y456" s="2">
        <f>IF($H456&gt;K456,MIN($H456-K456,L456-K456)*INDEX('2018_commission_structure'!$A$5:$J$8,MATCH(Calculations!$E456,'2018_commission_structure'!$A$5:$A$8,0),MATCH(Calculations!Y$1,'2018_commission_structure'!$A$5:$J$5,0)),0)</f>
        <v>0</v>
      </c>
      <c r="Z456" s="2">
        <f xml:space="preserve"> IF(H456&gt;L456,(H456-L456)*INDEX('2018_commission_structure'!$A$11:$I$14,MATCH(Calculations!$E456,'2018_commission_structure'!$A$11:$A$14,0),MATCH(Calculations!Z$1,'2018_commission_structure'!$A$11:$I$11,0)),0)</f>
        <v>0</v>
      </c>
      <c r="AA456" s="7">
        <f t="shared" si="70"/>
        <v>94509.36</v>
      </c>
      <c r="AB456" s="7">
        <f t="shared" si="71"/>
        <v>158586.35999999999</v>
      </c>
    </row>
    <row r="457" spans="1:28" x14ac:dyDescent="0.25">
      <c r="A457">
        <v>2070860833</v>
      </c>
      <c r="B457" t="s">
        <v>895</v>
      </c>
      <c r="C457" t="s">
        <v>896</v>
      </c>
      <c r="D457" t="str">
        <f>B457&amp;" "&amp;C457</f>
        <v>Mavis Huyge</v>
      </c>
      <c r="E457" t="s">
        <v>29</v>
      </c>
      <c r="F457">
        <v>73508</v>
      </c>
      <c r="G457">
        <f>COUNTIF(deals_closed!D:D,Calculations!A457)</f>
        <v>19</v>
      </c>
      <c r="H457" s="2">
        <f>SUMIF(deals_closed!D:D,Calculations!A457,deals_closed!C:C)</f>
        <v>746779</v>
      </c>
      <c r="I457" s="2">
        <f>VLOOKUP(E457,'2018_commission_structure'!$A$11:$I$14,9,FALSE)</f>
        <v>600000</v>
      </c>
      <c r="J457" s="2">
        <f t="shared" si="63"/>
        <v>750000</v>
      </c>
      <c r="K457" s="2">
        <f t="shared" si="64"/>
        <v>900000</v>
      </c>
      <c r="L457" s="2">
        <f t="shared" si="65"/>
        <v>1200000</v>
      </c>
      <c r="M457" s="6">
        <f t="shared" si="66"/>
        <v>1.2446316666666666</v>
      </c>
      <c r="N457" t="str">
        <f t="shared" si="67"/>
        <v>100-125%</v>
      </c>
      <c r="O457" s="7">
        <f>MIN(I457,H457)*INDEX('2018_commission_structure'!$A$11:$I$14,MATCH(Calculations!$E457,'2018_commission_structure'!$A$11:$A$14,0),MATCH(Calculations!O$1,'2018_commission_structure'!$A$11:$I$11,0))</f>
        <v>78000</v>
      </c>
      <c r="P457" s="7">
        <f>IF($H457&gt;I457,MIN($H457-I457,J457-I457)*INDEX('2018_commission_structure'!$A$11:$I$14,MATCH(Calculations!$E457,'2018_commission_structure'!$A$11:$A$14,0), MATCH(Calculations!P$1,'2018_commission_structure'!$A$11:$I$11,0)),0)</f>
        <v>24952.43</v>
      </c>
      <c r="Q457" s="7">
        <f>IF($H457&gt;J457,MIN($H457-J457,K457-J457)*INDEX('2018_commission_structure'!$A$11:$I$14,MATCH(Calculations!$E457,'2018_commission_structure'!$A$11:$A$14,0), MATCH(Calculations!Q$1,'2018_commission_structure'!$A$11:$I$11,0)),0)</f>
        <v>0</v>
      </c>
      <c r="R457" s="7">
        <f>IF($H457&gt;K457,MIN($H457-K457,L457-K457)*INDEX('2018_commission_structure'!$A$11:$I$14,MATCH(Calculations!$E457,'2018_commission_structure'!$A$11:$A$14,0), MATCH(Calculations!R$1,'2018_commission_structure'!$A$11:$I$11,0)),0)</f>
        <v>0</v>
      </c>
      <c r="S457" s="7">
        <f>IF(H457&gt;L457,(H457-L457)*INDEX('2018_commission_structure'!$A$11:$I$14,MATCH(Calculations!$E457,'2018_commission_structure'!$A$11:$A$14,0),MATCH(Calculations!S$1,'2018_commission_structure'!$A$11:$I$11,0)),0)</f>
        <v>0</v>
      </c>
      <c r="T457" s="7">
        <f t="shared" si="68"/>
        <v>102952.43</v>
      </c>
      <c r="U457" s="7">
        <f t="shared" si="69"/>
        <v>176460.43</v>
      </c>
      <c r="V457" s="7">
        <f>MIN(H457,I457)*INDEX('2018_commission_structure'!$A$5:$J$8,MATCH(Calculations!$E457,'2018_commission_structure'!$A$5:$A$8,0),MATCH(Calculations!V$1,'2018_commission_structure'!$A$5:$J$5,0))</f>
        <v>90000</v>
      </c>
      <c r="W457" s="2">
        <f>IF($H457&gt;I457,MIN($H457-I457,J457-I457)*INDEX('2018_commission_structure'!$A$5:$J$8,MATCH(Calculations!$E457,'2018_commission_structure'!$A$5:$A$8,0),MATCH(Calculations!W$1,'2018_commission_structure'!$A$5:$J$5,0)),0)</f>
        <v>26420.219999999998</v>
      </c>
      <c r="X457" s="2">
        <f>IF($H457&gt;J457,MIN($H457-J457,K457-J457)*INDEX('2018_commission_structure'!$A$5:$J$8,MATCH(Calculations!$E457,'2018_commission_structure'!$A$5:$A$8,0),MATCH(Calculations!X$1,'2018_commission_structure'!$A$5:$J$5,0)),0)</f>
        <v>0</v>
      </c>
      <c r="Y457" s="2">
        <f>IF($H457&gt;K457,MIN($H457-K457,L457-K457)*INDEX('2018_commission_structure'!$A$5:$J$8,MATCH(Calculations!$E457,'2018_commission_structure'!$A$5:$A$8,0),MATCH(Calculations!Y$1,'2018_commission_structure'!$A$5:$J$5,0)),0)</f>
        <v>0</v>
      </c>
      <c r="Z457" s="2">
        <f xml:space="preserve"> IF(H457&gt;L457,(H457-L457)*INDEX('2018_commission_structure'!$A$11:$I$14,MATCH(Calculations!$E457,'2018_commission_structure'!$A$11:$A$14,0),MATCH(Calculations!Z$1,'2018_commission_structure'!$A$11:$I$11,0)),0)</f>
        <v>0</v>
      </c>
      <c r="AA457" s="7">
        <f t="shared" si="70"/>
        <v>116420.22</v>
      </c>
      <c r="AB457" s="7">
        <f t="shared" si="71"/>
        <v>189928.22</v>
      </c>
    </row>
    <row r="458" spans="1:28" x14ac:dyDescent="0.25">
      <c r="A458">
        <v>994826516</v>
      </c>
      <c r="B458" t="s">
        <v>712</v>
      </c>
      <c r="C458" t="s">
        <v>713</v>
      </c>
      <c r="D458" t="str">
        <f>B458&amp;" "&amp;C458</f>
        <v>Ranique Hyatt</v>
      </c>
      <c r="E458" t="s">
        <v>7</v>
      </c>
      <c r="F458">
        <v>32317</v>
      </c>
      <c r="G458">
        <f>COUNTIF(deals_closed!D:D,Calculations!A458)</f>
        <v>20</v>
      </c>
      <c r="H458" s="2">
        <f>SUMIF(deals_closed!D:D,Calculations!A458,deals_closed!C:C)</f>
        <v>830753</v>
      </c>
      <c r="I458" s="2">
        <f>VLOOKUP(E458,'2018_commission_structure'!$A$11:$I$14,9,FALSE)</f>
        <v>500000</v>
      </c>
      <c r="J458" s="2">
        <f t="shared" si="63"/>
        <v>625000</v>
      </c>
      <c r="K458" s="2">
        <f t="shared" si="64"/>
        <v>750000</v>
      </c>
      <c r="L458" s="2">
        <f t="shared" si="65"/>
        <v>1000000</v>
      </c>
      <c r="M458" s="6">
        <f t="shared" si="66"/>
        <v>1.6615059999999999</v>
      </c>
      <c r="N458" t="str">
        <f t="shared" si="67"/>
        <v>150-200%</v>
      </c>
      <c r="O458" s="7">
        <f>MIN(I458,H458)*INDEX('2018_commission_structure'!$A$11:$I$14,MATCH(Calculations!$E458,'2018_commission_structure'!$A$11:$A$14,0),MATCH(Calculations!O$1,'2018_commission_structure'!$A$11:$I$11,0))</f>
        <v>50000</v>
      </c>
      <c r="P458" s="7">
        <f>IF($H458&gt;I458,MIN($H458-I458,J458-I458)*INDEX('2018_commission_structure'!$A$11:$I$14,MATCH(Calculations!$E458,'2018_commission_structure'!$A$11:$A$14,0), MATCH(Calculations!P$1,'2018_commission_structure'!$A$11:$I$11,0)),0)</f>
        <v>18750</v>
      </c>
      <c r="Q458" s="7">
        <f>IF($H458&gt;J458,MIN($H458-J458,K458-J458)*INDEX('2018_commission_structure'!$A$11:$I$14,MATCH(Calculations!$E458,'2018_commission_structure'!$A$11:$A$14,0), MATCH(Calculations!Q$1,'2018_commission_structure'!$A$11:$I$11,0)),0)</f>
        <v>22500</v>
      </c>
      <c r="R458" s="7">
        <f>IF($H458&gt;K458,MIN($H458-K458,L458-K458)*INDEX('2018_commission_structure'!$A$11:$I$14,MATCH(Calculations!$E458,'2018_commission_structure'!$A$11:$A$14,0), MATCH(Calculations!R$1,'2018_commission_structure'!$A$11:$I$11,0)),0)</f>
        <v>17765.66</v>
      </c>
      <c r="S458" s="7">
        <f>IF(H458&gt;L458,(H458-L458)*INDEX('2018_commission_structure'!$A$11:$I$14,MATCH(Calculations!$E458,'2018_commission_structure'!$A$11:$A$14,0),MATCH(Calculations!S$1,'2018_commission_structure'!$A$11:$I$11,0)),0)</f>
        <v>0</v>
      </c>
      <c r="T458" s="7">
        <f t="shared" si="68"/>
        <v>109015.66</v>
      </c>
      <c r="U458" s="7">
        <f t="shared" si="69"/>
        <v>141332.66</v>
      </c>
      <c r="V458" s="7">
        <f>MIN(H458,I458)*INDEX('2018_commission_structure'!$A$5:$J$8,MATCH(Calculations!$E458,'2018_commission_structure'!$A$5:$A$8,0),MATCH(Calculations!V$1,'2018_commission_structure'!$A$5:$J$5,0))</f>
        <v>60000</v>
      </c>
      <c r="W458" s="2">
        <f>IF($H458&gt;I458,MIN($H458-I458,J458-I458)*INDEX('2018_commission_structure'!$A$5:$J$8,MATCH(Calculations!$E458,'2018_commission_structure'!$A$5:$A$8,0),MATCH(Calculations!W$1,'2018_commission_structure'!$A$5:$J$5,0)),0)</f>
        <v>21250</v>
      </c>
      <c r="X458" s="2">
        <f>IF($H458&gt;J458,MIN($H458-J458,K458-J458)*INDEX('2018_commission_structure'!$A$5:$J$8,MATCH(Calculations!$E458,'2018_commission_structure'!$A$5:$A$8,0),MATCH(Calculations!X$1,'2018_commission_structure'!$A$5:$J$5,0)),0)</f>
        <v>25000</v>
      </c>
      <c r="Y458" s="2">
        <f>IF($H458&gt;K458,MIN($H458-K458,L458-K458)*INDEX('2018_commission_structure'!$A$5:$J$8,MATCH(Calculations!$E458,'2018_commission_structure'!$A$5:$A$8,0),MATCH(Calculations!Y$1,'2018_commission_structure'!$A$5:$J$5,0)),0)</f>
        <v>17765.66</v>
      </c>
      <c r="Z458" s="2">
        <f xml:space="preserve"> IF(H458&gt;L458,(H458-L458)*INDEX('2018_commission_structure'!$A$11:$I$14,MATCH(Calculations!$E458,'2018_commission_structure'!$A$11:$A$14,0),MATCH(Calculations!Z$1,'2018_commission_structure'!$A$11:$I$11,0)),0)</f>
        <v>0</v>
      </c>
      <c r="AA458" s="7">
        <f t="shared" si="70"/>
        <v>124015.66</v>
      </c>
      <c r="AB458" s="7">
        <f t="shared" si="71"/>
        <v>156332.66</v>
      </c>
    </row>
    <row r="459" spans="1:28" x14ac:dyDescent="0.25">
      <c r="A459">
        <v>7778092905</v>
      </c>
      <c r="B459" t="s">
        <v>1152</v>
      </c>
      <c r="C459" t="s">
        <v>1153</v>
      </c>
      <c r="D459" t="str">
        <f>B459&amp;" "&amp;C459</f>
        <v>Darcie Hylands</v>
      </c>
      <c r="E459" t="s">
        <v>10</v>
      </c>
      <c r="F459">
        <v>121420</v>
      </c>
      <c r="G459">
        <f>COUNTIF(deals_closed!D:D,Calculations!A459)</f>
        <v>25</v>
      </c>
      <c r="H459" s="2">
        <f>SUMIF(deals_closed!D:D,Calculations!A459,deals_closed!C:C)</f>
        <v>880318</v>
      </c>
      <c r="I459" s="2">
        <f>VLOOKUP(E459,'2018_commission_structure'!$A$11:$I$14,9,FALSE)</f>
        <v>750000</v>
      </c>
      <c r="J459" s="2">
        <f t="shared" si="63"/>
        <v>937500</v>
      </c>
      <c r="K459" s="2">
        <f t="shared" si="64"/>
        <v>1125000</v>
      </c>
      <c r="L459" s="2">
        <f t="shared" si="65"/>
        <v>1500000</v>
      </c>
      <c r="M459" s="6">
        <f t="shared" si="66"/>
        <v>1.1737573333333333</v>
      </c>
      <c r="N459" t="str">
        <f t="shared" si="67"/>
        <v>100-125%</v>
      </c>
      <c r="O459" s="7">
        <f>MIN(I459,H459)*INDEX('2018_commission_structure'!$A$11:$I$14,MATCH(Calculations!$E459,'2018_commission_structure'!$A$11:$A$14,0),MATCH(Calculations!O$1,'2018_commission_structure'!$A$11:$I$11,0))</f>
        <v>112500</v>
      </c>
      <c r="P459" s="7">
        <f>IF($H459&gt;I459,MIN($H459-I459,J459-I459)*INDEX('2018_commission_structure'!$A$11:$I$14,MATCH(Calculations!$E459,'2018_commission_structure'!$A$11:$A$14,0), MATCH(Calculations!P$1,'2018_commission_structure'!$A$11:$I$11,0)),0)</f>
        <v>24760.420000000002</v>
      </c>
      <c r="Q459" s="7">
        <f>IF($H459&gt;J459,MIN($H459-J459,K459-J459)*INDEX('2018_commission_structure'!$A$11:$I$14,MATCH(Calculations!$E459,'2018_commission_structure'!$A$11:$A$14,0), MATCH(Calculations!Q$1,'2018_commission_structure'!$A$11:$I$11,0)),0)</f>
        <v>0</v>
      </c>
      <c r="R459" s="7">
        <f>IF($H459&gt;K459,MIN($H459-K459,L459-K459)*INDEX('2018_commission_structure'!$A$11:$I$14,MATCH(Calculations!$E459,'2018_commission_structure'!$A$11:$A$14,0), MATCH(Calculations!R$1,'2018_commission_structure'!$A$11:$I$11,0)),0)</f>
        <v>0</v>
      </c>
      <c r="S459" s="7">
        <f>IF(H459&gt;L459,(H459-L459)*INDEX('2018_commission_structure'!$A$11:$I$14,MATCH(Calculations!$E459,'2018_commission_structure'!$A$11:$A$14,0),MATCH(Calculations!S$1,'2018_commission_structure'!$A$11:$I$11,0)),0)</f>
        <v>0</v>
      </c>
      <c r="T459" s="7">
        <f t="shared" si="68"/>
        <v>137260.42000000001</v>
      </c>
      <c r="U459" s="7">
        <f t="shared" si="69"/>
        <v>258680.42</v>
      </c>
      <c r="V459" s="7">
        <f>MIN(H459,I459)*INDEX('2018_commission_structure'!$A$5:$J$8,MATCH(Calculations!$E459,'2018_commission_structure'!$A$5:$A$8,0),MATCH(Calculations!V$1,'2018_commission_structure'!$A$5:$J$5,0))</f>
        <v>112500</v>
      </c>
      <c r="W459" s="2">
        <f>IF($H459&gt;I459,MIN($H459-I459,J459-I459)*INDEX('2018_commission_structure'!$A$5:$J$8,MATCH(Calculations!$E459,'2018_commission_structure'!$A$5:$A$8,0),MATCH(Calculations!W$1,'2018_commission_structure'!$A$5:$J$5,0)),0)</f>
        <v>28669.96</v>
      </c>
      <c r="X459" s="2">
        <f>IF($H459&gt;J459,MIN($H459-J459,K459-J459)*INDEX('2018_commission_structure'!$A$5:$J$8,MATCH(Calculations!$E459,'2018_commission_structure'!$A$5:$A$8,0),MATCH(Calculations!X$1,'2018_commission_structure'!$A$5:$J$5,0)),0)</f>
        <v>0</v>
      </c>
      <c r="Y459" s="2">
        <f>IF($H459&gt;K459,MIN($H459-K459,L459-K459)*INDEX('2018_commission_structure'!$A$5:$J$8,MATCH(Calculations!$E459,'2018_commission_structure'!$A$5:$A$8,0),MATCH(Calculations!Y$1,'2018_commission_structure'!$A$5:$J$5,0)),0)</f>
        <v>0</v>
      </c>
      <c r="Z459" s="2">
        <f xml:space="preserve"> IF(H459&gt;L459,(H459-L459)*INDEX('2018_commission_structure'!$A$11:$I$14,MATCH(Calculations!$E459,'2018_commission_structure'!$A$11:$A$14,0),MATCH(Calculations!Z$1,'2018_commission_structure'!$A$11:$I$11,0)),0)</f>
        <v>0</v>
      </c>
      <c r="AA459" s="7">
        <f t="shared" si="70"/>
        <v>141169.96</v>
      </c>
      <c r="AB459" s="7">
        <f t="shared" si="71"/>
        <v>262589.95999999996</v>
      </c>
    </row>
    <row r="460" spans="1:28" x14ac:dyDescent="0.25">
      <c r="A460">
        <v>6852060985</v>
      </c>
      <c r="B460" t="s">
        <v>141</v>
      </c>
      <c r="C460" t="s">
        <v>142</v>
      </c>
      <c r="D460" t="str">
        <f>B460&amp;" "&amp;C460</f>
        <v>Konstance Iacovelli</v>
      </c>
      <c r="E460" t="s">
        <v>29</v>
      </c>
      <c r="F460">
        <v>59859</v>
      </c>
      <c r="G460">
        <f>COUNTIF(deals_closed!D:D,Calculations!A460)</f>
        <v>17</v>
      </c>
      <c r="H460" s="2">
        <f>SUMIF(deals_closed!D:D,Calculations!A460,deals_closed!C:C)</f>
        <v>623497</v>
      </c>
      <c r="I460" s="2">
        <f>VLOOKUP(E460,'2018_commission_structure'!$A$11:$I$14,9,FALSE)</f>
        <v>600000</v>
      </c>
      <c r="J460" s="2">
        <f t="shared" si="63"/>
        <v>750000</v>
      </c>
      <c r="K460" s="2">
        <f t="shared" si="64"/>
        <v>900000</v>
      </c>
      <c r="L460" s="2">
        <f t="shared" si="65"/>
        <v>1200000</v>
      </c>
      <c r="M460" s="6">
        <f t="shared" si="66"/>
        <v>1.0391616666666668</v>
      </c>
      <c r="N460" t="str">
        <f t="shared" si="67"/>
        <v>100-125%</v>
      </c>
      <c r="O460" s="7">
        <f>MIN(I460,H460)*INDEX('2018_commission_structure'!$A$11:$I$14,MATCH(Calculations!$E460,'2018_commission_structure'!$A$11:$A$14,0),MATCH(Calculations!O$1,'2018_commission_structure'!$A$11:$I$11,0))</f>
        <v>78000</v>
      </c>
      <c r="P460" s="7">
        <f>IF($H460&gt;I460,MIN($H460-I460,J460-I460)*INDEX('2018_commission_structure'!$A$11:$I$14,MATCH(Calculations!$E460,'2018_commission_structure'!$A$11:$A$14,0), MATCH(Calculations!P$1,'2018_commission_structure'!$A$11:$I$11,0)),0)</f>
        <v>3994.4900000000002</v>
      </c>
      <c r="Q460" s="7">
        <f>IF($H460&gt;J460,MIN($H460-J460,K460-J460)*INDEX('2018_commission_structure'!$A$11:$I$14,MATCH(Calculations!$E460,'2018_commission_structure'!$A$11:$A$14,0), MATCH(Calculations!Q$1,'2018_commission_structure'!$A$11:$I$11,0)),0)</f>
        <v>0</v>
      </c>
      <c r="R460" s="7">
        <f>IF($H460&gt;K460,MIN($H460-K460,L460-K460)*INDEX('2018_commission_structure'!$A$11:$I$14,MATCH(Calculations!$E460,'2018_commission_structure'!$A$11:$A$14,0), MATCH(Calculations!R$1,'2018_commission_structure'!$A$11:$I$11,0)),0)</f>
        <v>0</v>
      </c>
      <c r="S460" s="7">
        <f>IF(H460&gt;L460,(H460-L460)*INDEX('2018_commission_structure'!$A$11:$I$14,MATCH(Calculations!$E460,'2018_commission_structure'!$A$11:$A$14,0),MATCH(Calculations!S$1,'2018_commission_structure'!$A$11:$I$11,0)),0)</f>
        <v>0</v>
      </c>
      <c r="T460" s="7">
        <f t="shared" si="68"/>
        <v>81994.490000000005</v>
      </c>
      <c r="U460" s="7">
        <f t="shared" si="69"/>
        <v>141853.49</v>
      </c>
      <c r="V460" s="7">
        <f>MIN(H460,I460)*INDEX('2018_commission_structure'!$A$5:$J$8,MATCH(Calculations!$E460,'2018_commission_structure'!$A$5:$A$8,0),MATCH(Calculations!V$1,'2018_commission_structure'!$A$5:$J$5,0))</f>
        <v>90000</v>
      </c>
      <c r="W460" s="2">
        <f>IF($H460&gt;I460,MIN($H460-I460,J460-I460)*INDEX('2018_commission_structure'!$A$5:$J$8,MATCH(Calculations!$E460,'2018_commission_structure'!$A$5:$A$8,0),MATCH(Calculations!W$1,'2018_commission_structure'!$A$5:$J$5,0)),0)</f>
        <v>4229.46</v>
      </c>
      <c r="X460" s="2">
        <f>IF($H460&gt;J460,MIN($H460-J460,K460-J460)*INDEX('2018_commission_structure'!$A$5:$J$8,MATCH(Calculations!$E460,'2018_commission_structure'!$A$5:$A$8,0),MATCH(Calculations!X$1,'2018_commission_structure'!$A$5:$J$5,0)),0)</f>
        <v>0</v>
      </c>
      <c r="Y460" s="2">
        <f>IF($H460&gt;K460,MIN($H460-K460,L460-K460)*INDEX('2018_commission_structure'!$A$5:$J$8,MATCH(Calculations!$E460,'2018_commission_structure'!$A$5:$A$8,0),MATCH(Calculations!Y$1,'2018_commission_structure'!$A$5:$J$5,0)),0)</f>
        <v>0</v>
      </c>
      <c r="Z460" s="2">
        <f xml:space="preserve"> IF(H460&gt;L460,(H460-L460)*INDEX('2018_commission_structure'!$A$11:$I$14,MATCH(Calculations!$E460,'2018_commission_structure'!$A$11:$A$14,0),MATCH(Calculations!Z$1,'2018_commission_structure'!$A$11:$I$11,0)),0)</f>
        <v>0</v>
      </c>
      <c r="AA460" s="7">
        <f t="shared" si="70"/>
        <v>94229.46</v>
      </c>
      <c r="AB460" s="7">
        <f t="shared" si="71"/>
        <v>154088.46000000002</v>
      </c>
    </row>
    <row r="461" spans="1:28" x14ac:dyDescent="0.25">
      <c r="A461">
        <v>8277918739</v>
      </c>
      <c r="B461" t="s">
        <v>1131</v>
      </c>
      <c r="C461" t="s">
        <v>1245</v>
      </c>
      <c r="D461" t="str">
        <f>B461&amp;" "&amp;C461</f>
        <v>Ddene Iddiens</v>
      </c>
      <c r="E461" t="s">
        <v>7</v>
      </c>
      <c r="F461">
        <v>42146</v>
      </c>
      <c r="G461">
        <f>COUNTIF(deals_closed!D:D,Calculations!A461)</f>
        <v>15</v>
      </c>
      <c r="H461" s="2">
        <f>SUMIF(deals_closed!D:D,Calculations!A461,deals_closed!C:C)</f>
        <v>505122</v>
      </c>
      <c r="I461" s="2">
        <f>VLOOKUP(E461,'2018_commission_structure'!$A$11:$I$14,9,FALSE)</f>
        <v>500000</v>
      </c>
      <c r="J461" s="2">
        <f t="shared" si="63"/>
        <v>625000</v>
      </c>
      <c r="K461" s="2">
        <f t="shared" si="64"/>
        <v>750000</v>
      </c>
      <c r="L461" s="2">
        <f t="shared" si="65"/>
        <v>1000000</v>
      </c>
      <c r="M461" s="6">
        <f t="shared" si="66"/>
        <v>1.0102439999999999</v>
      </c>
      <c r="N461" t="str">
        <f t="shared" si="67"/>
        <v>100-125%</v>
      </c>
      <c r="O461" s="7">
        <f>MIN(I461,H461)*INDEX('2018_commission_structure'!$A$11:$I$14,MATCH(Calculations!$E461,'2018_commission_structure'!$A$11:$A$14,0),MATCH(Calculations!O$1,'2018_commission_structure'!$A$11:$I$11,0))</f>
        <v>50000</v>
      </c>
      <c r="P461" s="7">
        <f>IF($H461&gt;I461,MIN($H461-I461,J461-I461)*INDEX('2018_commission_structure'!$A$11:$I$14,MATCH(Calculations!$E461,'2018_commission_structure'!$A$11:$A$14,0), MATCH(Calculations!P$1,'2018_commission_structure'!$A$11:$I$11,0)),0)</f>
        <v>768.3</v>
      </c>
      <c r="Q461" s="7">
        <f>IF($H461&gt;J461,MIN($H461-J461,K461-J461)*INDEX('2018_commission_structure'!$A$11:$I$14,MATCH(Calculations!$E461,'2018_commission_structure'!$A$11:$A$14,0), MATCH(Calculations!Q$1,'2018_commission_structure'!$A$11:$I$11,0)),0)</f>
        <v>0</v>
      </c>
      <c r="R461" s="7">
        <f>IF($H461&gt;K461,MIN($H461-K461,L461-K461)*INDEX('2018_commission_structure'!$A$11:$I$14,MATCH(Calculations!$E461,'2018_commission_structure'!$A$11:$A$14,0), MATCH(Calculations!R$1,'2018_commission_structure'!$A$11:$I$11,0)),0)</f>
        <v>0</v>
      </c>
      <c r="S461" s="7">
        <f>IF(H461&gt;L461,(H461-L461)*INDEX('2018_commission_structure'!$A$11:$I$14,MATCH(Calculations!$E461,'2018_commission_structure'!$A$11:$A$14,0),MATCH(Calculations!S$1,'2018_commission_structure'!$A$11:$I$11,0)),0)</f>
        <v>0</v>
      </c>
      <c r="T461" s="7">
        <f t="shared" si="68"/>
        <v>50768.3</v>
      </c>
      <c r="U461" s="7">
        <f t="shared" si="69"/>
        <v>92914.3</v>
      </c>
      <c r="V461" s="7">
        <f>MIN(H461,I461)*INDEX('2018_commission_structure'!$A$5:$J$8,MATCH(Calculations!$E461,'2018_commission_structure'!$A$5:$A$8,0),MATCH(Calculations!V$1,'2018_commission_structure'!$A$5:$J$5,0))</f>
        <v>60000</v>
      </c>
      <c r="W461" s="2">
        <f>IF($H461&gt;I461,MIN($H461-I461,J461-I461)*INDEX('2018_commission_structure'!$A$5:$J$8,MATCH(Calculations!$E461,'2018_commission_structure'!$A$5:$A$8,0),MATCH(Calculations!W$1,'2018_commission_structure'!$A$5:$J$5,0)),0)</f>
        <v>870.74</v>
      </c>
      <c r="X461" s="2">
        <f>IF($H461&gt;J461,MIN($H461-J461,K461-J461)*INDEX('2018_commission_structure'!$A$5:$J$8,MATCH(Calculations!$E461,'2018_commission_structure'!$A$5:$A$8,0),MATCH(Calculations!X$1,'2018_commission_structure'!$A$5:$J$5,0)),0)</f>
        <v>0</v>
      </c>
      <c r="Y461" s="2">
        <f>IF($H461&gt;K461,MIN($H461-K461,L461-K461)*INDEX('2018_commission_structure'!$A$5:$J$8,MATCH(Calculations!$E461,'2018_commission_structure'!$A$5:$A$8,0),MATCH(Calculations!Y$1,'2018_commission_structure'!$A$5:$J$5,0)),0)</f>
        <v>0</v>
      </c>
      <c r="Z461" s="2">
        <f xml:space="preserve"> IF(H461&gt;L461,(H461-L461)*INDEX('2018_commission_structure'!$A$11:$I$14,MATCH(Calculations!$E461,'2018_commission_structure'!$A$11:$A$14,0),MATCH(Calculations!Z$1,'2018_commission_structure'!$A$11:$I$11,0)),0)</f>
        <v>0</v>
      </c>
      <c r="AA461" s="7">
        <f t="shared" si="70"/>
        <v>60870.74</v>
      </c>
      <c r="AB461" s="7">
        <f t="shared" si="71"/>
        <v>103016.73999999999</v>
      </c>
    </row>
    <row r="462" spans="1:28" x14ac:dyDescent="0.25">
      <c r="A462">
        <v>8516539148</v>
      </c>
      <c r="B462" t="s">
        <v>1555</v>
      </c>
      <c r="C462" t="s">
        <v>1556</v>
      </c>
      <c r="D462" t="str">
        <f>B462&amp;" "&amp;C462</f>
        <v>Elena Ilyukhov</v>
      </c>
      <c r="E462" t="s">
        <v>10</v>
      </c>
      <c r="F462">
        <v>90234</v>
      </c>
      <c r="G462">
        <f>COUNTIF(deals_closed!D:D,Calculations!A462)</f>
        <v>19</v>
      </c>
      <c r="H462" s="2">
        <f>SUMIF(deals_closed!D:D,Calculations!A462,deals_closed!C:C)</f>
        <v>664840</v>
      </c>
      <c r="I462" s="2">
        <f>VLOOKUP(E462,'2018_commission_structure'!$A$11:$I$14,9,FALSE)</f>
        <v>750000</v>
      </c>
      <c r="J462" s="2">
        <f t="shared" si="63"/>
        <v>937500</v>
      </c>
      <c r="K462" s="2">
        <f t="shared" si="64"/>
        <v>1125000</v>
      </c>
      <c r="L462" s="2">
        <f t="shared" si="65"/>
        <v>1500000</v>
      </c>
      <c r="M462" s="6">
        <f t="shared" si="66"/>
        <v>0.88645333333333332</v>
      </c>
      <c r="N462" t="str">
        <f t="shared" si="67"/>
        <v>0-100%</v>
      </c>
      <c r="O462" s="7">
        <f>MIN(I462,H462)*INDEX('2018_commission_structure'!$A$11:$I$14,MATCH(Calculations!$E462,'2018_commission_structure'!$A$11:$A$14,0),MATCH(Calculations!O$1,'2018_commission_structure'!$A$11:$I$11,0))</f>
        <v>99726</v>
      </c>
      <c r="P462" s="7">
        <f>IF($H462&gt;I462,MIN($H462-I462,J462-I462)*INDEX('2018_commission_structure'!$A$11:$I$14,MATCH(Calculations!$E462,'2018_commission_structure'!$A$11:$A$14,0), MATCH(Calculations!P$1,'2018_commission_structure'!$A$11:$I$11,0)),0)</f>
        <v>0</v>
      </c>
      <c r="Q462" s="7">
        <f>IF($H462&gt;J462,MIN($H462-J462,K462-J462)*INDEX('2018_commission_structure'!$A$11:$I$14,MATCH(Calculations!$E462,'2018_commission_structure'!$A$11:$A$14,0), MATCH(Calculations!Q$1,'2018_commission_structure'!$A$11:$I$11,0)),0)</f>
        <v>0</v>
      </c>
      <c r="R462" s="7">
        <f>IF($H462&gt;K462,MIN($H462-K462,L462-K462)*INDEX('2018_commission_structure'!$A$11:$I$14,MATCH(Calculations!$E462,'2018_commission_structure'!$A$11:$A$14,0), MATCH(Calculations!R$1,'2018_commission_structure'!$A$11:$I$11,0)),0)</f>
        <v>0</v>
      </c>
      <c r="S462" s="7">
        <f>IF(H462&gt;L462,(H462-L462)*INDEX('2018_commission_structure'!$A$11:$I$14,MATCH(Calculations!$E462,'2018_commission_structure'!$A$11:$A$14,0),MATCH(Calculations!S$1,'2018_commission_structure'!$A$11:$I$11,0)),0)</f>
        <v>0</v>
      </c>
      <c r="T462" s="7">
        <f t="shared" si="68"/>
        <v>99726</v>
      </c>
      <c r="U462" s="7">
        <f t="shared" si="69"/>
        <v>189960</v>
      </c>
      <c r="V462" s="7">
        <f>MIN(H462,I462)*INDEX('2018_commission_structure'!$A$5:$J$8,MATCH(Calculations!$E462,'2018_commission_structure'!$A$5:$A$8,0),MATCH(Calculations!V$1,'2018_commission_structure'!$A$5:$J$5,0))</f>
        <v>99726</v>
      </c>
      <c r="W462" s="2">
        <f>IF($H462&gt;I462,MIN($H462-I462,J462-I462)*INDEX('2018_commission_structure'!$A$5:$J$8,MATCH(Calculations!$E462,'2018_commission_structure'!$A$5:$A$8,0),MATCH(Calculations!W$1,'2018_commission_structure'!$A$5:$J$5,0)),0)</f>
        <v>0</v>
      </c>
      <c r="X462" s="2">
        <f>IF($H462&gt;J462,MIN($H462-J462,K462-J462)*INDEX('2018_commission_structure'!$A$5:$J$8,MATCH(Calculations!$E462,'2018_commission_structure'!$A$5:$A$8,0),MATCH(Calculations!X$1,'2018_commission_structure'!$A$5:$J$5,0)),0)</f>
        <v>0</v>
      </c>
      <c r="Y462" s="2">
        <f>IF($H462&gt;K462,MIN($H462-K462,L462-K462)*INDEX('2018_commission_structure'!$A$5:$J$8,MATCH(Calculations!$E462,'2018_commission_structure'!$A$5:$A$8,0),MATCH(Calculations!Y$1,'2018_commission_structure'!$A$5:$J$5,0)),0)</f>
        <v>0</v>
      </c>
      <c r="Z462" s="2">
        <f xml:space="preserve"> IF(H462&gt;L462,(H462-L462)*INDEX('2018_commission_structure'!$A$11:$I$14,MATCH(Calculations!$E462,'2018_commission_structure'!$A$11:$A$14,0),MATCH(Calculations!Z$1,'2018_commission_structure'!$A$11:$I$11,0)),0)</f>
        <v>0</v>
      </c>
      <c r="AA462" s="7">
        <f t="shared" si="70"/>
        <v>99726</v>
      </c>
      <c r="AB462" s="7">
        <f t="shared" si="71"/>
        <v>189960</v>
      </c>
    </row>
    <row r="463" spans="1:28" x14ac:dyDescent="0.25">
      <c r="A463">
        <v>7957976743</v>
      </c>
      <c r="B463" t="s">
        <v>611</v>
      </c>
      <c r="C463" t="s">
        <v>612</v>
      </c>
      <c r="D463" t="str">
        <f>B463&amp;" "&amp;C463</f>
        <v>Kara-lynn Ingarfill</v>
      </c>
      <c r="E463" t="s">
        <v>7</v>
      </c>
      <c r="F463">
        <v>37175</v>
      </c>
      <c r="G463">
        <f>COUNTIF(deals_closed!D:D,Calculations!A463)</f>
        <v>30</v>
      </c>
      <c r="H463" s="2">
        <f>SUMIF(deals_closed!D:D,Calculations!A463,deals_closed!C:C)</f>
        <v>1056123</v>
      </c>
      <c r="I463" s="2">
        <f>VLOOKUP(E463,'2018_commission_structure'!$A$11:$I$14,9,FALSE)</f>
        <v>500000</v>
      </c>
      <c r="J463" s="2">
        <f t="shared" si="63"/>
        <v>625000</v>
      </c>
      <c r="K463" s="2">
        <f t="shared" si="64"/>
        <v>750000</v>
      </c>
      <c r="L463" s="2">
        <f t="shared" si="65"/>
        <v>1000000</v>
      </c>
      <c r="M463" s="6">
        <f t="shared" si="66"/>
        <v>2.1122459999999998</v>
      </c>
      <c r="N463" t="str">
        <f t="shared" si="67"/>
        <v>&gt;200%</v>
      </c>
      <c r="O463" s="7">
        <f>MIN(I463,H463)*INDEX('2018_commission_structure'!$A$11:$I$14,MATCH(Calculations!$E463,'2018_commission_structure'!$A$11:$A$14,0),MATCH(Calculations!O$1,'2018_commission_structure'!$A$11:$I$11,0))</f>
        <v>50000</v>
      </c>
      <c r="P463" s="7">
        <f>IF($H463&gt;I463,MIN($H463-I463,J463-I463)*INDEX('2018_commission_structure'!$A$11:$I$14,MATCH(Calculations!$E463,'2018_commission_structure'!$A$11:$A$14,0), MATCH(Calculations!P$1,'2018_commission_structure'!$A$11:$I$11,0)),0)</f>
        <v>18750</v>
      </c>
      <c r="Q463" s="7">
        <f>IF($H463&gt;J463,MIN($H463-J463,K463-J463)*INDEX('2018_commission_structure'!$A$11:$I$14,MATCH(Calculations!$E463,'2018_commission_structure'!$A$11:$A$14,0), MATCH(Calculations!Q$1,'2018_commission_structure'!$A$11:$I$11,0)),0)</f>
        <v>22500</v>
      </c>
      <c r="R463" s="7">
        <f>IF($H463&gt;K463,MIN($H463-K463,L463-K463)*INDEX('2018_commission_structure'!$A$11:$I$14,MATCH(Calculations!$E463,'2018_commission_structure'!$A$11:$A$14,0), MATCH(Calculations!R$1,'2018_commission_structure'!$A$11:$I$11,0)),0)</f>
        <v>55000</v>
      </c>
      <c r="S463" s="7">
        <f>IF(H463&gt;L463,(H463-L463)*INDEX('2018_commission_structure'!$A$11:$I$14,MATCH(Calculations!$E463,'2018_commission_structure'!$A$11:$A$14,0),MATCH(Calculations!S$1,'2018_commission_structure'!$A$11:$I$11,0)),0)</f>
        <v>5612.3</v>
      </c>
      <c r="T463" s="7">
        <f t="shared" si="68"/>
        <v>151862.29999999999</v>
      </c>
      <c r="U463" s="7">
        <f t="shared" si="69"/>
        <v>189037.3</v>
      </c>
      <c r="V463" s="7">
        <f>MIN(H463,I463)*INDEX('2018_commission_structure'!$A$5:$J$8,MATCH(Calculations!$E463,'2018_commission_structure'!$A$5:$A$8,0),MATCH(Calculations!V$1,'2018_commission_structure'!$A$5:$J$5,0))</f>
        <v>60000</v>
      </c>
      <c r="W463" s="2">
        <f>IF($H463&gt;I463,MIN($H463-I463,J463-I463)*INDEX('2018_commission_structure'!$A$5:$J$8,MATCH(Calculations!$E463,'2018_commission_structure'!$A$5:$A$8,0),MATCH(Calculations!W$1,'2018_commission_structure'!$A$5:$J$5,0)),0)</f>
        <v>21250</v>
      </c>
      <c r="X463" s="2">
        <f>IF($H463&gt;J463,MIN($H463-J463,K463-J463)*INDEX('2018_commission_structure'!$A$5:$J$8,MATCH(Calculations!$E463,'2018_commission_structure'!$A$5:$A$8,0),MATCH(Calculations!X$1,'2018_commission_structure'!$A$5:$J$5,0)),0)</f>
        <v>25000</v>
      </c>
      <c r="Y463" s="2">
        <f>IF($H463&gt;K463,MIN($H463-K463,L463-K463)*INDEX('2018_commission_structure'!$A$5:$J$8,MATCH(Calculations!$E463,'2018_commission_structure'!$A$5:$A$8,0),MATCH(Calculations!Y$1,'2018_commission_structure'!$A$5:$J$5,0)),0)</f>
        <v>55000</v>
      </c>
      <c r="Z463" s="2">
        <f xml:space="preserve"> IF(H463&gt;L463,(H463-L463)*INDEX('2018_commission_structure'!$A$11:$I$14,MATCH(Calculations!$E463,'2018_commission_structure'!$A$11:$A$14,0),MATCH(Calculations!Z$1,'2018_commission_structure'!$A$11:$I$11,0)),0)</f>
        <v>5612.3</v>
      </c>
      <c r="AA463" s="7">
        <f t="shared" si="70"/>
        <v>166862.29999999999</v>
      </c>
      <c r="AB463" s="7">
        <f t="shared" si="71"/>
        <v>204037.3</v>
      </c>
    </row>
    <row r="464" spans="1:28" x14ac:dyDescent="0.25">
      <c r="A464">
        <v>6084639828</v>
      </c>
      <c r="B464" t="s">
        <v>133</v>
      </c>
      <c r="C464" t="s">
        <v>134</v>
      </c>
      <c r="D464" t="str">
        <f>B464&amp;" "&amp;C464</f>
        <v>Yolanthe Ingrey</v>
      </c>
      <c r="E464" t="s">
        <v>29</v>
      </c>
      <c r="F464">
        <v>67908</v>
      </c>
      <c r="G464">
        <f>COUNTIF(deals_closed!D:D,Calculations!A464)</f>
        <v>24</v>
      </c>
      <c r="H464" s="2">
        <f>SUMIF(deals_closed!D:D,Calculations!A464,deals_closed!C:C)</f>
        <v>866306</v>
      </c>
      <c r="I464" s="2">
        <f>VLOOKUP(E464,'2018_commission_structure'!$A$11:$I$14,9,FALSE)</f>
        <v>600000</v>
      </c>
      <c r="J464" s="2">
        <f t="shared" si="63"/>
        <v>750000</v>
      </c>
      <c r="K464" s="2">
        <f t="shared" si="64"/>
        <v>900000</v>
      </c>
      <c r="L464" s="2">
        <f t="shared" si="65"/>
        <v>1200000</v>
      </c>
      <c r="M464" s="6">
        <f t="shared" si="66"/>
        <v>1.4438433333333334</v>
      </c>
      <c r="N464" t="str">
        <f t="shared" si="67"/>
        <v>125-150%</v>
      </c>
      <c r="O464" s="7">
        <f>MIN(I464,H464)*INDEX('2018_commission_structure'!$A$11:$I$14,MATCH(Calculations!$E464,'2018_commission_structure'!$A$11:$A$14,0),MATCH(Calculations!O$1,'2018_commission_structure'!$A$11:$I$11,0))</f>
        <v>78000</v>
      </c>
      <c r="P464" s="7">
        <f>IF($H464&gt;I464,MIN($H464-I464,J464-I464)*INDEX('2018_commission_structure'!$A$11:$I$14,MATCH(Calculations!$E464,'2018_commission_structure'!$A$11:$A$14,0), MATCH(Calculations!P$1,'2018_commission_structure'!$A$11:$I$11,0)),0)</f>
        <v>25500.000000000004</v>
      </c>
      <c r="Q464" s="7">
        <f>IF($H464&gt;J464,MIN($H464-J464,K464-J464)*INDEX('2018_commission_structure'!$A$11:$I$14,MATCH(Calculations!$E464,'2018_commission_structure'!$A$11:$A$14,0), MATCH(Calculations!Q$1,'2018_commission_structure'!$A$11:$I$11,0)),0)</f>
        <v>24424.26</v>
      </c>
      <c r="R464" s="7">
        <f>IF($H464&gt;K464,MIN($H464-K464,L464-K464)*INDEX('2018_commission_structure'!$A$11:$I$14,MATCH(Calculations!$E464,'2018_commission_structure'!$A$11:$A$14,0), MATCH(Calculations!R$1,'2018_commission_structure'!$A$11:$I$11,0)),0)</f>
        <v>0</v>
      </c>
      <c r="S464" s="7">
        <f>IF(H464&gt;L464,(H464-L464)*INDEX('2018_commission_structure'!$A$11:$I$14,MATCH(Calculations!$E464,'2018_commission_structure'!$A$11:$A$14,0),MATCH(Calculations!S$1,'2018_commission_structure'!$A$11:$I$11,0)),0)</f>
        <v>0</v>
      </c>
      <c r="T464" s="7">
        <f t="shared" si="68"/>
        <v>127924.26</v>
      </c>
      <c r="U464" s="7">
        <f t="shared" si="69"/>
        <v>195832.26</v>
      </c>
      <c r="V464" s="7">
        <f>MIN(H464,I464)*INDEX('2018_commission_structure'!$A$5:$J$8,MATCH(Calculations!$E464,'2018_commission_structure'!$A$5:$A$8,0),MATCH(Calculations!V$1,'2018_commission_structure'!$A$5:$J$5,0))</f>
        <v>90000</v>
      </c>
      <c r="W464" s="2">
        <f>IF($H464&gt;I464,MIN($H464-I464,J464-I464)*INDEX('2018_commission_structure'!$A$5:$J$8,MATCH(Calculations!$E464,'2018_commission_structure'!$A$5:$A$8,0),MATCH(Calculations!W$1,'2018_commission_structure'!$A$5:$J$5,0)),0)</f>
        <v>27000</v>
      </c>
      <c r="X464" s="2">
        <f>IF($H464&gt;J464,MIN($H464-J464,K464-J464)*INDEX('2018_commission_structure'!$A$5:$J$8,MATCH(Calculations!$E464,'2018_commission_structure'!$A$5:$A$8,0),MATCH(Calculations!X$1,'2018_commission_structure'!$A$5:$J$5,0)),0)</f>
        <v>29076.5</v>
      </c>
      <c r="Y464" s="2">
        <f>IF($H464&gt;K464,MIN($H464-K464,L464-K464)*INDEX('2018_commission_structure'!$A$5:$J$8,MATCH(Calculations!$E464,'2018_commission_structure'!$A$5:$A$8,0),MATCH(Calculations!Y$1,'2018_commission_structure'!$A$5:$J$5,0)),0)</f>
        <v>0</v>
      </c>
      <c r="Z464" s="2">
        <f xml:space="preserve"> IF(H464&gt;L464,(H464-L464)*INDEX('2018_commission_structure'!$A$11:$I$14,MATCH(Calculations!$E464,'2018_commission_structure'!$A$11:$A$14,0),MATCH(Calculations!Z$1,'2018_commission_structure'!$A$11:$I$11,0)),0)</f>
        <v>0</v>
      </c>
      <c r="AA464" s="7">
        <f t="shared" si="70"/>
        <v>146076.5</v>
      </c>
      <c r="AB464" s="7">
        <f t="shared" si="71"/>
        <v>213984.5</v>
      </c>
    </row>
    <row r="465" spans="1:28" x14ac:dyDescent="0.25">
      <c r="A465">
        <v>1718344562</v>
      </c>
      <c r="B465" t="s">
        <v>1056</v>
      </c>
      <c r="C465" t="s">
        <v>1057</v>
      </c>
      <c r="D465" t="str">
        <f>B465&amp;" "&amp;C465</f>
        <v>Mendel Iscowitz</v>
      </c>
      <c r="E465" t="s">
        <v>10</v>
      </c>
      <c r="F465">
        <v>106547</v>
      </c>
      <c r="G465">
        <f>COUNTIF(deals_closed!D:D,Calculations!A465)</f>
        <v>20</v>
      </c>
      <c r="H465" s="2">
        <f>SUMIF(deals_closed!D:D,Calculations!A465,deals_closed!C:C)</f>
        <v>634582</v>
      </c>
      <c r="I465" s="2">
        <f>VLOOKUP(E465,'2018_commission_structure'!$A$11:$I$14,9,FALSE)</f>
        <v>750000</v>
      </c>
      <c r="J465" s="2">
        <f t="shared" si="63"/>
        <v>937500</v>
      </c>
      <c r="K465" s="2">
        <f t="shared" si="64"/>
        <v>1125000</v>
      </c>
      <c r="L465" s="2">
        <f t="shared" si="65"/>
        <v>1500000</v>
      </c>
      <c r="M465" s="6">
        <f t="shared" si="66"/>
        <v>0.84610933333333338</v>
      </c>
      <c r="N465" t="str">
        <f t="shared" si="67"/>
        <v>0-100%</v>
      </c>
      <c r="O465" s="7">
        <f>MIN(I465,H465)*INDEX('2018_commission_structure'!$A$11:$I$14,MATCH(Calculations!$E465,'2018_commission_structure'!$A$11:$A$14,0),MATCH(Calculations!O$1,'2018_commission_structure'!$A$11:$I$11,0))</f>
        <v>95187.3</v>
      </c>
      <c r="P465" s="7">
        <f>IF($H465&gt;I465,MIN($H465-I465,J465-I465)*INDEX('2018_commission_structure'!$A$11:$I$14,MATCH(Calculations!$E465,'2018_commission_structure'!$A$11:$A$14,0), MATCH(Calculations!P$1,'2018_commission_structure'!$A$11:$I$11,0)),0)</f>
        <v>0</v>
      </c>
      <c r="Q465" s="7">
        <f>IF($H465&gt;J465,MIN($H465-J465,K465-J465)*INDEX('2018_commission_structure'!$A$11:$I$14,MATCH(Calculations!$E465,'2018_commission_structure'!$A$11:$A$14,0), MATCH(Calculations!Q$1,'2018_commission_structure'!$A$11:$I$11,0)),0)</f>
        <v>0</v>
      </c>
      <c r="R465" s="7">
        <f>IF($H465&gt;K465,MIN($H465-K465,L465-K465)*INDEX('2018_commission_structure'!$A$11:$I$14,MATCH(Calculations!$E465,'2018_commission_structure'!$A$11:$A$14,0), MATCH(Calculations!R$1,'2018_commission_structure'!$A$11:$I$11,0)),0)</f>
        <v>0</v>
      </c>
      <c r="S465" s="7">
        <f>IF(H465&gt;L465,(H465-L465)*INDEX('2018_commission_structure'!$A$11:$I$14,MATCH(Calculations!$E465,'2018_commission_structure'!$A$11:$A$14,0),MATCH(Calculations!S$1,'2018_commission_structure'!$A$11:$I$11,0)),0)</f>
        <v>0</v>
      </c>
      <c r="T465" s="7">
        <f t="shared" si="68"/>
        <v>95187.3</v>
      </c>
      <c r="U465" s="7">
        <f t="shared" si="69"/>
        <v>201734.3</v>
      </c>
      <c r="V465" s="7">
        <f>MIN(H465,I465)*INDEX('2018_commission_structure'!$A$5:$J$8,MATCH(Calculations!$E465,'2018_commission_structure'!$A$5:$A$8,0),MATCH(Calculations!V$1,'2018_commission_structure'!$A$5:$J$5,0))</f>
        <v>95187.3</v>
      </c>
      <c r="W465" s="2">
        <f>IF($H465&gt;I465,MIN($H465-I465,J465-I465)*INDEX('2018_commission_structure'!$A$5:$J$8,MATCH(Calculations!$E465,'2018_commission_structure'!$A$5:$A$8,0),MATCH(Calculations!W$1,'2018_commission_structure'!$A$5:$J$5,0)),0)</f>
        <v>0</v>
      </c>
      <c r="X465" s="2">
        <f>IF($H465&gt;J465,MIN($H465-J465,K465-J465)*INDEX('2018_commission_structure'!$A$5:$J$8,MATCH(Calculations!$E465,'2018_commission_structure'!$A$5:$A$8,0),MATCH(Calculations!X$1,'2018_commission_structure'!$A$5:$J$5,0)),0)</f>
        <v>0</v>
      </c>
      <c r="Y465" s="2">
        <f>IF($H465&gt;K465,MIN($H465-K465,L465-K465)*INDEX('2018_commission_structure'!$A$5:$J$8,MATCH(Calculations!$E465,'2018_commission_structure'!$A$5:$A$8,0),MATCH(Calculations!Y$1,'2018_commission_structure'!$A$5:$J$5,0)),0)</f>
        <v>0</v>
      </c>
      <c r="Z465" s="2">
        <f xml:space="preserve"> IF(H465&gt;L465,(H465-L465)*INDEX('2018_commission_structure'!$A$11:$I$14,MATCH(Calculations!$E465,'2018_commission_structure'!$A$11:$A$14,0),MATCH(Calculations!Z$1,'2018_commission_structure'!$A$11:$I$11,0)),0)</f>
        <v>0</v>
      </c>
      <c r="AA465" s="7">
        <f t="shared" si="70"/>
        <v>95187.3</v>
      </c>
      <c r="AB465" s="7">
        <f t="shared" si="71"/>
        <v>201734.3</v>
      </c>
    </row>
    <row r="466" spans="1:28" x14ac:dyDescent="0.25">
      <c r="A466">
        <v>966588630</v>
      </c>
      <c r="B466" t="s">
        <v>89</v>
      </c>
      <c r="C466" t="s">
        <v>882</v>
      </c>
      <c r="D466" t="str">
        <f>B466&amp;" "&amp;C466</f>
        <v>Danny Itscovitz</v>
      </c>
      <c r="E466" t="s">
        <v>10</v>
      </c>
      <c r="F466">
        <v>107581</v>
      </c>
      <c r="G466">
        <f>COUNTIF(deals_closed!D:D,Calculations!A466)</f>
        <v>28</v>
      </c>
      <c r="H466" s="2">
        <f>SUMIF(deals_closed!D:D,Calculations!A466,deals_closed!C:C)</f>
        <v>973466</v>
      </c>
      <c r="I466" s="2">
        <f>VLOOKUP(E466,'2018_commission_structure'!$A$11:$I$14,9,FALSE)</f>
        <v>750000</v>
      </c>
      <c r="J466" s="2">
        <f t="shared" si="63"/>
        <v>937500</v>
      </c>
      <c r="K466" s="2">
        <f t="shared" si="64"/>
        <v>1125000</v>
      </c>
      <c r="L466" s="2">
        <f t="shared" si="65"/>
        <v>1500000</v>
      </c>
      <c r="M466" s="6">
        <f t="shared" si="66"/>
        <v>1.2979546666666666</v>
      </c>
      <c r="N466" t="str">
        <f t="shared" si="67"/>
        <v>125-150%</v>
      </c>
      <c r="O466" s="7">
        <f>MIN(I466,H466)*INDEX('2018_commission_structure'!$A$11:$I$14,MATCH(Calculations!$E466,'2018_commission_structure'!$A$11:$A$14,0),MATCH(Calculations!O$1,'2018_commission_structure'!$A$11:$I$11,0))</f>
        <v>112500</v>
      </c>
      <c r="P466" s="7">
        <f>IF($H466&gt;I466,MIN($H466-I466,J466-I466)*INDEX('2018_commission_structure'!$A$11:$I$14,MATCH(Calculations!$E466,'2018_commission_structure'!$A$11:$A$14,0), MATCH(Calculations!P$1,'2018_commission_structure'!$A$11:$I$11,0)),0)</f>
        <v>35625</v>
      </c>
      <c r="Q466" s="7">
        <f>IF($H466&gt;J466,MIN($H466-J466,K466-J466)*INDEX('2018_commission_structure'!$A$11:$I$14,MATCH(Calculations!$E466,'2018_commission_structure'!$A$11:$A$14,0), MATCH(Calculations!Q$1,'2018_commission_structure'!$A$11:$I$11,0)),0)</f>
        <v>8272.18</v>
      </c>
      <c r="R466" s="7">
        <f>IF($H466&gt;K466,MIN($H466-K466,L466-K466)*INDEX('2018_commission_structure'!$A$11:$I$14,MATCH(Calculations!$E466,'2018_commission_structure'!$A$11:$A$14,0), MATCH(Calculations!R$1,'2018_commission_structure'!$A$11:$I$11,0)),0)</f>
        <v>0</v>
      </c>
      <c r="S466" s="7">
        <f>IF(H466&gt;L466,(H466-L466)*INDEX('2018_commission_structure'!$A$11:$I$14,MATCH(Calculations!$E466,'2018_commission_structure'!$A$11:$A$14,0),MATCH(Calculations!S$1,'2018_commission_structure'!$A$11:$I$11,0)),0)</f>
        <v>0</v>
      </c>
      <c r="T466" s="7">
        <f t="shared" si="68"/>
        <v>156397.18</v>
      </c>
      <c r="U466" s="7">
        <f t="shared" si="69"/>
        <v>263978.18</v>
      </c>
      <c r="V466" s="7">
        <f>MIN(H466,I466)*INDEX('2018_commission_structure'!$A$5:$J$8,MATCH(Calculations!$E466,'2018_commission_structure'!$A$5:$A$8,0),MATCH(Calculations!V$1,'2018_commission_structure'!$A$5:$J$5,0))</f>
        <v>112500</v>
      </c>
      <c r="W466" s="2">
        <f>IF($H466&gt;I466,MIN($H466-I466,J466-I466)*INDEX('2018_commission_structure'!$A$5:$J$8,MATCH(Calculations!$E466,'2018_commission_structure'!$A$5:$A$8,0),MATCH(Calculations!W$1,'2018_commission_structure'!$A$5:$J$5,0)),0)</f>
        <v>41250</v>
      </c>
      <c r="X466" s="2">
        <f>IF($H466&gt;J466,MIN($H466-J466,K466-J466)*INDEX('2018_commission_structure'!$A$5:$J$8,MATCH(Calculations!$E466,'2018_commission_structure'!$A$5:$A$8,0),MATCH(Calculations!X$1,'2018_commission_structure'!$A$5:$J$5,0)),0)</f>
        <v>8991.5</v>
      </c>
      <c r="Y466" s="2">
        <f>IF($H466&gt;K466,MIN($H466-K466,L466-K466)*INDEX('2018_commission_structure'!$A$5:$J$8,MATCH(Calculations!$E466,'2018_commission_structure'!$A$5:$A$8,0),MATCH(Calculations!Y$1,'2018_commission_structure'!$A$5:$J$5,0)),0)</f>
        <v>0</v>
      </c>
      <c r="Z466" s="2">
        <f xml:space="preserve"> IF(H466&gt;L466,(H466-L466)*INDEX('2018_commission_structure'!$A$11:$I$14,MATCH(Calculations!$E466,'2018_commission_structure'!$A$11:$A$14,0),MATCH(Calculations!Z$1,'2018_commission_structure'!$A$11:$I$11,0)),0)</f>
        <v>0</v>
      </c>
      <c r="AA466" s="7">
        <f t="shared" si="70"/>
        <v>162741.5</v>
      </c>
      <c r="AB466" s="7">
        <f t="shared" si="71"/>
        <v>270322.5</v>
      </c>
    </row>
    <row r="467" spans="1:28" x14ac:dyDescent="0.25">
      <c r="A467">
        <v>9820632102</v>
      </c>
      <c r="B467" t="s">
        <v>1325</v>
      </c>
      <c r="C467" t="s">
        <v>1326</v>
      </c>
      <c r="D467" t="str">
        <f>B467&amp;" "&amp;C467</f>
        <v>Sergio Itzakovitz</v>
      </c>
      <c r="E467" t="s">
        <v>29</v>
      </c>
      <c r="F467">
        <v>52637</v>
      </c>
      <c r="G467">
        <f>COUNTIF(deals_closed!D:D,Calculations!A467)</f>
        <v>9</v>
      </c>
      <c r="H467" s="2">
        <f>SUMIF(deals_closed!D:D,Calculations!A467,deals_closed!C:C)</f>
        <v>229221</v>
      </c>
      <c r="I467" s="2">
        <f>VLOOKUP(E467,'2018_commission_structure'!$A$11:$I$14,9,FALSE)</f>
        <v>600000</v>
      </c>
      <c r="J467" s="2">
        <f t="shared" si="63"/>
        <v>750000</v>
      </c>
      <c r="K467" s="2">
        <f t="shared" si="64"/>
        <v>900000</v>
      </c>
      <c r="L467" s="2">
        <f t="shared" si="65"/>
        <v>1200000</v>
      </c>
      <c r="M467" s="6">
        <f t="shared" si="66"/>
        <v>0.38203500000000001</v>
      </c>
      <c r="N467" t="str">
        <f t="shared" si="67"/>
        <v>0-100%</v>
      </c>
      <c r="O467" s="7">
        <f>MIN(I467,H467)*INDEX('2018_commission_structure'!$A$11:$I$14,MATCH(Calculations!$E467,'2018_commission_structure'!$A$11:$A$14,0),MATCH(Calculations!O$1,'2018_commission_structure'!$A$11:$I$11,0))</f>
        <v>29798.73</v>
      </c>
      <c r="P467" s="7">
        <f>IF($H467&gt;I467,MIN($H467-I467,J467-I467)*INDEX('2018_commission_structure'!$A$11:$I$14,MATCH(Calculations!$E467,'2018_commission_structure'!$A$11:$A$14,0), MATCH(Calculations!P$1,'2018_commission_structure'!$A$11:$I$11,0)),0)</f>
        <v>0</v>
      </c>
      <c r="Q467" s="7">
        <f>IF($H467&gt;J467,MIN($H467-J467,K467-J467)*INDEX('2018_commission_structure'!$A$11:$I$14,MATCH(Calculations!$E467,'2018_commission_structure'!$A$11:$A$14,0), MATCH(Calculations!Q$1,'2018_commission_structure'!$A$11:$I$11,0)),0)</f>
        <v>0</v>
      </c>
      <c r="R467" s="7">
        <f>IF($H467&gt;K467,MIN($H467-K467,L467-K467)*INDEX('2018_commission_structure'!$A$11:$I$14,MATCH(Calculations!$E467,'2018_commission_structure'!$A$11:$A$14,0), MATCH(Calculations!R$1,'2018_commission_structure'!$A$11:$I$11,0)),0)</f>
        <v>0</v>
      </c>
      <c r="S467" s="7">
        <f>IF(H467&gt;L467,(H467-L467)*INDEX('2018_commission_structure'!$A$11:$I$14,MATCH(Calculations!$E467,'2018_commission_structure'!$A$11:$A$14,0),MATCH(Calculations!S$1,'2018_commission_structure'!$A$11:$I$11,0)),0)</f>
        <v>0</v>
      </c>
      <c r="T467" s="7">
        <f t="shared" si="68"/>
        <v>29798.73</v>
      </c>
      <c r="U467" s="7">
        <f t="shared" si="69"/>
        <v>82435.73</v>
      </c>
      <c r="V467" s="7">
        <f>MIN(H467,I467)*INDEX('2018_commission_structure'!$A$5:$J$8,MATCH(Calculations!$E467,'2018_commission_structure'!$A$5:$A$8,0),MATCH(Calculations!V$1,'2018_commission_structure'!$A$5:$J$5,0))</f>
        <v>34383.15</v>
      </c>
      <c r="W467" s="2">
        <f>IF($H467&gt;I467,MIN($H467-I467,J467-I467)*INDEX('2018_commission_structure'!$A$5:$J$8,MATCH(Calculations!$E467,'2018_commission_structure'!$A$5:$A$8,0),MATCH(Calculations!W$1,'2018_commission_structure'!$A$5:$J$5,0)),0)</f>
        <v>0</v>
      </c>
      <c r="X467" s="2">
        <f>IF($H467&gt;J467,MIN($H467-J467,K467-J467)*INDEX('2018_commission_structure'!$A$5:$J$8,MATCH(Calculations!$E467,'2018_commission_structure'!$A$5:$A$8,0),MATCH(Calculations!X$1,'2018_commission_structure'!$A$5:$J$5,0)),0)</f>
        <v>0</v>
      </c>
      <c r="Y467" s="2">
        <f>IF($H467&gt;K467,MIN($H467-K467,L467-K467)*INDEX('2018_commission_structure'!$A$5:$J$8,MATCH(Calculations!$E467,'2018_commission_structure'!$A$5:$A$8,0),MATCH(Calculations!Y$1,'2018_commission_structure'!$A$5:$J$5,0)),0)</f>
        <v>0</v>
      </c>
      <c r="Z467" s="2">
        <f xml:space="preserve"> IF(H467&gt;L467,(H467-L467)*INDEX('2018_commission_structure'!$A$11:$I$14,MATCH(Calculations!$E467,'2018_commission_structure'!$A$11:$A$14,0),MATCH(Calculations!Z$1,'2018_commission_structure'!$A$11:$I$11,0)),0)</f>
        <v>0</v>
      </c>
      <c r="AA467" s="7">
        <f t="shared" si="70"/>
        <v>34383.15</v>
      </c>
      <c r="AB467" s="7">
        <f t="shared" si="71"/>
        <v>87020.15</v>
      </c>
    </row>
    <row r="468" spans="1:28" x14ac:dyDescent="0.25">
      <c r="A468">
        <v>7070564503</v>
      </c>
      <c r="B468" t="s">
        <v>1304</v>
      </c>
      <c r="C468" t="s">
        <v>1305</v>
      </c>
      <c r="D468" t="str">
        <f>B468&amp;" "&amp;C468</f>
        <v>Emmie Ivamy</v>
      </c>
      <c r="E468" t="s">
        <v>10</v>
      </c>
      <c r="F468">
        <v>107049</v>
      </c>
      <c r="G468">
        <f>COUNTIF(deals_closed!D:D,Calculations!A468)</f>
        <v>22</v>
      </c>
      <c r="H468" s="2">
        <f>SUMIF(deals_closed!D:D,Calculations!A468,deals_closed!C:C)</f>
        <v>711984</v>
      </c>
      <c r="I468" s="2">
        <f>VLOOKUP(E468,'2018_commission_structure'!$A$11:$I$14,9,FALSE)</f>
        <v>750000</v>
      </c>
      <c r="J468" s="2">
        <f t="shared" si="63"/>
        <v>937500</v>
      </c>
      <c r="K468" s="2">
        <f t="shared" si="64"/>
        <v>1125000</v>
      </c>
      <c r="L468" s="2">
        <f t="shared" si="65"/>
        <v>1500000</v>
      </c>
      <c r="M468" s="6">
        <f t="shared" si="66"/>
        <v>0.94931200000000004</v>
      </c>
      <c r="N468" t="str">
        <f t="shared" si="67"/>
        <v>0-100%</v>
      </c>
      <c r="O468" s="7">
        <f>MIN(I468,H468)*INDEX('2018_commission_structure'!$A$11:$I$14,MATCH(Calculations!$E468,'2018_commission_structure'!$A$11:$A$14,0),MATCH(Calculations!O$1,'2018_commission_structure'!$A$11:$I$11,0))</f>
        <v>106797.59999999999</v>
      </c>
      <c r="P468" s="7">
        <f>IF($H468&gt;I468,MIN($H468-I468,J468-I468)*INDEX('2018_commission_structure'!$A$11:$I$14,MATCH(Calculations!$E468,'2018_commission_structure'!$A$11:$A$14,0), MATCH(Calculations!P$1,'2018_commission_structure'!$A$11:$I$11,0)),0)</f>
        <v>0</v>
      </c>
      <c r="Q468" s="7">
        <f>IF($H468&gt;J468,MIN($H468-J468,K468-J468)*INDEX('2018_commission_structure'!$A$11:$I$14,MATCH(Calculations!$E468,'2018_commission_structure'!$A$11:$A$14,0), MATCH(Calculations!Q$1,'2018_commission_structure'!$A$11:$I$11,0)),0)</f>
        <v>0</v>
      </c>
      <c r="R468" s="7">
        <f>IF($H468&gt;K468,MIN($H468-K468,L468-K468)*INDEX('2018_commission_structure'!$A$11:$I$14,MATCH(Calculations!$E468,'2018_commission_structure'!$A$11:$A$14,0), MATCH(Calculations!R$1,'2018_commission_structure'!$A$11:$I$11,0)),0)</f>
        <v>0</v>
      </c>
      <c r="S468" s="7">
        <f>IF(H468&gt;L468,(H468-L468)*INDEX('2018_commission_structure'!$A$11:$I$14,MATCH(Calculations!$E468,'2018_commission_structure'!$A$11:$A$14,0),MATCH(Calculations!S$1,'2018_commission_structure'!$A$11:$I$11,0)),0)</f>
        <v>0</v>
      </c>
      <c r="T468" s="7">
        <f t="shared" si="68"/>
        <v>106797.59999999999</v>
      </c>
      <c r="U468" s="7">
        <f t="shared" si="69"/>
        <v>213846.59999999998</v>
      </c>
      <c r="V468" s="7">
        <f>MIN(H468,I468)*INDEX('2018_commission_structure'!$A$5:$J$8,MATCH(Calculations!$E468,'2018_commission_structure'!$A$5:$A$8,0),MATCH(Calculations!V$1,'2018_commission_structure'!$A$5:$J$5,0))</f>
        <v>106797.59999999999</v>
      </c>
      <c r="W468" s="2">
        <f>IF($H468&gt;I468,MIN($H468-I468,J468-I468)*INDEX('2018_commission_structure'!$A$5:$J$8,MATCH(Calculations!$E468,'2018_commission_structure'!$A$5:$A$8,0),MATCH(Calculations!W$1,'2018_commission_structure'!$A$5:$J$5,0)),0)</f>
        <v>0</v>
      </c>
      <c r="X468" s="2">
        <f>IF($H468&gt;J468,MIN($H468-J468,K468-J468)*INDEX('2018_commission_structure'!$A$5:$J$8,MATCH(Calculations!$E468,'2018_commission_structure'!$A$5:$A$8,0),MATCH(Calculations!X$1,'2018_commission_structure'!$A$5:$J$5,0)),0)</f>
        <v>0</v>
      </c>
      <c r="Y468" s="2">
        <f>IF($H468&gt;K468,MIN($H468-K468,L468-K468)*INDEX('2018_commission_structure'!$A$5:$J$8,MATCH(Calculations!$E468,'2018_commission_structure'!$A$5:$A$8,0),MATCH(Calculations!Y$1,'2018_commission_structure'!$A$5:$J$5,0)),0)</f>
        <v>0</v>
      </c>
      <c r="Z468" s="2">
        <f xml:space="preserve"> IF(H468&gt;L468,(H468-L468)*INDEX('2018_commission_structure'!$A$11:$I$14,MATCH(Calculations!$E468,'2018_commission_structure'!$A$11:$A$14,0),MATCH(Calculations!Z$1,'2018_commission_structure'!$A$11:$I$11,0)),0)</f>
        <v>0</v>
      </c>
      <c r="AA468" s="7">
        <f t="shared" si="70"/>
        <v>106797.59999999999</v>
      </c>
      <c r="AB468" s="7">
        <f t="shared" si="71"/>
        <v>213846.59999999998</v>
      </c>
    </row>
    <row r="469" spans="1:28" x14ac:dyDescent="0.25">
      <c r="A469">
        <v>3418374697</v>
      </c>
      <c r="B469" t="s">
        <v>1849</v>
      </c>
      <c r="C469" t="s">
        <v>1850</v>
      </c>
      <c r="D469" t="str">
        <f>B469&amp;" "&amp;C469</f>
        <v>Ali Izaks</v>
      </c>
      <c r="E469" t="s">
        <v>7</v>
      </c>
      <c r="F469">
        <v>36594</v>
      </c>
      <c r="G469">
        <f>COUNTIF(deals_closed!D:D,Calculations!A469)</f>
        <v>26</v>
      </c>
      <c r="H469" s="2">
        <f>SUMIF(deals_closed!D:D,Calculations!A469,deals_closed!C:C)</f>
        <v>922938</v>
      </c>
      <c r="I469" s="2">
        <f>VLOOKUP(E469,'2018_commission_structure'!$A$11:$I$14,9,FALSE)</f>
        <v>500000</v>
      </c>
      <c r="J469" s="2">
        <f t="shared" si="63"/>
        <v>625000</v>
      </c>
      <c r="K469" s="2">
        <f t="shared" si="64"/>
        <v>750000</v>
      </c>
      <c r="L469" s="2">
        <f t="shared" si="65"/>
        <v>1000000</v>
      </c>
      <c r="M469" s="6">
        <f t="shared" si="66"/>
        <v>1.8458760000000001</v>
      </c>
      <c r="N469" t="str">
        <f t="shared" si="67"/>
        <v>150-200%</v>
      </c>
      <c r="O469" s="7">
        <f>MIN(I469,H469)*INDEX('2018_commission_structure'!$A$11:$I$14,MATCH(Calculations!$E469,'2018_commission_structure'!$A$11:$A$14,0),MATCH(Calculations!O$1,'2018_commission_structure'!$A$11:$I$11,0))</f>
        <v>50000</v>
      </c>
      <c r="P469" s="7">
        <f>IF($H469&gt;I469,MIN($H469-I469,J469-I469)*INDEX('2018_commission_structure'!$A$11:$I$14,MATCH(Calculations!$E469,'2018_commission_structure'!$A$11:$A$14,0), MATCH(Calculations!P$1,'2018_commission_structure'!$A$11:$I$11,0)),0)</f>
        <v>18750</v>
      </c>
      <c r="Q469" s="7">
        <f>IF($H469&gt;J469,MIN($H469-J469,K469-J469)*INDEX('2018_commission_structure'!$A$11:$I$14,MATCH(Calculations!$E469,'2018_commission_structure'!$A$11:$A$14,0), MATCH(Calculations!Q$1,'2018_commission_structure'!$A$11:$I$11,0)),0)</f>
        <v>22500</v>
      </c>
      <c r="R469" s="7">
        <f>IF($H469&gt;K469,MIN($H469-K469,L469-K469)*INDEX('2018_commission_structure'!$A$11:$I$14,MATCH(Calculations!$E469,'2018_commission_structure'!$A$11:$A$14,0), MATCH(Calculations!R$1,'2018_commission_structure'!$A$11:$I$11,0)),0)</f>
        <v>38046.36</v>
      </c>
      <c r="S469" s="7">
        <f>IF(H469&gt;L469,(H469-L469)*INDEX('2018_commission_structure'!$A$11:$I$14,MATCH(Calculations!$E469,'2018_commission_structure'!$A$11:$A$14,0),MATCH(Calculations!S$1,'2018_commission_structure'!$A$11:$I$11,0)),0)</f>
        <v>0</v>
      </c>
      <c r="T469" s="7">
        <f t="shared" si="68"/>
        <v>129296.36</v>
      </c>
      <c r="U469" s="7">
        <f t="shared" si="69"/>
        <v>165890.35999999999</v>
      </c>
      <c r="V469" s="7">
        <f>MIN(H469,I469)*INDEX('2018_commission_structure'!$A$5:$J$8,MATCH(Calculations!$E469,'2018_commission_structure'!$A$5:$A$8,0),MATCH(Calculations!V$1,'2018_commission_structure'!$A$5:$J$5,0))</f>
        <v>60000</v>
      </c>
      <c r="W469" s="2">
        <f>IF($H469&gt;I469,MIN($H469-I469,J469-I469)*INDEX('2018_commission_structure'!$A$5:$J$8,MATCH(Calculations!$E469,'2018_commission_structure'!$A$5:$A$8,0),MATCH(Calculations!W$1,'2018_commission_structure'!$A$5:$J$5,0)),0)</f>
        <v>21250</v>
      </c>
      <c r="X469" s="2">
        <f>IF($H469&gt;J469,MIN($H469-J469,K469-J469)*INDEX('2018_commission_structure'!$A$5:$J$8,MATCH(Calculations!$E469,'2018_commission_structure'!$A$5:$A$8,0),MATCH(Calculations!X$1,'2018_commission_structure'!$A$5:$J$5,0)),0)</f>
        <v>25000</v>
      </c>
      <c r="Y469" s="2">
        <f>IF($H469&gt;K469,MIN($H469-K469,L469-K469)*INDEX('2018_commission_structure'!$A$5:$J$8,MATCH(Calculations!$E469,'2018_commission_structure'!$A$5:$A$8,0),MATCH(Calculations!Y$1,'2018_commission_structure'!$A$5:$J$5,0)),0)</f>
        <v>38046.36</v>
      </c>
      <c r="Z469" s="2">
        <f xml:space="preserve"> IF(H469&gt;L469,(H469-L469)*INDEX('2018_commission_structure'!$A$11:$I$14,MATCH(Calculations!$E469,'2018_commission_structure'!$A$11:$A$14,0),MATCH(Calculations!Z$1,'2018_commission_structure'!$A$11:$I$11,0)),0)</f>
        <v>0</v>
      </c>
      <c r="AA469" s="7">
        <f t="shared" si="70"/>
        <v>144296.35999999999</v>
      </c>
      <c r="AB469" s="7">
        <f t="shared" si="71"/>
        <v>180890.36</v>
      </c>
    </row>
    <row r="470" spans="1:28" x14ac:dyDescent="0.25">
      <c r="A470">
        <v>8646243699</v>
      </c>
      <c r="B470" t="s">
        <v>1879</v>
      </c>
      <c r="C470" t="s">
        <v>1880</v>
      </c>
      <c r="D470" t="str">
        <f>B470&amp;" "&amp;C470</f>
        <v>Fifine Jakeman</v>
      </c>
      <c r="E470" t="s">
        <v>10</v>
      </c>
      <c r="F470">
        <v>109614</v>
      </c>
      <c r="G470">
        <f>COUNTIF(deals_closed!D:D,Calculations!A470)</f>
        <v>29</v>
      </c>
      <c r="H470" s="2">
        <f>SUMIF(deals_closed!D:D,Calculations!A470,deals_closed!C:C)</f>
        <v>973243</v>
      </c>
      <c r="I470" s="2">
        <f>VLOOKUP(E470,'2018_commission_structure'!$A$11:$I$14,9,FALSE)</f>
        <v>750000</v>
      </c>
      <c r="J470" s="2">
        <f t="shared" si="63"/>
        <v>937500</v>
      </c>
      <c r="K470" s="2">
        <f t="shared" si="64"/>
        <v>1125000</v>
      </c>
      <c r="L470" s="2">
        <f t="shared" si="65"/>
        <v>1500000</v>
      </c>
      <c r="M470" s="6">
        <f t="shared" si="66"/>
        <v>1.2976573333333334</v>
      </c>
      <c r="N470" t="str">
        <f t="shared" si="67"/>
        <v>125-150%</v>
      </c>
      <c r="O470" s="7">
        <f>MIN(I470,H470)*INDEX('2018_commission_structure'!$A$11:$I$14,MATCH(Calculations!$E470,'2018_commission_structure'!$A$11:$A$14,0),MATCH(Calculations!O$1,'2018_commission_structure'!$A$11:$I$11,0))</f>
        <v>112500</v>
      </c>
      <c r="P470" s="7">
        <f>IF($H470&gt;I470,MIN($H470-I470,J470-I470)*INDEX('2018_commission_structure'!$A$11:$I$14,MATCH(Calculations!$E470,'2018_commission_structure'!$A$11:$A$14,0), MATCH(Calculations!P$1,'2018_commission_structure'!$A$11:$I$11,0)),0)</f>
        <v>35625</v>
      </c>
      <c r="Q470" s="7">
        <f>IF($H470&gt;J470,MIN($H470-J470,K470-J470)*INDEX('2018_commission_structure'!$A$11:$I$14,MATCH(Calculations!$E470,'2018_commission_structure'!$A$11:$A$14,0), MATCH(Calculations!Q$1,'2018_commission_structure'!$A$11:$I$11,0)),0)</f>
        <v>8220.8900000000012</v>
      </c>
      <c r="R470" s="7">
        <f>IF($H470&gt;K470,MIN($H470-K470,L470-K470)*INDEX('2018_commission_structure'!$A$11:$I$14,MATCH(Calculations!$E470,'2018_commission_structure'!$A$11:$A$14,0), MATCH(Calculations!R$1,'2018_commission_structure'!$A$11:$I$11,0)),0)</f>
        <v>0</v>
      </c>
      <c r="S470" s="7">
        <f>IF(H470&gt;L470,(H470-L470)*INDEX('2018_commission_structure'!$A$11:$I$14,MATCH(Calculations!$E470,'2018_commission_structure'!$A$11:$A$14,0),MATCH(Calculations!S$1,'2018_commission_structure'!$A$11:$I$11,0)),0)</f>
        <v>0</v>
      </c>
      <c r="T470" s="7">
        <f t="shared" si="68"/>
        <v>156345.89000000001</v>
      </c>
      <c r="U470" s="7">
        <f t="shared" si="69"/>
        <v>265959.89</v>
      </c>
      <c r="V470" s="7">
        <f>MIN(H470,I470)*INDEX('2018_commission_structure'!$A$5:$J$8,MATCH(Calculations!$E470,'2018_commission_structure'!$A$5:$A$8,0),MATCH(Calculations!V$1,'2018_commission_structure'!$A$5:$J$5,0))</f>
        <v>112500</v>
      </c>
      <c r="W470" s="2">
        <f>IF($H470&gt;I470,MIN($H470-I470,J470-I470)*INDEX('2018_commission_structure'!$A$5:$J$8,MATCH(Calculations!$E470,'2018_commission_structure'!$A$5:$A$8,0),MATCH(Calculations!W$1,'2018_commission_structure'!$A$5:$J$5,0)),0)</f>
        <v>41250</v>
      </c>
      <c r="X470" s="2">
        <f>IF($H470&gt;J470,MIN($H470-J470,K470-J470)*INDEX('2018_commission_structure'!$A$5:$J$8,MATCH(Calculations!$E470,'2018_commission_structure'!$A$5:$A$8,0),MATCH(Calculations!X$1,'2018_commission_structure'!$A$5:$J$5,0)),0)</f>
        <v>8935.75</v>
      </c>
      <c r="Y470" s="2">
        <f>IF($H470&gt;K470,MIN($H470-K470,L470-K470)*INDEX('2018_commission_structure'!$A$5:$J$8,MATCH(Calculations!$E470,'2018_commission_structure'!$A$5:$A$8,0),MATCH(Calculations!Y$1,'2018_commission_structure'!$A$5:$J$5,0)),0)</f>
        <v>0</v>
      </c>
      <c r="Z470" s="2">
        <f xml:space="preserve"> IF(H470&gt;L470,(H470-L470)*INDEX('2018_commission_structure'!$A$11:$I$14,MATCH(Calculations!$E470,'2018_commission_structure'!$A$11:$A$14,0),MATCH(Calculations!Z$1,'2018_commission_structure'!$A$11:$I$11,0)),0)</f>
        <v>0</v>
      </c>
      <c r="AA470" s="7">
        <f t="shared" si="70"/>
        <v>162685.75</v>
      </c>
      <c r="AB470" s="7">
        <f t="shared" si="71"/>
        <v>272299.75</v>
      </c>
    </row>
    <row r="471" spans="1:28" x14ac:dyDescent="0.25">
      <c r="A471">
        <v>3219526055</v>
      </c>
      <c r="B471" t="s">
        <v>355</v>
      </c>
      <c r="C471" t="s">
        <v>356</v>
      </c>
      <c r="D471" t="str">
        <f>B471&amp;" "&amp;C471</f>
        <v>Raviv Jandel</v>
      </c>
      <c r="E471" t="s">
        <v>7</v>
      </c>
      <c r="F471">
        <v>38331</v>
      </c>
      <c r="G471">
        <f>COUNTIF(deals_closed!D:D,Calculations!A471)</f>
        <v>21</v>
      </c>
      <c r="H471" s="2">
        <f>SUMIF(deals_closed!D:D,Calculations!A471,deals_closed!C:C)</f>
        <v>665283</v>
      </c>
      <c r="I471" s="2">
        <f>VLOOKUP(E471,'2018_commission_structure'!$A$11:$I$14,9,FALSE)</f>
        <v>500000</v>
      </c>
      <c r="J471" s="2">
        <f t="shared" si="63"/>
        <v>625000</v>
      </c>
      <c r="K471" s="2">
        <f t="shared" si="64"/>
        <v>750000</v>
      </c>
      <c r="L471" s="2">
        <f t="shared" si="65"/>
        <v>1000000</v>
      </c>
      <c r="M471" s="6">
        <f t="shared" si="66"/>
        <v>1.3305659999999999</v>
      </c>
      <c r="N471" t="str">
        <f t="shared" si="67"/>
        <v>125-150%</v>
      </c>
      <c r="O471" s="7">
        <f>MIN(I471,H471)*INDEX('2018_commission_structure'!$A$11:$I$14,MATCH(Calculations!$E471,'2018_commission_structure'!$A$11:$A$14,0),MATCH(Calculations!O$1,'2018_commission_structure'!$A$11:$I$11,0))</f>
        <v>50000</v>
      </c>
      <c r="P471" s="7">
        <f>IF($H471&gt;I471,MIN($H471-I471,J471-I471)*INDEX('2018_commission_structure'!$A$11:$I$14,MATCH(Calculations!$E471,'2018_commission_structure'!$A$11:$A$14,0), MATCH(Calculations!P$1,'2018_commission_structure'!$A$11:$I$11,0)),0)</f>
        <v>18750</v>
      </c>
      <c r="Q471" s="7">
        <f>IF($H471&gt;J471,MIN($H471-J471,K471-J471)*INDEX('2018_commission_structure'!$A$11:$I$14,MATCH(Calculations!$E471,'2018_commission_structure'!$A$11:$A$14,0), MATCH(Calculations!Q$1,'2018_commission_structure'!$A$11:$I$11,0)),0)</f>
        <v>7250.94</v>
      </c>
      <c r="R471" s="7">
        <f>IF($H471&gt;K471,MIN($H471-K471,L471-K471)*INDEX('2018_commission_structure'!$A$11:$I$14,MATCH(Calculations!$E471,'2018_commission_structure'!$A$11:$A$14,0), MATCH(Calculations!R$1,'2018_commission_structure'!$A$11:$I$11,0)),0)</f>
        <v>0</v>
      </c>
      <c r="S471" s="7">
        <f>IF(H471&gt;L471,(H471-L471)*INDEX('2018_commission_structure'!$A$11:$I$14,MATCH(Calculations!$E471,'2018_commission_structure'!$A$11:$A$14,0),MATCH(Calculations!S$1,'2018_commission_structure'!$A$11:$I$11,0)),0)</f>
        <v>0</v>
      </c>
      <c r="T471" s="7">
        <f t="shared" si="68"/>
        <v>76000.94</v>
      </c>
      <c r="U471" s="7">
        <f t="shared" si="69"/>
        <v>114331.94</v>
      </c>
      <c r="V471" s="7">
        <f>MIN(H471,I471)*INDEX('2018_commission_structure'!$A$5:$J$8,MATCH(Calculations!$E471,'2018_commission_structure'!$A$5:$A$8,0),MATCH(Calculations!V$1,'2018_commission_structure'!$A$5:$J$5,0))</f>
        <v>60000</v>
      </c>
      <c r="W471" s="2">
        <f>IF($H471&gt;I471,MIN($H471-I471,J471-I471)*INDEX('2018_commission_structure'!$A$5:$J$8,MATCH(Calculations!$E471,'2018_commission_structure'!$A$5:$A$8,0),MATCH(Calculations!W$1,'2018_commission_structure'!$A$5:$J$5,0)),0)</f>
        <v>21250</v>
      </c>
      <c r="X471" s="2">
        <f>IF($H471&gt;J471,MIN($H471-J471,K471-J471)*INDEX('2018_commission_structure'!$A$5:$J$8,MATCH(Calculations!$E471,'2018_commission_structure'!$A$5:$A$8,0),MATCH(Calculations!X$1,'2018_commission_structure'!$A$5:$J$5,0)),0)</f>
        <v>8056.6</v>
      </c>
      <c r="Y471" s="2">
        <f>IF($H471&gt;K471,MIN($H471-K471,L471-K471)*INDEX('2018_commission_structure'!$A$5:$J$8,MATCH(Calculations!$E471,'2018_commission_structure'!$A$5:$A$8,0),MATCH(Calculations!Y$1,'2018_commission_structure'!$A$5:$J$5,0)),0)</f>
        <v>0</v>
      </c>
      <c r="Z471" s="2">
        <f xml:space="preserve"> IF(H471&gt;L471,(H471-L471)*INDEX('2018_commission_structure'!$A$11:$I$14,MATCH(Calculations!$E471,'2018_commission_structure'!$A$11:$A$14,0),MATCH(Calculations!Z$1,'2018_commission_structure'!$A$11:$I$11,0)),0)</f>
        <v>0</v>
      </c>
      <c r="AA471" s="7">
        <f t="shared" si="70"/>
        <v>89306.6</v>
      </c>
      <c r="AB471" s="7">
        <f t="shared" si="71"/>
        <v>127637.6</v>
      </c>
    </row>
    <row r="472" spans="1:28" x14ac:dyDescent="0.25">
      <c r="A472">
        <v>4194897803</v>
      </c>
      <c r="B472" t="s">
        <v>668</v>
      </c>
      <c r="C472" t="s">
        <v>669</v>
      </c>
      <c r="D472" t="str">
        <f>B472&amp;" "&amp;C472</f>
        <v>Logan Jansky</v>
      </c>
      <c r="E472" t="s">
        <v>29</v>
      </c>
      <c r="F472">
        <v>73193</v>
      </c>
      <c r="G472">
        <f>COUNTIF(deals_closed!D:D,Calculations!A472)</f>
        <v>17</v>
      </c>
      <c r="H472" s="2">
        <f>SUMIF(deals_closed!D:D,Calculations!A472,deals_closed!C:C)</f>
        <v>520405</v>
      </c>
      <c r="I472" s="2">
        <f>VLOOKUP(E472,'2018_commission_structure'!$A$11:$I$14,9,FALSE)</f>
        <v>600000</v>
      </c>
      <c r="J472" s="2">
        <f t="shared" si="63"/>
        <v>750000</v>
      </c>
      <c r="K472" s="2">
        <f t="shared" si="64"/>
        <v>900000</v>
      </c>
      <c r="L472" s="2">
        <f t="shared" si="65"/>
        <v>1200000</v>
      </c>
      <c r="M472" s="6">
        <f t="shared" si="66"/>
        <v>0.86734166666666668</v>
      </c>
      <c r="N472" t="str">
        <f t="shared" si="67"/>
        <v>0-100%</v>
      </c>
      <c r="O472" s="7">
        <f>MIN(I472,H472)*INDEX('2018_commission_structure'!$A$11:$I$14,MATCH(Calculations!$E472,'2018_commission_structure'!$A$11:$A$14,0),MATCH(Calculations!O$1,'2018_commission_structure'!$A$11:$I$11,0))</f>
        <v>67652.650000000009</v>
      </c>
      <c r="P472" s="7">
        <f>IF($H472&gt;I472,MIN($H472-I472,J472-I472)*INDEX('2018_commission_structure'!$A$11:$I$14,MATCH(Calculations!$E472,'2018_commission_structure'!$A$11:$A$14,0), MATCH(Calculations!P$1,'2018_commission_structure'!$A$11:$I$11,0)),0)</f>
        <v>0</v>
      </c>
      <c r="Q472" s="7">
        <f>IF($H472&gt;J472,MIN($H472-J472,K472-J472)*INDEX('2018_commission_structure'!$A$11:$I$14,MATCH(Calculations!$E472,'2018_commission_structure'!$A$11:$A$14,0), MATCH(Calculations!Q$1,'2018_commission_structure'!$A$11:$I$11,0)),0)</f>
        <v>0</v>
      </c>
      <c r="R472" s="7">
        <f>IF($H472&gt;K472,MIN($H472-K472,L472-K472)*INDEX('2018_commission_structure'!$A$11:$I$14,MATCH(Calculations!$E472,'2018_commission_structure'!$A$11:$A$14,0), MATCH(Calculations!R$1,'2018_commission_structure'!$A$11:$I$11,0)),0)</f>
        <v>0</v>
      </c>
      <c r="S472" s="7">
        <f>IF(H472&gt;L472,(H472-L472)*INDEX('2018_commission_structure'!$A$11:$I$14,MATCH(Calculations!$E472,'2018_commission_structure'!$A$11:$A$14,0),MATCH(Calculations!S$1,'2018_commission_structure'!$A$11:$I$11,0)),0)</f>
        <v>0</v>
      </c>
      <c r="T472" s="7">
        <f t="shared" si="68"/>
        <v>67652.650000000009</v>
      </c>
      <c r="U472" s="7">
        <f t="shared" si="69"/>
        <v>140845.65000000002</v>
      </c>
      <c r="V472" s="7">
        <f>MIN(H472,I472)*INDEX('2018_commission_structure'!$A$5:$J$8,MATCH(Calculations!$E472,'2018_commission_structure'!$A$5:$A$8,0),MATCH(Calculations!V$1,'2018_commission_structure'!$A$5:$J$5,0))</f>
        <v>78060.75</v>
      </c>
      <c r="W472" s="2">
        <f>IF($H472&gt;I472,MIN($H472-I472,J472-I472)*INDEX('2018_commission_structure'!$A$5:$J$8,MATCH(Calculations!$E472,'2018_commission_structure'!$A$5:$A$8,0),MATCH(Calculations!W$1,'2018_commission_structure'!$A$5:$J$5,0)),0)</f>
        <v>0</v>
      </c>
      <c r="X472" s="2">
        <f>IF($H472&gt;J472,MIN($H472-J472,K472-J472)*INDEX('2018_commission_structure'!$A$5:$J$8,MATCH(Calculations!$E472,'2018_commission_structure'!$A$5:$A$8,0),MATCH(Calculations!X$1,'2018_commission_structure'!$A$5:$J$5,0)),0)</f>
        <v>0</v>
      </c>
      <c r="Y472" s="2">
        <f>IF($H472&gt;K472,MIN($H472-K472,L472-K472)*INDEX('2018_commission_structure'!$A$5:$J$8,MATCH(Calculations!$E472,'2018_commission_structure'!$A$5:$A$8,0),MATCH(Calculations!Y$1,'2018_commission_structure'!$A$5:$J$5,0)),0)</f>
        <v>0</v>
      </c>
      <c r="Z472" s="2">
        <f xml:space="preserve"> IF(H472&gt;L472,(H472-L472)*INDEX('2018_commission_structure'!$A$11:$I$14,MATCH(Calculations!$E472,'2018_commission_structure'!$A$11:$A$14,0),MATCH(Calculations!Z$1,'2018_commission_structure'!$A$11:$I$11,0)),0)</f>
        <v>0</v>
      </c>
      <c r="AA472" s="7">
        <f t="shared" si="70"/>
        <v>78060.75</v>
      </c>
      <c r="AB472" s="7">
        <f t="shared" si="71"/>
        <v>151253.75</v>
      </c>
    </row>
    <row r="473" spans="1:28" x14ac:dyDescent="0.25">
      <c r="A473">
        <v>2298319154</v>
      </c>
      <c r="B473" t="s">
        <v>1855</v>
      </c>
      <c r="C473" t="s">
        <v>1856</v>
      </c>
      <c r="D473" t="str">
        <f>B473&amp;" "&amp;C473</f>
        <v>Deloria Jardine</v>
      </c>
      <c r="E473" t="s">
        <v>7</v>
      </c>
      <c r="F473">
        <v>35017</v>
      </c>
      <c r="G473">
        <f>COUNTIF(deals_closed!D:D,Calculations!A473)</f>
        <v>16</v>
      </c>
      <c r="H473" s="2">
        <f>SUMIF(deals_closed!D:D,Calculations!A473,deals_closed!C:C)</f>
        <v>529642</v>
      </c>
      <c r="I473" s="2">
        <f>VLOOKUP(E473,'2018_commission_structure'!$A$11:$I$14,9,FALSE)</f>
        <v>500000</v>
      </c>
      <c r="J473" s="2">
        <f t="shared" si="63"/>
        <v>625000</v>
      </c>
      <c r="K473" s="2">
        <f t="shared" si="64"/>
        <v>750000</v>
      </c>
      <c r="L473" s="2">
        <f t="shared" si="65"/>
        <v>1000000</v>
      </c>
      <c r="M473" s="6">
        <f t="shared" si="66"/>
        <v>1.0592839999999999</v>
      </c>
      <c r="N473" t="str">
        <f t="shared" si="67"/>
        <v>100-125%</v>
      </c>
      <c r="O473" s="7">
        <f>MIN(I473,H473)*INDEX('2018_commission_structure'!$A$11:$I$14,MATCH(Calculations!$E473,'2018_commission_structure'!$A$11:$A$14,0),MATCH(Calculations!O$1,'2018_commission_structure'!$A$11:$I$11,0))</f>
        <v>50000</v>
      </c>
      <c r="P473" s="7">
        <f>IF($H473&gt;I473,MIN($H473-I473,J473-I473)*INDEX('2018_commission_structure'!$A$11:$I$14,MATCH(Calculations!$E473,'2018_commission_structure'!$A$11:$A$14,0), MATCH(Calculations!P$1,'2018_commission_structure'!$A$11:$I$11,0)),0)</f>
        <v>4446.3</v>
      </c>
      <c r="Q473" s="7">
        <f>IF($H473&gt;J473,MIN($H473-J473,K473-J473)*INDEX('2018_commission_structure'!$A$11:$I$14,MATCH(Calculations!$E473,'2018_commission_structure'!$A$11:$A$14,0), MATCH(Calculations!Q$1,'2018_commission_structure'!$A$11:$I$11,0)),0)</f>
        <v>0</v>
      </c>
      <c r="R473" s="7">
        <f>IF($H473&gt;K473,MIN($H473-K473,L473-K473)*INDEX('2018_commission_structure'!$A$11:$I$14,MATCH(Calculations!$E473,'2018_commission_structure'!$A$11:$A$14,0), MATCH(Calculations!R$1,'2018_commission_structure'!$A$11:$I$11,0)),0)</f>
        <v>0</v>
      </c>
      <c r="S473" s="7">
        <f>IF(H473&gt;L473,(H473-L473)*INDEX('2018_commission_structure'!$A$11:$I$14,MATCH(Calculations!$E473,'2018_commission_structure'!$A$11:$A$14,0),MATCH(Calculations!S$1,'2018_commission_structure'!$A$11:$I$11,0)),0)</f>
        <v>0</v>
      </c>
      <c r="T473" s="7">
        <f t="shared" si="68"/>
        <v>54446.3</v>
      </c>
      <c r="U473" s="7">
        <f t="shared" si="69"/>
        <v>89463.3</v>
      </c>
      <c r="V473" s="7">
        <f>MIN(H473,I473)*INDEX('2018_commission_structure'!$A$5:$J$8,MATCH(Calculations!$E473,'2018_commission_structure'!$A$5:$A$8,0),MATCH(Calculations!V$1,'2018_commission_structure'!$A$5:$J$5,0))</f>
        <v>60000</v>
      </c>
      <c r="W473" s="2">
        <f>IF($H473&gt;I473,MIN($H473-I473,J473-I473)*INDEX('2018_commission_structure'!$A$5:$J$8,MATCH(Calculations!$E473,'2018_commission_structure'!$A$5:$A$8,0),MATCH(Calculations!W$1,'2018_commission_structure'!$A$5:$J$5,0)),0)</f>
        <v>5039.1400000000003</v>
      </c>
      <c r="X473" s="2">
        <f>IF($H473&gt;J473,MIN($H473-J473,K473-J473)*INDEX('2018_commission_structure'!$A$5:$J$8,MATCH(Calculations!$E473,'2018_commission_structure'!$A$5:$A$8,0),MATCH(Calculations!X$1,'2018_commission_structure'!$A$5:$J$5,0)),0)</f>
        <v>0</v>
      </c>
      <c r="Y473" s="2">
        <f>IF($H473&gt;K473,MIN($H473-K473,L473-K473)*INDEX('2018_commission_structure'!$A$5:$J$8,MATCH(Calculations!$E473,'2018_commission_structure'!$A$5:$A$8,0),MATCH(Calculations!Y$1,'2018_commission_structure'!$A$5:$J$5,0)),0)</f>
        <v>0</v>
      </c>
      <c r="Z473" s="2">
        <f xml:space="preserve"> IF(H473&gt;L473,(H473-L473)*INDEX('2018_commission_structure'!$A$11:$I$14,MATCH(Calculations!$E473,'2018_commission_structure'!$A$11:$A$14,0),MATCH(Calculations!Z$1,'2018_commission_structure'!$A$11:$I$11,0)),0)</f>
        <v>0</v>
      </c>
      <c r="AA473" s="7">
        <f t="shared" si="70"/>
        <v>65039.14</v>
      </c>
      <c r="AB473" s="7">
        <f t="shared" si="71"/>
        <v>100056.14</v>
      </c>
    </row>
    <row r="474" spans="1:28" x14ac:dyDescent="0.25">
      <c r="A474">
        <v>6109997811</v>
      </c>
      <c r="B474" t="s">
        <v>602</v>
      </c>
      <c r="C474" t="s">
        <v>603</v>
      </c>
      <c r="D474" t="str">
        <f>B474&amp;" "&amp;C474</f>
        <v>Constancia Jenne</v>
      </c>
      <c r="E474" t="s">
        <v>29</v>
      </c>
      <c r="F474">
        <v>71286</v>
      </c>
      <c r="G474">
        <f>COUNTIF(deals_closed!D:D,Calculations!A474)</f>
        <v>25</v>
      </c>
      <c r="H474" s="2">
        <f>SUMIF(deals_closed!D:D,Calculations!A474,deals_closed!C:C)</f>
        <v>711521</v>
      </c>
      <c r="I474" s="2">
        <f>VLOOKUP(E474,'2018_commission_structure'!$A$11:$I$14,9,FALSE)</f>
        <v>600000</v>
      </c>
      <c r="J474" s="2">
        <f t="shared" si="63"/>
        <v>750000</v>
      </c>
      <c r="K474" s="2">
        <f t="shared" si="64"/>
        <v>900000</v>
      </c>
      <c r="L474" s="2">
        <f t="shared" si="65"/>
        <v>1200000</v>
      </c>
      <c r="M474" s="6">
        <f t="shared" si="66"/>
        <v>1.1858683333333333</v>
      </c>
      <c r="N474" t="str">
        <f t="shared" si="67"/>
        <v>100-125%</v>
      </c>
      <c r="O474" s="7">
        <f>MIN(I474,H474)*INDEX('2018_commission_structure'!$A$11:$I$14,MATCH(Calculations!$E474,'2018_commission_structure'!$A$11:$A$14,0),MATCH(Calculations!O$1,'2018_commission_structure'!$A$11:$I$11,0))</f>
        <v>78000</v>
      </c>
      <c r="P474" s="7">
        <f>IF($H474&gt;I474,MIN($H474-I474,J474-I474)*INDEX('2018_commission_structure'!$A$11:$I$14,MATCH(Calculations!$E474,'2018_commission_structure'!$A$11:$A$14,0), MATCH(Calculations!P$1,'2018_commission_structure'!$A$11:$I$11,0)),0)</f>
        <v>18958.57</v>
      </c>
      <c r="Q474" s="7">
        <f>IF($H474&gt;J474,MIN($H474-J474,K474-J474)*INDEX('2018_commission_structure'!$A$11:$I$14,MATCH(Calculations!$E474,'2018_commission_structure'!$A$11:$A$14,0), MATCH(Calculations!Q$1,'2018_commission_structure'!$A$11:$I$11,0)),0)</f>
        <v>0</v>
      </c>
      <c r="R474" s="7">
        <f>IF($H474&gt;K474,MIN($H474-K474,L474-K474)*INDEX('2018_commission_structure'!$A$11:$I$14,MATCH(Calculations!$E474,'2018_commission_structure'!$A$11:$A$14,0), MATCH(Calculations!R$1,'2018_commission_structure'!$A$11:$I$11,0)),0)</f>
        <v>0</v>
      </c>
      <c r="S474" s="7">
        <f>IF(H474&gt;L474,(H474-L474)*INDEX('2018_commission_structure'!$A$11:$I$14,MATCH(Calculations!$E474,'2018_commission_structure'!$A$11:$A$14,0),MATCH(Calculations!S$1,'2018_commission_structure'!$A$11:$I$11,0)),0)</f>
        <v>0</v>
      </c>
      <c r="T474" s="7">
        <f t="shared" si="68"/>
        <v>96958.57</v>
      </c>
      <c r="U474" s="7">
        <f t="shared" si="69"/>
        <v>168244.57</v>
      </c>
      <c r="V474" s="7">
        <f>MIN(H474,I474)*INDEX('2018_commission_structure'!$A$5:$J$8,MATCH(Calculations!$E474,'2018_commission_structure'!$A$5:$A$8,0),MATCH(Calculations!V$1,'2018_commission_structure'!$A$5:$J$5,0))</f>
        <v>90000</v>
      </c>
      <c r="W474" s="2">
        <f>IF($H474&gt;I474,MIN($H474-I474,J474-I474)*INDEX('2018_commission_structure'!$A$5:$J$8,MATCH(Calculations!$E474,'2018_commission_structure'!$A$5:$A$8,0),MATCH(Calculations!W$1,'2018_commission_structure'!$A$5:$J$5,0)),0)</f>
        <v>20073.78</v>
      </c>
      <c r="X474" s="2">
        <f>IF($H474&gt;J474,MIN($H474-J474,K474-J474)*INDEX('2018_commission_structure'!$A$5:$J$8,MATCH(Calculations!$E474,'2018_commission_structure'!$A$5:$A$8,0),MATCH(Calculations!X$1,'2018_commission_structure'!$A$5:$J$5,0)),0)</f>
        <v>0</v>
      </c>
      <c r="Y474" s="2">
        <f>IF($H474&gt;K474,MIN($H474-K474,L474-K474)*INDEX('2018_commission_structure'!$A$5:$J$8,MATCH(Calculations!$E474,'2018_commission_structure'!$A$5:$A$8,0),MATCH(Calculations!Y$1,'2018_commission_structure'!$A$5:$J$5,0)),0)</f>
        <v>0</v>
      </c>
      <c r="Z474" s="2">
        <f xml:space="preserve"> IF(H474&gt;L474,(H474-L474)*INDEX('2018_commission_structure'!$A$11:$I$14,MATCH(Calculations!$E474,'2018_commission_structure'!$A$11:$A$14,0),MATCH(Calculations!Z$1,'2018_commission_structure'!$A$11:$I$11,0)),0)</f>
        <v>0</v>
      </c>
      <c r="AA474" s="7">
        <f t="shared" si="70"/>
        <v>110073.78</v>
      </c>
      <c r="AB474" s="7">
        <f t="shared" si="71"/>
        <v>181359.78</v>
      </c>
    </row>
    <row r="475" spans="1:28" x14ac:dyDescent="0.25">
      <c r="A475">
        <v>4759627103</v>
      </c>
      <c r="B475" t="s">
        <v>706</v>
      </c>
      <c r="C475" t="s">
        <v>707</v>
      </c>
      <c r="D475" t="str">
        <f>B475&amp;" "&amp;C475</f>
        <v>Catherine Jerams</v>
      </c>
      <c r="E475" t="s">
        <v>29</v>
      </c>
      <c r="F475">
        <v>75032</v>
      </c>
      <c r="G475">
        <f>COUNTIF(deals_closed!D:D,Calculations!A475)</f>
        <v>22</v>
      </c>
      <c r="H475" s="2">
        <f>SUMIF(deals_closed!D:D,Calculations!A475,deals_closed!C:C)</f>
        <v>736143</v>
      </c>
      <c r="I475" s="2">
        <f>VLOOKUP(E475,'2018_commission_structure'!$A$11:$I$14,9,FALSE)</f>
        <v>600000</v>
      </c>
      <c r="J475" s="2">
        <f t="shared" si="63"/>
        <v>750000</v>
      </c>
      <c r="K475" s="2">
        <f t="shared" si="64"/>
        <v>900000</v>
      </c>
      <c r="L475" s="2">
        <f t="shared" si="65"/>
        <v>1200000</v>
      </c>
      <c r="M475" s="6">
        <f t="shared" si="66"/>
        <v>1.2269049999999999</v>
      </c>
      <c r="N475" t="str">
        <f t="shared" si="67"/>
        <v>100-125%</v>
      </c>
      <c r="O475" s="7">
        <f>MIN(I475,H475)*INDEX('2018_commission_structure'!$A$11:$I$14,MATCH(Calculations!$E475,'2018_commission_structure'!$A$11:$A$14,0),MATCH(Calculations!O$1,'2018_commission_structure'!$A$11:$I$11,0))</f>
        <v>78000</v>
      </c>
      <c r="P475" s="7">
        <f>IF($H475&gt;I475,MIN($H475-I475,J475-I475)*INDEX('2018_commission_structure'!$A$11:$I$14,MATCH(Calculations!$E475,'2018_commission_structure'!$A$11:$A$14,0), MATCH(Calculations!P$1,'2018_commission_structure'!$A$11:$I$11,0)),0)</f>
        <v>23144.31</v>
      </c>
      <c r="Q475" s="7">
        <f>IF($H475&gt;J475,MIN($H475-J475,K475-J475)*INDEX('2018_commission_structure'!$A$11:$I$14,MATCH(Calculations!$E475,'2018_commission_structure'!$A$11:$A$14,0), MATCH(Calculations!Q$1,'2018_commission_structure'!$A$11:$I$11,0)),0)</f>
        <v>0</v>
      </c>
      <c r="R475" s="7">
        <f>IF($H475&gt;K475,MIN($H475-K475,L475-K475)*INDEX('2018_commission_structure'!$A$11:$I$14,MATCH(Calculations!$E475,'2018_commission_structure'!$A$11:$A$14,0), MATCH(Calculations!R$1,'2018_commission_structure'!$A$11:$I$11,0)),0)</f>
        <v>0</v>
      </c>
      <c r="S475" s="7">
        <f>IF(H475&gt;L475,(H475-L475)*INDEX('2018_commission_structure'!$A$11:$I$14,MATCH(Calculations!$E475,'2018_commission_structure'!$A$11:$A$14,0),MATCH(Calculations!S$1,'2018_commission_structure'!$A$11:$I$11,0)),0)</f>
        <v>0</v>
      </c>
      <c r="T475" s="7">
        <f t="shared" si="68"/>
        <v>101144.31</v>
      </c>
      <c r="U475" s="7">
        <f t="shared" si="69"/>
        <v>176176.31</v>
      </c>
      <c r="V475" s="7">
        <f>MIN(H475,I475)*INDEX('2018_commission_structure'!$A$5:$J$8,MATCH(Calculations!$E475,'2018_commission_structure'!$A$5:$A$8,0),MATCH(Calculations!V$1,'2018_commission_structure'!$A$5:$J$5,0))</f>
        <v>90000</v>
      </c>
      <c r="W475" s="2">
        <f>IF($H475&gt;I475,MIN($H475-I475,J475-I475)*INDEX('2018_commission_structure'!$A$5:$J$8,MATCH(Calculations!$E475,'2018_commission_structure'!$A$5:$A$8,0),MATCH(Calculations!W$1,'2018_commission_structure'!$A$5:$J$5,0)),0)</f>
        <v>24505.739999999998</v>
      </c>
      <c r="X475" s="2">
        <f>IF($H475&gt;J475,MIN($H475-J475,K475-J475)*INDEX('2018_commission_structure'!$A$5:$J$8,MATCH(Calculations!$E475,'2018_commission_structure'!$A$5:$A$8,0),MATCH(Calculations!X$1,'2018_commission_structure'!$A$5:$J$5,0)),0)</f>
        <v>0</v>
      </c>
      <c r="Y475" s="2">
        <f>IF($H475&gt;K475,MIN($H475-K475,L475-K475)*INDEX('2018_commission_structure'!$A$5:$J$8,MATCH(Calculations!$E475,'2018_commission_structure'!$A$5:$A$8,0),MATCH(Calculations!Y$1,'2018_commission_structure'!$A$5:$J$5,0)),0)</f>
        <v>0</v>
      </c>
      <c r="Z475" s="2">
        <f xml:space="preserve"> IF(H475&gt;L475,(H475-L475)*INDEX('2018_commission_structure'!$A$11:$I$14,MATCH(Calculations!$E475,'2018_commission_structure'!$A$11:$A$14,0),MATCH(Calculations!Z$1,'2018_commission_structure'!$A$11:$I$11,0)),0)</f>
        <v>0</v>
      </c>
      <c r="AA475" s="7">
        <f t="shared" si="70"/>
        <v>114505.73999999999</v>
      </c>
      <c r="AB475" s="7">
        <f t="shared" si="71"/>
        <v>189537.74</v>
      </c>
    </row>
    <row r="476" spans="1:28" x14ac:dyDescent="0.25">
      <c r="A476">
        <v>8977805007</v>
      </c>
      <c r="B476" t="s">
        <v>62</v>
      </c>
      <c r="C476" t="s">
        <v>63</v>
      </c>
      <c r="D476" t="str">
        <f>B476&amp;" "&amp;C476</f>
        <v>Birdie Jesper</v>
      </c>
      <c r="E476" t="s">
        <v>29</v>
      </c>
      <c r="F476">
        <v>67739</v>
      </c>
      <c r="G476">
        <f>COUNTIF(deals_closed!D:D,Calculations!A476)</f>
        <v>17</v>
      </c>
      <c r="H476" s="2">
        <f>SUMIF(deals_closed!D:D,Calculations!A476,deals_closed!C:C)</f>
        <v>602144</v>
      </c>
      <c r="I476" s="2">
        <f>VLOOKUP(E476,'2018_commission_structure'!$A$11:$I$14,9,FALSE)</f>
        <v>600000</v>
      </c>
      <c r="J476" s="2">
        <f t="shared" si="63"/>
        <v>750000</v>
      </c>
      <c r="K476" s="2">
        <f t="shared" si="64"/>
        <v>900000</v>
      </c>
      <c r="L476" s="2">
        <f t="shared" si="65"/>
        <v>1200000</v>
      </c>
      <c r="M476" s="6">
        <f t="shared" si="66"/>
        <v>1.0035733333333334</v>
      </c>
      <c r="N476" t="str">
        <f t="shared" si="67"/>
        <v>100-125%</v>
      </c>
      <c r="O476" s="7">
        <f>MIN(I476,H476)*INDEX('2018_commission_structure'!$A$11:$I$14,MATCH(Calculations!$E476,'2018_commission_structure'!$A$11:$A$14,0),MATCH(Calculations!O$1,'2018_commission_structure'!$A$11:$I$11,0))</f>
        <v>78000</v>
      </c>
      <c r="P476" s="7">
        <f>IF($H476&gt;I476,MIN($H476-I476,J476-I476)*INDEX('2018_commission_structure'!$A$11:$I$14,MATCH(Calculations!$E476,'2018_commission_structure'!$A$11:$A$14,0), MATCH(Calculations!P$1,'2018_commission_structure'!$A$11:$I$11,0)),0)</f>
        <v>364.48</v>
      </c>
      <c r="Q476" s="7">
        <f>IF($H476&gt;J476,MIN($H476-J476,K476-J476)*INDEX('2018_commission_structure'!$A$11:$I$14,MATCH(Calculations!$E476,'2018_commission_structure'!$A$11:$A$14,0), MATCH(Calculations!Q$1,'2018_commission_structure'!$A$11:$I$11,0)),0)</f>
        <v>0</v>
      </c>
      <c r="R476" s="7">
        <f>IF($H476&gt;K476,MIN($H476-K476,L476-K476)*INDEX('2018_commission_structure'!$A$11:$I$14,MATCH(Calculations!$E476,'2018_commission_structure'!$A$11:$A$14,0), MATCH(Calculations!R$1,'2018_commission_structure'!$A$11:$I$11,0)),0)</f>
        <v>0</v>
      </c>
      <c r="S476" s="7">
        <f>IF(H476&gt;L476,(H476-L476)*INDEX('2018_commission_structure'!$A$11:$I$14,MATCH(Calculations!$E476,'2018_commission_structure'!$A$11:$A$14,0),MATCH(Calculations!S$1,'2018_commission_structure'!$A$11:$I$11,0)),0)</f>
        <v>0</v>
      </c>
      <c r="T476" s="7">
        <f t="shared" si="68"/>
        <v>78364.479999999996</v>
      </c>
      <c r="U476" s="7">
        <f t="shared" si="69"/>
        <v>146103.47999999998</v>
      </c>
      <c r="V476" s="7">
        <f>MIN(H476,I476)*INDEX('2018_commission_structure'!$A$5:$J$8,MATCH(Calculations!$E476,'2018_commission_structure'!$A$5:$A$8,0),MATCH(Calculations!V$1,'2018_commission_structure'!$A$5:$J$5,0))</f>
        <v>90000</v>
      </c>
      <c r="W476" s="2">
        <f>IF($H476&gt;I476,MIN($H476-I476,J476-I476)*INDEX('2018_commission_structure'!$A$5:$J$8,MATCH(Calculations!$E476,'2018_commission_structure'!$A$5:$A$8,0),MATCH(Calculations!W$1,'2018_commission_structure'!$A$5:$J$5,0)),0)</f>
        <v>385.91999999999996</v>
      </c>
      <c r="X476" s="2">
        <f>IF($H476&gt;J476,MIN($H476-J476,K476-J476)*INDEX('2018_commission_structure'!$A$5:$J$8,MATCH(Calculations!$E476,'2018_commission_structure'!$A$5:$A$8,0),MATCH(Calculations!X$1,'2018_commission_structure'!$A$5:$J$5,0)),0)</f>
        <v>0</v>
      </c>
      <c r="Y476" s="2">
        <f>IF($H476&gt;K476,MIN($H476-K476,L476-K476)*INDEX('2018_commission_structure'!$A$5:$J$8,MATCH(Calculations!$E476,'2018_commission_structure'!$A$5:$A$8,0),MATCH(Calculations!Y$1,'2018_commission_structure'!$A$5:$J$5,0)),0)</f>
        <v>0</v>
      </c>
      <c r="Z476" s="2">
        <f xml:space="preserve"> IF(H476&gt;L476,(H476-L476)*INDEX('2018_commission_structure'!$A$11:$I$14,MATCH(Calculations!$E476,'2018_commission_structure'!$A$11:$A$14,0),MATCH(Calculations!Z$1,'2018_commission_structure'!$A$11:$I$11,0)),0)</f>
        <v>0</v>
      </c>
      <c r="AA476" s="7">
        <f t="shared" si="70"/>
        <v>90385.919999999998</v>
      </c>
      <c r="AB476" s="7">
        <f t="shared" si="71"/>
        <v>158124.91999999998</v>
      </c>
    </row>
    <row r="477" spans="1:28" x14ac:dyDescent="0.25">
      <c r="A477">
        <v>1754740677</v>
      </c>
      <c r="B477" t="s">
        <v>359</v>
      </c>
      <c r="C477" t="s">
        <v>610</v>
      </c>
      <c r="D477" t="str">
        <f>B477&amp;" "&amp;C477</f>
        <v>Inger Jime</v>
      </c>
      <c r="E477" t="s">
        <v>7</v>
      </c>
      <c r="F477">
        <v>51559</v>
      </c>
      <c r="G477">
        <f>COUNTIF(deals_closed!D:D,Calculations!A477)</f>
        <v>19</v>
      </c>
      <c r="H477" s="2">
        <f>SUMIF(deals_closed!D:D,Calculations!A477,deals_closed!C:C)</f>
        <v>673026</v>
      </c>
      <c r="I477" s="2">
        <f>VLOOKUP(E477,'2018_commission_structure'!$A$11:$I$14,9,FALSE)</f>
        <v>500000</v>
      </c>
      <c r="J477" s="2">
        <f t="shared" si="63"/>
        <v>625000</v>
      </c>
      <c r="K477" s="2">
        <f t="shared" si="64"/>
        <v>750000</v>
      </c>
      <c r="L477" s="2">
        <f t="shared" si="65"/>
        <v>1000000</v>
      </c>
      <c r="M477" s="6">
        <f t="shared" si="66"/>
        <v>1.346052</v>
      </c>
      <c r="N477" t="str">
        <f t="shared" si="67"/>
        <v>125-150%</v>
      </c>
      <c r="O477" s="7">
        <f>MIN(I477,H477)*INDEX('2018_commission_structure'!$A$11:$I$14,MATCH(Calculations!$E477,'2018_commission_structure'!$A$11:$A$14,0),MATCH(Calculations!O$1,'2018_commission_structure'!$A$11:$I$11,0))</f>
        <v>50000</v>
      </c>
      <c r="P477" s="7">
        <f>IF($H477&gt;I477,MIN($H477-I477,J477-I477)*INDEX('2018_commission_structure'!$A$11:$I$14,MATCH(Calculations!$E477,'2018_commission_structure'!$A$11:$A$14,0), MATCH(Calculations!P$1,'2018_commission_structure'!$A$11:$I$11,0)),0)</f>
        <v>18750</v>
      </c>
      <c r="Q477" s="7">
        <f>IF($H477&gt;J477,MIN($H477-J477,K477-J477)*INDEX('2018_commission_structure'!$A$11:$I$14,MATCH(Calculations!$E477,'2018_commission_structure'!$A$11:$A$14,0), MATCH(Calculations!Q$1,'2018_commission_structure'!$A$11:$I$11,0)),0)</f>
        <v>8644.68</v>
      </c>
      <c r="R477" s="7">
        <f>IF($H477&gt;K477,MIN($H477-K477,L477-K477)*INDEX('2018_commission_structure'!$A$11:$I$14,MATCH(Calculations!$E477,'2018_commission_structure'!$A$11:$A$14,0), MATCH(Calculations!R$1,'2018_commission_structure'!$A$11:$I$11,0)),0)</f>
        <v>0</v>
      </c>
      <c r="S477" s="7">
        <f>IF(H477&gt;L477,(H477-L477)*INDEX('2018_commission_structure'!$A$11:$I$14,MATCH(Calculations!$E477,'2018_commission_structure'!$A$11:$A$14,0),MATCH(Calculations!S$1,'2018_commission_structure'!$A$11:$I$11,0)),0)</f>
        <v>0</v>
      </c>
      <c r="T477" s="7">
        <f t="shared" si="68"/>
        <v>77394.679999999993</v>
      </c>
      <c r="U477" s="7">
        <f t="shared" si="69"/>
        <v>128953.68</v>
      </c>
      <c r="V477" s="7">
        <f>MIN(H477,I477)*INDEX('2018_commission_structure'!$A$5:$J$8,MATCH(Calculations!$E477,'2018_commission_structure'!$A$5:$A$8,0),MATCH(Calculations!V$1,'2018_commission_structure'!$A$5:$J$5,0))</f>
        <v>60000</v>
      </c>
      <c r="W477" s="2">
        <f>IF($H477&gt;I477,MIN($H477-I477,J477-I477)*INDEX('2018_commission_structure'!$A$5:$J$8,MATCH(Calculations!$E477,'2018_commission_structure'!$A$5:$A$8,0),MATCH(Calculations!W$1,'2018_commission_structure'!$A$5:$J$5,0)),0)</f>
        <v>21250</v>
      </c>
      <c r="X477" s="2">
        <f>IF($H477&gt;J477,MIN($H477-J477,K477-J477)*INDEX('2018_commission_structure'!$A$5:$J$8,MATCH(Calculations!$E477,'2018_commission_structure'!$A$5:$A$8,0),MATCH(Calculations!X$1,'2018_commission_structure'!$A$5:$J$5,0)),0)</f>
        <v>9605.2000000000007</v>
      </c>
      <c r="Y477" s="2">
        <f>IF($H477&gt;K477,MIN($H477-K477,L477-K477)*INDEX('2018_commission_structure'!$A$5:$J$8,MATCH(Calculations!$E477,'2018_commission_structure'!$A$5:$A$8,0),MATCH(Calculations!Y$1,'2018_commission_structure'!$A$5:$J$5,0)),0)</f>
        <v>0</v>
      </c>
      <c r="Z477" s="2">
        <f xml:space="preserve"> IF(H477&gt;L477,(H477-L477)*INDEX('2018_commission_structure'!$A$11:$I$14,MATCH(Calculations!$E477,'2018_commission_structure'!$A$11:$A$14,0),MATCH(Calculations!Z$1,'2018_commission_structure'!$A$11:$I$11,0)),0)</f>
        <v>0</v>
      </c>
      <c r="AA477" s="7">
        <f t="shared" si="70"/>
        <v>90855.2</v>
      </c>
      <c r="AB477" s="7">
        <f t="shared" si="71"/>
        <v>142414.20000000001</v>
      </c>
    </row>
    <row r="478" spans="1:28" x14ac:dyDescent="0.25">
      <c r="A478">
        <v>1096335336</v>
      </c>
      <c r="B478" t="s">
        <v>1659</v>
      </c>
      <c r="C478" t="s">
        <v>1660</v>
      </c>
      <c r="D478" t="str">
        <f>B478&amp;" "&amp;C478</f>
        <v>Rosaline Joanic</v>
      </c>
      <c r="E478" t="s">
        <v>10</v>
      </c>
      <c r="F478">
        <v>86014</v>
      </c>
      <c r="G478">
        <f>COUNTIF(deals_closed!D:D,Calculations!A478)</f>
        <v>24</v>
      </c>
      <c r="H478" s="2">
        <f>SUMIF(deals_closed!D:D,Calculations!A478,deals_closed!C:C)</f>
        <v>916522</v>
      </c>
      <c r="I478" s="2">
        <f>VLOOKUP(E478,'2018_commission_structure'!$A$11:$I$14,9,FALSE)</f>
        <v>750000</v>
      </c>
      <c r="J478" s="2">
        <f t="shared" si="63"/>
        <v>937500</v>
      </c>
      <c r="K478" s="2">
        <f t="shared" si="64"/>
        <v>1125000</v>
      </c>
      <c r="L478" s="2">
        <f t="shared" si="65"/>
        <v>1500000</v>
      </c>
      <c r="M478" s="6">
        <f t="shared" si="66"/>
        <v>1.2220293333333334</v>
      </c>
      <c r="N478" t="str">
        <f t="shared" si="67"/>
        <v>100-125%</v>
      </c>
      <c r="O478" s="7">
        <f>MIN(I478,H478)*INDEX('2018_commission_structure'!$A$11:$I$14,MATCH(Calculations!$E478,'2018_commission_structure'!$A$11:$A$14,0),MATCH(Calculations!O$1,'2018_commission_structure'!$A$11:$I$11,0))</f>
        <v>112500</v>
      </c>
      <c r="P478" s="7">
        <f>IF($H478&gt;I478,MIN($H478-I478,J478-I478)*INDEX('2018_commission_structure'!$A$11:$I$14,MATCH(Calculations!$E478,'2018_commission_structure'!$A$11:$A$14,0), MATCH(Calculations!P$1,'2018_commission_structure'!$A$11:$I$11,0)),0)</f>
        <v>31639.18</v>
      </c>
      <c r="Q478" s="7">
        <f>IF($H478&gt;J478,MIN($H478-J478,K478-J478)*INDEX('2018_commission_structure'!$A$11:$I$14,MATCH(Calculations!$E478,'2018_commission_structure'!$A$11:$A$14,0), MATCH(Calculations!Q$1,'2018_commission_structure'!$A$11:$I$11,0)),0)</f>
        <v>0</v>
      </c>
      <c r="R478" s="7">
        <f>IF($H478&gt;K478,MIN($H478-K478,L478-K478)*INDEX('2018_commission_structure'!$A$11:$I$14,MATCH(Calculations!$E478,'2018_commission_structure'!$A$11:$A$14,0), MATCH(Calculations!R$1,'2018_commission_structure'!$A$11:$I$11,0)),0)</f>
        <v>0</v>
      </c>
      <c r="S478" s="7">
        <f>IF(H478&gt;L478,(H478-L478)*INDEX('2018_commission_structure'!$A$11:$I$14,MATCH(Calculations!$E478,'2018_commission_structure'!$A$11:$A$14,0),MATCH(Calculations!S$1,'2018_commission_structure'!$A$11:$I$11,0)),0)</f>
        <v>0</v>
      </c>
      <c r="T478" s="7">
        <f t="shared" si="68"/>
        <v>144139.18</v>
      </c>
      <c r="U478" s="7">
        <f t="shared" si="69"/>
        <v>230153.18</v>
      </c>
      <c r="V478" s="7">
        <f>MIN(H478,I478)*INDEX('2018_commission_structure'!$A$5:$J$8,MATCH(Calculations!$E478,'2018_commission_structure'!$A$5:$A$8,0),MATCH(Calculations!V$1,'2018_commission_structure'!$A$5:$J$5,0))</f>
        <v>112500</v>
      </c>
      <c r="W478" s="2">
        <f>IF($H478&gt;I478,MIN($H478-I478,J478-I478)*INDEX('2018_commission_structure'!$A$5:$J$8,MATCH(Calculations!$E478,'2018_commission_structure'!$A$5:$A$8,0),MATCH(Calculations!W$1,'2018_commission_structure'!$A$5:$J$5,0)),0)</f>
        <v>36634.840000000004</v>
      </c>
      <c r="X478" s="2">
        <f>IF($H478&gt;J478,MIN($H478-J478,K478-J478)*INDEX('2018_commission_structure'!$A$5:$J$8,MATCH(Calculations!$E478,'2018_commission_structure'!$A$5:$A$8,0),MATCH(Calculations!X$1,'2018_commission_structure'!$A$5:$J$5,0)),0)</f>
        <v>0</v>
      </c>
      <c r="Y478" s="2">
        <f>IF($H478&gt;K478,MIN($H478-K478,L478-K478)*INDEX('2018_commission_structure'!$A$5:$J$8,MATCH(Calculations!$E478,'2018_commission_structure'!$A$5:$A$8,0),MATCH(Calculations!Y$1,'2018_commission_structure'!$A$5:$J$5,0)),0)</f>
        <v>0</v>
      </c>
      <c r="Z478" s="2">
        <f xml:space="preserve"> IF(H478&gt;L478,(H478-L478)*INDEX('2018_commission_structure'!$A$11:$I$14,MATCH(Calculations!$E478,'2018_commission_structure'!$A$11:$A$14,0),MATCH(Calculations!Z$1,'2018_commission_structure'!$A$11:$I$11,0)),0)</f>
        <v>0</v>
      </c>
      <c r="AA478" s="7">
        <f t="shared" si="70"/>
        <v>149134.84</v>
      </c>
      <c r="AB478" s="7">
        <f t="shared" si="71"/>
        <v>235148.84</v>
      </c>
    </row>
    <row r="479" spans="1:28" x14ac:dyDescent="0.25">
      <c r="A479">
        <v>2255261316</v>
      </c>
      <c r="B479" t="s">
        <v>1184</v>
      </c>
      <c r="C479" t="s">
        <v>1185</v>
      </c>
      <c r="D479" t="str">
        <f>B479&amp;" "&amp;C479</f>
        <v>Vickie Jocic</v>
      </c>
      <c r="E479" t="s">
        <v>10</v>
      </c>
      <c r="F479">
        <v>116809</v>
      </c>
      <c r="G479">
        <f>COUNTIF(deals_closed!D:D,Calculations!A479)</f>
        <v>15</v>
      </c>
      <c r="H479" s="2">
        <f>SUMIF(deals_closed!D:D,Calculations!A479,deals_closed!C:C)</f>
        <v>563423</v>
      </c>
      <c r="I479" s="2">
        <f>VLOOKUP(E479,'2018_commission_structure'!$A$11:$I$14,9,FALSE)</f>
        <v>750000</v>
      </c>
      <c r="J479" s="2">
        <f t="shared" si="63"/>
        <v>937500</v>
      </c>
      <c r="K479" s="2">
        <f t="shared" si="64"/>
        <v>1125000</v>
      </c>
      <c r="L479" s="2">
        <f t="shared" si="65"/>
        <v>1500000</v>
      </c>
      <c r="M479" s="6">
        <f t="shared" si="66"/>
        <v>0.75123066666666671</v>
      </c>
      <c r="N479" t="str">
        <f t="shared" si="67"/>
        <v>0-100%</v>
      </c>
      <c r="O479" s="7">
        <f>MIN(I479,H479)*INDEX('2018_commission_structure'!$A$11:$I$14,MATCH(Calculations!$E479,'2018_commission_structure'!$A$11:$A$14,0),MATCH(Calculations!O$1,'2018_commission_structure'!$A$11:$I$11,0))</f>
        <v>84513.45</v>
      </c>
      <c r="P479" s="7">
        <f>IF($H479&gt;I479,MIN($H479-I479,J479-I479)*INDEX('2018_commission_structure'!$A$11:$I$14,MATCH(Calculations!$E479,'2018_commission_structure'!$A$11:$A$14,0), MATCH(Calculations!P$1,'2018_commission_structure'!$A$11:$I$11,0)),0)</f>
        <v>0</v>
      </c>
      <c r="Q479" s="7">
        <f>IF($H479&gt;J479,MIN($H479-J479,K479-J479)*INDEX('2018_commission_structure'!$A$11:$I$14,MATCH(Calculations!$E479,'2018_commission_structure'!$A$11:$A$14,0), MATCH(Calculations!Q$1,'2018_commission_structure'!$A$11:$I$11,0)),0)</f>
        <v>0</v>
      </c>
      <c r="R479" s="7">
        <f>IF($H479&gt;K479,MIN($H479-K479,L479-K479)*INDEX('2018_commission_structure'!$A$11:$I$14,MATCH(Calculations!$E479,'2018_commission_structure'!$A$11:$A$14,0), MATCH(Calculations!R$1,'2018_commission_structure'!$A$11:$I$11,0)),0)</f>
        <v>0</v>
      </c>
      <c r="S479" s="7">
        <f>IF(H479&gt;L479,(H479-L479)*INDEX('2018_commission_structure'!$A$11:$I$14,MATCH(Calculations!$E479,'2018_commission_structure'!$A$11:$A$14,0),MATCH(Calculations!S$1,'2018_commission_structure'!$A$11:$I$11,0)),0)</f>
        <v>0</v>
      </c>
      <c r="T479" s="7">
        <f t="shared" si="68"/>
        <v>84513.45</v>
      </c>
      <c r="U479" s="7">
        <f t="shared" si="69"/>
        <v>201322.45</v>
      </c>
      <c r="V479" s="7">
        <f>MIN(H479,I479)*INDEX('2018_commission_structure'!$A$5:$J$8,MATCH(Calculations!$E479,'2018_commission_structure'!$A$5:$A$8,0),MATCH(Calculations!V$1,'2018_commission_structure'!$A$5:$J$5,0))</f>
        <v>84513.45</v>
      </c>
      <c r="W479" s="2">
        <f>IF($H479&gt;I479,MIN($H479-I479,J479-I479)*INDEX('2018_commission_structure'!$A$5:$J$8,MATCH(Calculations!$E479,'2018_commission_structure'!$A$5:$A$8,0),MATCH(Calculations!W$1,'2018_commission_structure'!$A$5:$J$5,0)),0)</f>
        <v>0</v>
      </c>
      <c r="X479" s="2">
        <f>IF($H479&gt;J479,MIN($H479-J479,K479-J479)*INDEX('2018_commission_structure'!$A$5:$J$8,MATCH(Calculations!$E479,'2018_commission_structure'!$A$5:$A$8,0),MATCH(Calculations!X$1,'2018_commission_structure'!$A$5:$J$5,0)),0)</f>
        <v>0</v>
      </c>
      <c r="Y479" s="2">
        <f>IF($H479&gt;K479,MIN($H479-K479,L479-K479)*INDEX('2018_commission_structure'!$A$5:$J$8,MATCH(Calculations!$E479,'2018_commission_structure'!$A$5:$A$8,0),MATCH(Calculations!Y$1,'2018_commission_structure'!$A$5:$J$5,0)),0)</f>
        <v>0</v>
      </c>
      <c r="Z479" s="2">
        <f xml:space="preserve"> IF(H479&gt;L479,(H479-L479)*INDEX('2018_commission_structure'!$A$11:$I$14,MATCH(Calculations!$E479,'2018_commission_structure'!$A$11:$A$14,0),MATCH(Calculations!Z$1,'2018_commission_structure'!$A$11:$I$11,0)),0)</f>
        <v>0</v>
      </c>
      <c r="AA479" s="7">
        <f t="shared" si="70"/>
        <v>84513.45</v>
      </c>
      <c r="AB479" s="7">
        <f t="shared" si="71"/>
        <v>201322.45</v>
      </c>
    </row>
    <row r="480" spans="1:28" x14ac:dyDescent="0.25">
      <c r="A480">
        <v>9803956825</v>
      </c>
      <c r="B480" t="s">
        <v>95</v>
      </c>
      <c r="C480" t="s">
        <v>96</v>
      </c>
      <c r="D480" t="str">
        <f>B480&amp;" "&amp;C480</f>
        <v>Murielle Jorez</v>
      </c>
      <c r="E480" t="s">
        <v>7</v>
      </c>
      <c r="F480">
        <v>47103</v>
      </c>
      <c r="G480">
        <f>COUNTIF(deals_closed!D:D,Calculations!A480)</f>
        <v>23</v>
      </c>
      <c r="H480" s="2">
        <f>SUMIF(deals_closed!D:D,Calculations!A480,deals_closed!C:C)</f>
        <v>909806</v>
      </c>
      <c r="I480" s="2">
        <f>VLOOKUP(E480,'2018_commission_structure'!$A$11:$I$14,9,FALSE)</f>
        <v>500000</v>
      </c>
      <c r="J480" s="2">
        <f t="shared" si="63"/>
        <v>625000</v>
      </c>
      <c r="K480" s="2">
        <f t="shared" si="64"/>
        <v>750000</v>
      </c>
      <c r="L480" s="2">
        <f t="shared" si="65"/>
        <v>1000000</v>
      </c>
      <c r="M480" s="6">
        <f t="shared" si="66"/>
        <v>1.819612</v>
      </c>
      <c r="N480" t="str">
        <f t="shared" si="67"/>
        <v>150-200%</v>
      </c>
      <c r="O480" s="7">
        <f>MIN(I480,H480)*INDEX('2018_commission_structure'!$A$11:$I$14,MATCH(Calculations!$E480,'2018_commission_structure'!$A$11:$A$14,0),MATCH(Calculations!O$1,'2018_commission_structure'!$A$11:$I$11,0))</f>
        <v>50000</v>
      </c>
      <c r="P480" s="7">
        <f>IF($H480&gt;I480,MIN($H480-I480,J480-I480)*INDEX('2018_commission_structure'!$A$11:$I$14,MATCH(Calculations!$E480,'2018_commission_structure'!$A$11:$A$14,0), MATCH(Calculations!P$1,'2018_commission_structure'!$A$11:$I$11,0)),0)</f>
        <v>18750</v>
      </c>
      <c r="Q480" s="7">
        <f>IF($H480&gt;J480,MIN($H480-J480,K480-J480)*INDEX('2018_commission_structure'!$A$11:$I$14,MATCH(Calculations!$E480,'2018_commission_structure'!$A$11:$A$14,0), MATCH(Calculations!Q$1,'2018_commission_structure'!$A$11:$I$11,0)),0)</f>
        <v>22500</v>
      </c>
      <c r="R480" s="7">
        <f>IF($H480&gt;K480,MIN($H480-K480,L480-K480)*INDEX('2018_commission_structure'!$A$11:$I$14,MATCH(Calculations!$E480,'2018_commission_structure'!$A$11:$A$14,0), MATCH(Calculations!R$1,'2018_commission_structure'!$A$11:$I$11,0)),0)</f>
        <v>35157.32</v>
      </c>
      <c r="S480" s="7">
        <f>IF(H480&gt;L480,(H480-L480)*INDEX('2018_commission_structure'!$A$11:$I$14,MATCH(Calculations!$E480,'2018_commission_structure'!$A$11:$A$14,0),MATCH(Calculations!S$1,'2018_commission_structure'!$A$11:$I$11,0)),0)</f>
        <v>0</v>
      </c>
      <c r="T480" s="7">
        <f t="shared" si="68"/>
        <v>126407.32</v>
      </c>
      <c r="U480" s="7">
        <f t="shared" si="69"/>
        <v>173510.32</v>
      </c>
      <c r="V480" s="7">
        <f>MIN(H480,I480)*INDEX('2018_commission_structure'!$A$5:$J$8,MATCH(Calculations!$E480,'2018_commission_structure'!$A$5:$A$8,0),MATCH(Calculations!V$1,'2018_commission_structure'!$A$5:$J$5,0))</f>
        <v>60000</v>
      </c>
      <c r="W480" s="2">
        <f>IF($H480&gt;I480,MIN($H480-I480,J480-I480)*INDEX('2018_commission_structure'!$A$5:$J$8,MATCH(Calculations!$E480,'2018_commission_structure'!$A$5:$A$8,0),MATCH(Calculations!W$1,'2018_commission_structure'!$A$5:$J$5,0)),0)</f>
        <v>21250</v>
      </c>
      <c r="X480" s="2">
        <f>IF($H480&gt;J480,MIN($H480-J480,K480-J480)*INDEX('2018_commission_structure'!$A$5:$J$8,MATCH(Calculations!$E480,'2018_commission_structure'!$A$5:$A$8,0),MATCH(Calculations!X$1,'2018_commission_structure'!$A$5:$J$5,0)),0)</f>
        <v>25000</v>
      </c>
      <c r="Y480" s="2">
        <f>IF($H480&gt;K480,MIN($H480-K480,L480-K480)*INDEX('2018_commission_structure'!$A$5:$J$8,MATCH(Calculations!$E480,'2018_commission_structure'!$A$5:$A$8,0),MATCH(Calculations!Y$1,'2018_commission_structure'!$A$5:$J$5,0)),0)</f>
        <v>35157.32</v>
      </c>
      <c r="Z480" s="2">
        <f xml:space="preserve"> IF(H480&gt;L480,(H480-L480)*INDEX('2018_commission_structure'!$A$11:$I$14,MATCH(Calculations!$E480,'2018_commission_structure'!$A$11:$A$14,0),MATCH(Calculations!Z$1,'2018_commission_structure'!$A$11:$I$11,0)),0)</f>
        <v>0</v>
      </c>
      <c r="AA480" s="7">
        <f t="shared" si="70"/>
        <v>141407.32</v>
      </c>
      <c r="AB480" s="7">
        <f t="shared" si="71"/>
        <v>188510.32</v>
      </c>
    </row>
    <row r="481" spans="1:28" x14ac:dyDescent="0.25">
      <c r="A481">
        <v>1462166245</v>
      </c>
      <c r="B481" t="s">
        <v>1331</v>
      </c>
      <c r="C481" t="s">
        <v>1332</v>
      </c>
      <c r="D481" t="str">
        <f>B481&amp;" "&amp;C481</f>
        <v>Barnabas Jozefczak</v>
      </c>
      <c r="E481" t="s">
        <v>7</v>
      </c>
      <c r="F481">
        <v>57979</v>
      </c>
      <c r="G481">
        <f>COUNTIF(deals_closed!D:D,Calculations!A481)</f>
        <v>20</v>
      </c>
      <c r="H481" s="2">
        <f>SUMIF(deals_closed!D:D,Calculations!A481,deals_closed!C:C)</f>
        <v>730353</v>
      </c>
      <c r="I481" s="2">
        <f>VLOOKUP(E481,'2018_commission_structure'!$A$11:$I$14,9,FALSE)</f>
        <v>500000</v>
      </c>
      <c r="J481" s="2">
        <f t="shared" si="63"/>
        <v>625000</v>
      </c>
      <c r="K481" s="2">
        <f t="shared" si="64"/>
        <v>750000</v>
      </c>
      <c r="L481" s="2">
        <f t="shared" si="65"/>
        <v>1000000</v>
      </c>
      <c r="M481" s="6">
        <f t="shared" si="66"/>
        <v>1.4607060000000001</v>
      </c>
      <c r="N481" t="str">
        <f t="shared" si="67"/>
        <v>125-150%</v>
      </c>
      <c r="O481" s="7">
        <f>MIN(I481,H481)*INDEX('2018_commission_structure'!$A$11:$I$14,MATCH(Calculations!$E481,'2018_commission_structure'!$A$11:$A$14,0),MATCH(Calculations!O$1,'2018_commission_structure'!$A$11:$I$11,0))</f>
        <v>50000</v>
      </c>
      <c r="P481" s="7">
        <f>IF($H481&gt;I481,MIN($H481-I481,J481-I481)*INDEX('2018_commission_structure'!$A$11:$I$14,MATCH(Calculations!$E481,'2018_commission_structure'!$A$11:$A$14,0), MATCH(Calculations!P$1,'2018_commission_structure'!$A$11:$I$11,0)),0)</f>
        <v>18750</v>
      </c>
      <c r="Q481" s="7">
        <f>IF($H481&gt;J481,MIN($H481-J481,K481-J481)*INDEX('2018_commission_structure'!$A$11:$I$14,MATCH(Calculations!$E481,'2018_commission_structure'!$A$11:$A$14,0), MATCH(Calculations!Q$1,'2018_commission_structure'!$A$11:$I$11,0)),0)</f>
        <v>18963.54</v>
      </c>
      <c r="R481" s="7">
        <f>IF($H481&gt;K481,MIN($H481-K481,L481-K481)*INDEX('2018_commission_structure'!$A$11:$I$14,MATCH(Calculations!$E481,'2018_commission_structure'!$A$11:$A$14,0), MATCH(Calculations!R$1,'2018_commission_structure'!$A$11:$I$11,0)),0)</f>
        <v>0</v>
      </c>
      <c r="S481" s="7">
        <f>IF(H481&gt;L481,(H481-L481)*INDEX('2018_commission_structure'!$A$11:$I$14,MATCH(Calculations!$E481,'2018_commission_structure'!$A$11:$A$14,0),MATCH(Calculations!S$1,'2018_commission_structure'!$A$11:$I$11,0)),0)</f>
        <v>0</v>
      </c>
      <c r="T481" s="7">
        <f t="shared" si="68"/>
        <v>87713.540000000008</v>
      </c>
      <c r="U481" s="7">
        <f t="shared" si="69"/>
        <v>145692.54</v>
      </c>
      <c r="V481" s="7">
        <f>MIN(H481,I481)*INDEX('2018_commission_structure'!$A$5:$J$8,MATCH(Calculations!$E481,'2018_commission_structure'!$A$5:$A$8,0),MATCH(Calculations!V$1,'2018_commission_structure'!$A$5:$J$5,0))</f>
        <v>60000</v>
      </c>
      <c r="W481" s="2">
        <f>IF($H481&gt;I481,MIN($H481-I481,J481-I481)*INDEX('2018_commission_structure'!$A$5:$J$8,MATCH(Calculations!$E481,'2018_commission_structure'!$A$5:$A$8,0),MATCH(Calculations!W$1,'2018_commission_structure'!$A$5:$J$5,0)),0)</f>
        <v>21250</v>
      </c>
      <c r="X481" s="2">
        <f>IF($H481&gt;J481,MIN($H481-J481,K481-J481)*INDEX('2018_commission_structure'!$A$5:$J$8,MATCH(Calculations!$E481,'2018_commission_structure'!$A$5:$A$8,0),MATCH(Calculations!X$1,'2018_commission_structure'!$A$5:$J$5,0)),0)</f>
        <v>21070.600000000002</v>
      </c>
      <c r="Y481" s="2">
        <f>IF($H481&gt;K481,MIN($H481-K481,L481-K481)*INDEX('2018_commission_structure'!$A$5:$J$8,MATCH(Calculations!$E481,'2018_commission_structure'!$A$5:$A$8,0),MATCH(Calculations!Y$1,'2018_commission_structure'!$A$5:$J$5,0)),0)</f>
        <v>0</v>
      </c>
      <c r="Z481" s="2">
        <f xml:space="preserve"> IF(H481&gt;L481,(H481-L481)*INDEX('2018_commission_structure'!$A$11:$I$14,MATCH(Calculations!$E481,'2018_commission_structure'!$A$11:$A$14,0),MATCH(Calculations!Z$1,'2018_commission_structure'!$A$11:$I$11,0)),0)</f>
        <v>0</v>
      </c>
      <c r="AA481" s="7">
        <f t="shared" si="70"/>
        <v>102320.6</v>
      </c>
      <c r="AB481" s="7">
        <f t="shared" si="71"/>
        <v>160299.6</v>
      </c>
    </row>
    <row r="482" spans="1:28" x14ac:dyDescent="0.25">
      <c r="A482">
        <v>4768254810</v>
      </c>
      <c r="B482" t="s">
        <v>988</v>
      </c>
      <c r="C482" t="s">
        <v>989</v>
      </c>
      <c r="D482" t="str">
        <f>B482&amp;" "&amp;C482</f>
        <v>Reagan Jubert</v>
      </c>
      <c r="E482" t="s">
        <v>7</v>
      </c>
      <c r="F482">
        <v>39511</v>
      </c>
      <c r="G482">
        <f>COUNTIF(deals_closed!D:D,Calculations!A482)</f>
        <v>21</v>
      </c>
      <c r="H482" s="2">
        <f>SUMIF(deals_closed!D:D,Calculations!A482,deals_closed!C:C)</f>
        <v>662952</v>
      </c>
      <c r="I482" s="2">
        <f>VLOOKUP(E482,'2018_commission_structure'!$A$11:$I$14,9,FALSE)</f>
        <v>500000</v>
      </c>
      <c r="J482" s="2">
        <f t="shared" si="63"/>
        <v>625000</v>
      </c>
      <c r="K482" s="2">
        <f t="shared" si="64"/>
        <v>750000</v>
      </c>
      <c r="L482" s="2">
        <f t="shared" si="65"/>
        <v>1000000</v>
      </c>
      <c r="M482" s="6">
        <f t="shared" si="66"/>
        <v>1.325904</v>
      </c>
      <c r="N482" t="str">
        <f t="shared" si="67"/>
        <v>125-150%</v>
      </c>
      <c r="O482" s="7">
        <f>MIN(I482,H482)*INDEX('2018_commission_structure'!$A$11:$I$14,MATCH(Calculations!$E482,'2018_commission_structure'!$A$11:$A$14,0),MATCH(Calculations!O$1,'2018_commission_structure'!$A$11:$I$11,0))</f>
        <v>50000</v>
      </c>
      <c r="P482" s="7">
        <f>IF($H482&gt;I482,MIN($H482-I482,J482-I482)*INDEX('2018_commission_structure'!$A$11:$I$14,MATCH(Calculations!$E482,'2018_commission_structure'!$A$11:$A$14,0), MATCH(Calculations!P$1,'2018_commission_structure'!$A$11:$I$11,0)),0)</f>
        <v>18750</v>
      </c>
      <c r="Q482" s="7">
        <f>IF($H482&gt;J482,MIN($H482-J482,K482-J482)*INDEX('2018_commission_structure'!$A$11:$I$14,MATCH(Calculations!$E482,'2018_commission_structure'!$A$11:$A$14,0), MATCH(Calculations!Q$1,'2018_commission_structure'!$A$11:$I$11,0)),0)</f>
        <v>6831.36</v>
      </c>
      <c r="R482" s="7">
        <f>IF($H482&gt;K482,MIN($H482-K482,L482-K482)*INDEX('2018_commission_structure'!$A$11:$I$14,MATCH(Calculations!$E482,'2018_commission_structure'!$A$11:$A$14,0), MATCH(Calculations!R$1,'2018_commission_structure'!$A$11:$I$11,0)),0)</f>
        <v>0</v>
      </c>
      <c r="S482" s="7">
        <f>IF(H482&gt;L482,(H482-L482)*INDEX('2018_commission_structure'!$A$11:$I$14,MATCH(Calculations!$E482,'2018_commission_structure'!$A$11:$A$14,0),MATCH(Calculations!S$1,'2018_commission_structure'!$A$11:$I$11,0)),0)</f>
        <v>0</v>
      </c>
      <c r="T482" s="7">
        <f t="shared" si="68"/>
        <v>75581.36</v>
      </c>
      <c r="U482" s="7">
        <f t="shared" si="69"/>
        <v>115092.36</v>
      </c>
      <c r="V482" s="7">
        <f>MIN(H482,I482)*INDEX('2018_commission_structure'!$A$5:$J$8,MATCH(Calculations!$E482,'2018_commission_structure'!$A$5:$A$8,0),MATCH(Calculations!V$1,'2018_commission_structure'!$A$5:$J$5,0))</f>
        <v>60000</v>
      </c>
      <c r="W482" s="2">
        <f>IF($H482&gt;I482,MIN($H482-I482,J482-I482)*INDEX('2018_commission_structure'!$A$5:$J$8,MATCH(Calculations!$E482,'2018_commission_structure'!$A$5:$A$8,0),MATCH(Calculations!W$1,'2018_commission_structure'!$A$5:$J$5,0)),0)</f>
        <v>21250</v>
      </c>
      <c r="X482" s="2">
        <f>IF($H482&gt;J482,MIN($H482-J482,K482-J482)*INDEX('2018_commission_structure'!$A$5:$J$8,MATCH(Calculations!$E482,'2018_commission_structure'!$A$5:$A$8,0),MATCH(Calculations!X$1,'2018_commission_structure'!$A$5:$J$5,0)),0)</f>
        <v>7590.4000000000005</v>
      </c>
      <c r="Y482" s="2">
        <f>IF($H482&gt;K482,MIN($H482-K482,L482-K482)*INDEX('2018_commission_structure'!$A$5:$J$8,MATCH(Calculations!$E482,'2018_commission_structure'!$A$5:$A$8,0),MATCH(Calculations!Y$1,'2018_commission_structure'!$A$5:$J$5,0)),0)</f>
        <v>0</v>
      </c>
      <c r="Z482" s="2">
        <f xml:space="preserve"> IF(H482&gt;L482,(H482-L482)*INDEX('2018_commission_structure'!$A$11:$I$14,MATCH(Calculations!$E482,'2018_commission_structure'!$A$11:$A$14,0),MATCH(Calculations!Z$1,'2018_commission_structure'!$A$11:$I$11,0)),0)</f>
        <v>0</v>
      </c>
      <c r="AA482" s="7">
        <f t="shared" si="70"/>
        <v>88840.4</v>
      </c>
      <c r="AB482" s="7">
        <f t="shared" si="71"/>
        <v>128351.4</v>
      </c>
    </row>
    <row r="483" spans="1:28" x14ac:dyDescent="0.25">
      <c r="A483">
        <v>2177097355</v>
      </c>
      <c r="B483" t="s">
        <v>767</v>
      </c>
      <c r="C483" t="s">
        <v>768</v>
      </c>
      <c r="D483" t="str">
        <f>B483&amp;" "&amp;C483</f>
        <v>Willem Juschke</v>
      </c>
      <c r="E483" t="s">
        <v>10</v>
      </c>
      <c r="F483">
        <v>86438</v>
      </c>
      <c r="G483">
        <f>COUNTIF(deals_closed!D:D,Calculations!A483)</f>
        <v>20</v>
      </c>
      <c r="H483" s="2">
        <f>SUMIF(deals_closed!D:D,Calculations!A483,deals_closed!C:C)</f>
        <v>630239</v>
      </c>
      <c r="I483" s="2">
        <f>VLOOKUP(E483,'2018_commission_structure'!$A$11:$I$14,9,FALSE)</f>
        <v>750000</v>
      </c>
      <c r="J483" s="2">
        <f t="shared" si="63"/>
        <v>937500</v>
      </c>
      <c r="K483" s="2">
        <f t="shared" si="64"/>
        <v>1125000</v>
      </c>
      <c r="L483" s="2">
        <f t="shared" si="65"/>
        <v>1500000</v>
      </c>
      <c r="M483" s="6">
        <f t="shared" si="66"/>
        <v>0.84031866666666666</v>
      </c>
      <c r="N483" t="str">
        <f t="shared" si="67"/>
        <v>0-100%</v>
      </c>
      <c r="O483" s="7">
        <f>MIN(I483,H483)*INDEX('2018_commission_structure'!$A$11:$I$14,MATCH(Calculations!$E483,'2018_commission_structure'!$A$11:$A$14,0),MATCH(Calculations!O$1,'2018_commission_structure'!$A$11:$I$11,0))</f>
        <v>94535.849999999991</v>
      </c>
      <c r="P483" s="7">
        <f>IF($H483&gt;I483,MIN($H483-I483,J483-I483)*INDEX('2018_commission_structure'!$A$11:$I$14,MATCH(Calculations!$E483,'2018_commission_structure'!$A$11:$A$14,0), MATCH(Calculations!P$1,'2018_commission_structure'!$A$11:$I$11,0)),0)</f>
        <v>0</v>
      </c>
      <c r="Q483" s="7">
        <f>IF($H483&gt;J483,MIN($H483-J483,K483-J483)*INDEX('2018_commission_structure'!$A$11:$I$14,MATCH(Calculations!$E483,'2018_commission_structure'!$A$11:$A$14,0), MATCH(Calculations!Q$1,'2018_commission_structure'!$A$11:$I$11,0)),0)</f>
        <v>0</v>
      </c>
      <c r="R483" s="7">
        <f>IF($H483&gt;K483,MIN($H483-K483,L483-K483)*INDEX('2018_commission_structure'!$A$11:$I$14,MATCH(Calculations!$E483,'2018_commission_structure'!$A$11:$A$14,0), MATCH(Calculations!R$1,'2018_commission_structure'!$A$11:$I$11,0)),0)</f>
        <v>0</v>
      </c>
      <c r="S483" s="7">
        <f>IF(H483&gt;L483,(H483-L483)*INDEX('2018_commission_structure'!$A$11:$I$14,MATCH(Calculations!$E483,'2018_commission_structure'!$A$11:$A$14,0),MATCH(Calculations!S$1,'2018_commission_structure'!$A$11:$I$11,0)),0)</f>
        <v>0</v>
      </c>
      <c r="T483" s="7">
        <f t="shared" si="68"/>
        <v>94535.849999999991</v>
      </c>
      <c r="U483" s="7">
        <f t="shared" si="69"/>
        <v>180973.84999999998</v>
      </c>
      <c r="V483" s="7">
        <f>MIN(H483,I483)*INDEX('2018_commission_structure'!$A$5:$J$8,MATCH(Calculations!$E483,'2018_commission_structure'!$A$5:$A$8,0),MATCH(Calculations!V$1,'2018_commission_structure'!$A$5:$J$5,0))</f>
        <v>94535.849999999991</v>
      </c>
      <c r="W483" s="2">
        <f>IF($H483&gt;I483,MIN($H483-I483,J483-I483)*INDEX('2018_commission_structure'!$A$5:$J$8,MATCH(Calculations!$E483,'2018_commission_structure'!$A$5:$A$8,0),MATCH(Calculations!W$1,'2018_commission_structure'!$A$5:$J$5,0)),0)</f>
        <v>0</v>
      </c>
      <c r="X483" s="2">
        <f>IF($H483&gt;J483,MIN($H483-J483,K483-J483)*INDEX('2018_commission_structure'!$A$5:$J$8,MATCH(Calculations!$E483,'2018_commission_structure'!$A$5:$A$8,0),MATCH(Calculations!X$1,'2018_commission_structure'!$A$5:$J$5,0)),0)</f>
        <v>0</v>
      </c>
      <c r="Y483" s="2">
        <f>IF($H483&gt;K483,MIN($H483-K483,L483-K483)*INDEX('2018_commission_structure'!$A$5:$J$8,MATCH(Calculations!$E483,'2018_commission_structure'!$A$5:$A$8,0),MATCH(Calculations!Y$1,'2018_commission_structure'!$A$5:$J$5,0)),0)</f>
        <v>0</v>
      </c>
      <c r="Z483" s="2">
        <f xml:space="preserve"> IF(H483&gt;L483,(H483-L483)*INDEX('2018_commission_structure'!$A$11:$I$14,MATCH(Calculations!$E483,'2018_commission_structure'!$A$11:$A$14,0),MATCH(Calculations!Z$1,'2018_commission_structure'!$A$11:$I$11,0)),0)</f>
        <v>0</v>
      </c>
      <c r="AA483" s="7">
        <f t="shared" si="70"/>
        <v>94535.849999999991</v>
      </c>
      <c r="AB483" s="7">
        <f t="shared" si="71"/>
        <v>180973.84999999998</v>
      </c>
    </row>
    <row r="484" spans="1:28" x14ac:dyDescent="0.25">
      <c r="A484">
        <v>8998375370</v>
      </c>
      <c r="B484" t="s">
        <v>874</v>
      </c>
      <c r="C484" t="s">
        <v>875</v>
      </c>
      <c r="D484" t="str">
        <f>B484&amp;" "&amp;C484</f>
        <v>Phillip Kann</v>
      </c>
      <c r="E484" t="s">
        <v>10</v>
      </c>
      <c r="F484">
        <v>76534</v>
      </c>
      <c r="G484">
        <f>COUNTIF(deals_closed!D:D,Calculations!A484)</f>
        <v>19</v>
      </c>
      <c r="H484" s="2">
        <f>SUMIF(deals_closed!D:D,Calculations!A484,deals_closed!C:C)</f>
        <v>667421</v>
      </c>
      <c r="I484" s="2">
        <f>VLOOKUP(E484,'2018_commission_structure'!$A$11:$I$14,9,FALSE)</f>
        <v>750000</v>
      </c>
      <c r="J484" s="2">
        <f t="shared" si="63"/>
        <v>937500</v>
      </c>
      <c r="K484" s="2">
        <f t="shared" si="64"/>
        <v>1125000</v>
      </c>
      <c r="L484" s="2">
        <f t="shared" si="65"/>
        <v>1500000</v>
      </c>
      <c r="M484" s="6">
        <f t="shared" si="66"/>
        <v>0.88989466666666661</v>
      </c>
      <c r="N484" t="str">
        <f t="shared" si="67"/>
        <v>0-100%</v>
      </c>
      <c r="O484" s="7">
        <f>MIN(I484,H484)*INDEX('2018_commission_structure'!$A$11:$I$14,MATCH(Calculations!$E484,'2018_commission_structure'!$A$11:$A$14,0),MATCH(Calculations!O$1,'2018_commission_structure'!$A$11:$I$11,0))</f>
        <v>100113.15</v>
      </c>
      <c r="P484" s="7">
        <f>IF($H484&gt;I484,MIN($H484-I484,J484-I484)*INDEX('2018_commission_structure'!$A$11:$I$14,MATCH(Calculations!$E484,'2018_commission_structure'!$A$11:$A$14,0), MATCH(Calculations!P$1,'2018_commission_structure'!$A$11:$I$11,0)),0)</f>
        <v>0</v>
      </c>
      <c r="Q484" s="7">
        <f>IF($H484&gt;J484,MIN($H484-J484,K484-J484)*INDEX('2018_commission_structure'!$A$11:$I$14,MATCH(Calculations!$E484,'2018_commission_structure'!$A$11:$A$14,0), MATCH(Calculations!Q$1,'2018_commission_structure'!$A$11:$I$11,0)),0)</f>
        <v>0</v>
      </c>
      <c r="R484" s="7">
        <f>IF($H484&gt;K484,MIN($H484-K484,L484-K484)*INDEX('2018_commission_structure'!$A$11:$I$14,MATCH(Calculations!$E484,'2018_commission_structure'!$A$11:$A$14,0), MATCH(Calculations!R$1,'2018_commission_structure'!$A$11:$I$11,0)),0)</f>
        <v>0</v>
      </c>
      <c r="S484" s="7">
        <f>IF(H484&gt;L484,(H484-L484)*INDEX('2018_commission_structure'!$A$11:$I$14,MATCH(Calculations!$E484,'2018_commission_structure'!$A$11:$A$14,0),MATCH(Calculations!S$1,'2018_commission_structure'!$A$11:$I$11,0)),0)</f>
        <v>0</v>
      </c>
      <c r="T484" s="7">
        <f t="shared" si="68"/>
        <v>100113.15</v>
      </c>
      <c r="U484" s="7">
        <f t="shared" si="69"/>
        <v>176647.15</v>
      </c>
      <c r="V484" s="7">
        <f>MIN(H484,I484)*INDEX('2018_commission_structure'!$A$5:$J$8,MATCH(Calculations!$E484,'2018_commission_structure'!$A$5:$A$8,0),MATCH(Calculations!V$1,'2018_commission_structure'!$A$5:$J$5,0))</f>
        <v>100113.15</v>
      </c>
      <c r="W484" s="2">
        <f>IF($H484&gt;I484,MIN($H484-I484,J484-I484)*INDEX('2018_commission_structure'!$A$5:$J$8,MATCH(Calculations!$E484,'2018_commission_structure'!$A$5:$A$8,0),MATCH(Calculations!W$1,'2018_commission_structure'!$A$5:$J$5,0)),0)</f>
        <v>0</v>
      </c>
      <c r="X484" s="2">
        <f>IF($H484&gt;J484,MIN($H484-J484,K484-J484)*INDEX('2018_commission_structure'!$A$5:$J$8,MATCH(Calculations!$E484,'2018_commission_structure'!$A$5:$A$8,0),MATCH(Calculations!X$1,'2018_commission_structure'!$A$5:$J$5,0)),0)</f>
        <v>0</v>
      </c>
      <c r="Y484" s="2">
        <f>IF($H484&gt;K484,MIN($H484-K484,L484-K484)*INDEX('2018_commission_structure'!$A$5:$J$8,MATCH(Calculations!$E484,'2018_commission_structure'!$A$5:$A$8,0),MATCH(Calculations!Y$1,'2018_commission_structure'!$A$5:$J$5,0)),0)</f>
        <v>0</v>
      </c>
      <c r="Z484" s="2">
        <f xml:space="preserve"> IF(H484&gt;L484,(H484-L484)*INDEX('2018_commission_structure'!$A$11:$I$14,MATCH(Calculations!$E484,'2018_commission_structure'!$A$11:$A$14,0),MATCH(Calculations!Z$1,'2018_commission_structure'!$A$11:$I$11,0)),0)</f>
        <v>0</v>
      </c>
      <c r="AA484" s="7">
        <f t="shared" si="70"/>
        <v>100113.15</v>
      </c>
      <c r="AB484" s="7">
        <f t="shared" si="71"/>
        <v>176647.15</v>
      </c>
    </row>
    <row r="485" spans="1:28" x14ac:dyDescent="0.25">
      <c r="A485">
        <v>713650656</v>
      </c>
      <c r="B485" t="s">
        <v>177</v>
      </c>
      <c r="C485" t="s">
        <v>178</v>
      </c>
      <c r="D485" t="str">
        <f>B485&amp;" "&amp;C485</f>
        <v>Pepillo Keaysell</v>
      </c>
      <c r="E485" t="s">
        <v>29</v>
      </c>
      <c r="F485">
        <v>55601</v>
      </c>
      <c r="G485">
        <f>COUNTIF(deals_closed!D:D,Calculations!A485)</f>
        <v>15</v>
      </c>
      <c r="H485" s="2">
        <f>SUMIF(deals_closed!D:D,Calculations!A485,deals_closed!C:C)</f>
        <v>428438</v>
      </c>
      <c r="I485" s="2">
        <f>VLOOKUP(E485,'2018_commission_structure'!$A$11:$I$14,9,FALSE)</f>
        <v>600000</v>
      </c>
      <c r="J485" s="2">
        <f t="shared" si="63"/>
        <v>750000</v>
      </c>
      <c r="K485" s="2">
        <f t="shared" si="64"/>
        <v>900000</v>
      </c>
      <c r="L485" s="2">
        <f t="shared" si="65"/>
        <v>1200000</v>
      </c>
      <c r="M485" s="6">
        <f t="shared" si="66"/>
        <v>0.71406333333333338</v>
      </c>
      <c r="N485" t="str">
        <f t="shared" si="67"/>
        <v>0-100%</v>
      </c>
      <c r="O485" s="7">
        <f>MIN(I485,H485)*INDEX('2018_commission_structure'!$A$11:$I$14,MATCH(Calculations!$E485,'2018_commission_structure'!$A$11:$A$14,0),MATCH(Calculations!O$1,'2018_commission_structure'!$A$11:$I$11,0))</f>
        <v>55696.94</v>
      </c>
      <c r="P485" s="7">
        <f>IF($H485&gt;I485,MIN($H485-I485,J485-I485)*INDEX('2018_commission_structure'!$A$11:$I$14,MATCH(Calculations!$E485,'2018_commission_structure'!$A$11:$A$14,0), MATCH(Calculations!P$1,'2018_commission_structure'!$A$11:$I$11,0)),0)</f>
        <v>0</v>
      </c>
      <c r="Q485" s="7">
        <f>IF($H485&gt;J485,MIN($H485-J485,K485-J485)*INDEX('2018_commission_structure'!$A$11:$I$14,MATCH(Calculations!$E485,'2018_commission_structure'!$A$11:$A$14,0), MATCH(Calculations!Q$1,'2018_commission_structure'!$A$11:$I$11,0)),0)</f>
        <v>0</v>
      </c>
      <c r="R485" s="7">
        <f>IF($H485&gt;K485,MIN($H485-K485,L485-K485)*INDEX('2018_commission_structure'!$A$11:$I$14,MATCH(Calculations!$E485,'2018_commission_structure'!$A$11:$A$14,0), MATCH(Calculations!R$1,'2018_commission_structure'!$A$11:$I$11,0)),0)</f>
        <v>0</v>
      </c>
      <c r="S485" s="7">
        <f>IF(H485&gt;L485,(H485-L485)*INDEX('2018_commission_structure'!$A$11:$I$14,MATCH(Calculations!$E485,'2018_commission_structure'!$A$11:$A$14,0),MATCH(Calculations!S$1,'2018_commission_structure'!$A$11:$I$11,0)),0)</f>
        <v>0</v>
      </c>
      <c r="T485" s="7">
        <f t="shared" si="68"/>
        <v>55696.94</v>
      </c>
      <c r="U485" s="7">
        <f t="shared" si="69"/>
        <v>111297.94</v>
      </c>
      <c r="V485" s="7">
        <f>MIN(H485,I485)*INDEX('2018_commission_structure'!$A$5:$J$8,MATCH(Calculations!$E485,'2018_commission_structure'!$A$5:$A$8,0),MATCH(Calculations!V$1,'2018_commission_structure'!$A$5:$J$5,0))</f>
        <v>64265.7</v>
      </c>
      <c r="W485" s="2">
        <f>IF($H485&gt;I485,MIN($H485-I485,J485-I485)*INDEX('2018_commission_structure'!$A$5:$J$8,MATCH(Calculations!$E485,'2018_commission_structure'!$A$5:$A$8,0),MATCH(Calculations!W$1,'2018_commission_structure'!$A$5:$J$5,0)),0)</f>
        <v>0</v>
      </c>
      <c r="X485" s="2">
        <f>IF($H485&gt;J485,MIN($H485-J485,K485-J485)*INDEX('2018_commission_structure'!$A$5:$J$8,MATCH(Calculations!$E485,'2018_commission_structure'!$A$5:$A$8,0),MATCH(Calculations!X$1,'2018_commission_structure'!$A$5:$J$5,0)),0)</f>
        <v>0</v>
      </c>
      <c r="Y485" s="2">
        <f>IF($H485&gt;K485,MIN($H485-K485,L485-K485)*INDEX('2018_commission_structure'!$A$5:$J$8,MATCH(Calculations!$E485,'2018_commission_structure'!$A$5:$A$8,0),MATCH(Calculations!Y$1,'2018_commission_structure'!$A$5:$J$5,0)),0)</f>
        <v>0</v>
      </c>
      <c r="Z485" s="2">
        <f xml:space="preserve"> IF(H485&gt;L485,(H485-L485)*INDEX('2018_commission_structure'!$A$11:$I$14,MATCH(Calculations!$E485,'2018_commission_structure'!$A$11:$A$14,0),MATCH(Calculations!Z$1,'2018_commission_structure'!$A$11:$I$11,0)),0)</f>
        <v>0</v>
      </c>
      <c r="AA485" s="7">
        <f t="shared" si="70"/>
        <v>64265.7</v>
      </c>
      <c r="AB485" s="7">
        <f t="shared" si="71"/>
        <v>119866.7</v>
      </c>
    </row>
    <row r="486" spans="1:28" x14ac:dyDescent="0.25">
      <c r="A486">
        <v>1042822263</v>
      </c>
      <c r="B486" t="s">
        <v>523</v>
      </c>
      <c r="C486" t="s">
        <v>524</v>
      </c>
      <c r="D486" t="str">
        <f>B486&amp;" "&amp;C486</f>
        <v>Kean Keelinge</v>
      </c>
      <c r="E486" t="s">
        <v>10</v>
      </c>
      <c r="F486">
        <v>124023</v>
      </c>
      <c r="G486">
        <f>COUNTIF(deals_closed!D:D,Calculations!A486)</f>
        <v>16</v>
      </c>
      <c r="H486" s="2">
        <f>SUMIF(deals_closed!D:D,Calculations!A486,deals_closed!C:C)</f>
        <v>619467</v>
      </c>
      <c r="I486" s="2">
        <f>VLOOKUP(E486,'2018_commission_structure'!$A$11:$I$14,9,FALSE)</f>
        <v>750000</v>
      </c>
      <c r="J486" s="2">
        <f t="shared" si="63"/>
        <v>937500</v>
      </c>
      <c r="K486" s="2">
        <f t="shared" si="64"/>
        <v>1125000</v>
      </c>
      <c r="L486" s="2">
        <f t="shared" si="65"/>
        <v>1500000</v>
      </c>
      <c r="M486" s="6">
        <f t="shared" si="66"/>
        <v>0.82595600000000002</v>
      </c>
      <c r="N486" t="str">
        <f t="shared" si="67"/>
        <v>0-100%</v>
      </c>
      <c r="O486" s="7">
        <f>MIN(I486,H486)*INDEX('2018_commission_structure'!$A$11:$I$14,MATCH(Calculations!$E486,'2018_commission_structure'!$A$11:$A$14,0),MATCH(Calculations!O$1,'2018_commission_structure'!$A$11:$I$11,0))</f>
        <v>92920.05</v>
      </c>
      <c r="P486" s="7">
        <f>IF($H486&gt;I486,MIN($H486-I486,J486-I486)*INDEX('2018_commission_structure'!$A$11:$I$14,MATCH(Calculations!$E486,'2018_commission_structure'!$A$11:$A$14,0), MATCH(Calculations!P$1,'2018_commission_structure'!$A$11:$I$11,0)),0)</f>
        <v>0</v>
      </c>
      <c r="Q486" s="7">
        <f>IF($H486&gt;J486,MIN($H486-J486,K486-J486)*INDEX('2018_commission_structure'!$A$11:$I$14,MATCH(Calculations!$E486,'2018_commission_structure'!$A$11:$A$14,0), MATCH(Calculations!Q$1,'2018_commission_structure'!$A$11:$I$11,0)),0)</f>
        <v>0</v>
      </c>
      <c r="R486" s="7">
        <f>IF($H486&gt;K486,MIN($H486-K486,L486-K486)*INDEX('2018_commission_structure'!$A$11:$I$14,MATCH(Calculations!$E486,'2018_commission_structure'!$A$11:$A$14,0), MATCH(Calculations!R$1,'2018_commission_structure'!$A$11:$I$11,0)),0)</f>
        <v>0</v>
      </c>
      <c r="S486" s="7">
        <f>IF(H486&gt;L486,(H486-L486)*INDEX('2018_commission_structure'!$A$11:$I$14,MATCH(Calculations!$E486,'2018_commission_structure'!$A$11:$A$14,0),MATCH(Calculations!S$1,'2018_commission_structure'!$A$11:$I$11,0)),0)</f>
        <v>0</v>
      </c>
      <c r="T486" s="7">
        <f t="shared" si="68"/>
        <v>92920.05</v>
      </c>
      <c r="U486" s="7">
        <f t="shared" si="69"/>
        <v>216943.05</v>
      </c>
      <c r="V486" s="7">
        <f>MIN(H486,I486)*INDEX('2018_commission_structure'!$A$5:$J$8,MATCH(Calculations!$E486,'2018_commission_structure'!$A$5:$A$8,0),MATCH(Calculations!V$1,'2018_commission_structure'!$A$5:$J$5,0))</f>
        <v>92920.05</v>
      </c>
      <c r="W486" s="2">
        <f>IF($H486&gt;I486,MIN($H486-I486,J486-I486)*INDEX('2018_commission_structure'!$A$5:$J$8,MATCH(Calculations!$E486,'2018_commission_structure'!$A$5:$A$8,0),MATCH(Calculations!W$1,'2018_commission_structure'!$A$5:$J$5,0)),0)</f>
        <v>0</v>
      </c>
      <c r="X486" s="2">
        <f>IF($H486&gt;J486,MIN($H486-J486,K486-J486)*INDEX('2018_commission_structure'!$A$5:$J$8,MATCH(Calculations!$E486,'2018_commission_structure'!$A$5:$A$8,0),MATCH(Calculations!X$1,'2018_commission_structure'!$A$5:$J$5,0)),0)</f>
        <v>0</v>
      </c>
      <c r="Y486" s="2">
        <f>IF($H486&gt;K486,MIN($H486-K486,L486-K486)*INDEX('2018_commission_structure'!$A$5:$J$8,MATCH(Calculations!$E486,'2018_commission_structure'!$A$5:$A$8,0),MATCH(Calculations!Y$1,'2018_commission_structure'!$A$5:$J$5,0)),0)</f>
        <v>0</v>
      </c>
      <c r="Z486" s="2">
        <f xml:space="preserve"> IF(H486&gt;L486,(H486-L486)*INDEX('2018_commission_structure'!$A$11:$I$14,MATCH(Calculations!$E486,'2018_commission_structure'!$A$11:$A$14,0),MATCH(Calculations!Z$1,'2018_commission_structure'!$A$11:$I$11,0)),0)</f>
        <v>0</v>
      </c>
      <c r="AA486" s="7">
        <f t="shared" si="70"/>
        <v>92920.05</v>
      </c>
      <c r="AB486" s="7">
        <f t="shared" si="71"/>
        <v>216943.05</v>
      </c>
    </row>
    <row r="487" spans="1:28" x14ac:dyDescent="0.25">
      <c r="A487">
        <v>4269946768</v>
      </c>
      <c r="B487" t="s">
        <v>1770</v>
      </c>
      <c r="C487" t="s">
        <v>1771</v>
      </c>
      <c r="D487" t="str">
        <f>B487&amp;" "&amp;C487</f>
        <v>Alaster Kencott</v>
      </c>
      <c r="E487" t="s">
        <v>10</v>
      </c>
      <c r="F487">
        <v>88682</v>
      </c>
      <c r="G487">
        <f>COUNTIF(deals_closed!D:D,Calculations!A487)</f>
        <v>21</v>
      </c>
      <c r="H487" s="2">
        <f>SUMIF(deals_closed!D:D,Calculations!A487,deals_closed!C:C)</f>
        <v>777666</v>
      </c>
      <c r="I487" s="2">
        <f>VLOOKUP(E487,'2018_commission_structure'!$A$11:$I$14,9,FALSE)</f>
        <v>750000</v>
      </c>
      <c r="J487" s="2">
        <f t="shared" si="63"/>
        <v>937500</v>
      </c>
      <c r="K487" s="2">
        <f t="shared" si="64"/>
        <v>1125000</v>
      </c>
      <c r="L487" s="2">
        <f t="shared" si="65"/>
        <v>1500000</v>
      </c>
      <c r="M487" s="6">
        <f t="shared" si="66"/>
        <v>1.036888</v>
      </c>
      <c r="N487" t="str">
        <f t="shared" si="67"/>
        <v>100-125%</v>
      </c>
      <c r="O487" s="7">
        <f>MIN(I487,H487)*INDEX('2018_commission_structure'!$A$11:$I$14,MATCH(Calculations!$E487,'2018_commission_structure'!$A$11:$A$14,0),MATCH(Calculations!O$1,'2018_commission_structure'!$A$11:$I$11,0))</f>
        <v>112500</v>
      </c>
      <c r="P487" s="7">
        <f>IF($H487&gt;I487,MIN($H487-I487,J487-I487)*INDEX('2018_commission_structure'!$A$11:$I$14,MATCH(Calculations!$E487,'2018_commission_structure'!$A$11:$A$14,0), MATCH(Calculations!P$1,'2018_commission_structure'!$A$11:$I$11,0)),0)</f>
        <v>5256.54</v>
      </c>
      <c r="Q487" s="7">
        <f>IF($H487&gt;J487,MIN($H487-J487,K487-J487)*INDEX('2018_commission_structure'!$A$11:$I$14,MATCH(Calculations!$E487,'2018_commission_structure'!$A$11:$A$14,0), MATCH(Calculations!Q$1,'2018_commission_structure'!$A$11:$I$11,0)),0)</f>
        <v>0</v>
      </c>
      <c r="R487" s="7">
        <f>IF($H487&gt;K487,MIN($H487-K487,L487-K487)*INDEX('2018_commission_structure'!$A$11:$I$14,MATCH(Calculations!$E487,'2018_commission_structure'!$A$11:$A$14,0), MATCH(Calculations!R$1,'2018_commission_structure'!$A$11:$I$11,0)),0)</f>
        <v>0</v>
      </c>
      <c r="S487" s="7">
        <f>IF(H487&gt;L487,(H487-L487)*INDEX('2018_commission_structure'!$A$11:$I$14,MATCH(Calculations!$E487,'2018_commission_structure'!$A$11:$A$14,0),MATCH(Calculations!S$1,'2018_commission_structure'!$A$11:$I$11,0)),0)</f>
        <v>0</v>
      </c>
      <c r="T487" s="7">
        <f t="shared" si="68"/>
        <v>117756.54</v>
      </c>
      <c r="U487" s="7">
        <f t="shared" si="69"/>
        <v>206438.53999999998</v>
      </c>
      <c r="V487" s="7">
        <f>MIN(H487,I487)*INDEX('2018_commission_structure'!$A$5:$J$8,MATCH(Calculations!$E487,'2018_commission_structure'!$A$5:$A$8,0),MATCH(Calculations!V$1,'2018_commission_structure'!$A$5:$J$5,0))</f>
        <v>112500</v>
      </c>
      <c r="W487" s="2">
        <f>IF($H487&gt;I487,MIN($H487-I487,J487-I487)*INDEX('2018_commission_structure'!$A$5:$J$8,MATCH(Calculations!$E487,'2018_commission_structure'!$A$5:$A$8,0),MATCH(Calculations!W$1,'2018_commission_structure'!$A$5:$J$5,0)),0)</f>
        <v>6086.52</v>
      </c>
      <c r="X487" s="2">
        <f>IF($H487&gt;J487,MIN($H487-J487,K487-J487)*INDEX('2018_commission_structure'!$A$5:$J$8,MATCH(Calculations!$E487,'2018_commission_structure'!$A$5:$A$8,0),MATCH(Calculations!X$1,'2018_commission_structure'!$A$5:$J$5,0)),0)</f>
        <v>0</v>
      </c>
      <c r="Y487" s="2">
        <f>IF($H487&gt;K487,MIN($H487-K487,L487-K487)*INDEX('2018_commission_structure'!$A$5:$J$8,MATCH(Calculations!$E487,'2018_commission_structure'!$A$5:$A$8,0),MATCH(Calculations!Y$1,'2018_commission_structure'!$A$5:$J$5,0)),0)</f>
        <v>0</v>
      </c>
      <c r="Z487" s="2">
        <f xml:space="preserve"> IF(H487&gt;L487,(H487-L487)*INDEX('2018_commission_structure'!$A$11:$I$14,MATCH(Calculations!$E487,'2018_commission_structure'!$A$11:$A$14,0),MATCH(Calculations!Z$1,'2018_commission_structure'!$A$11:$I$11,0)),0)</f>
        <v>0</v>
      </c>
      <c r="AA487" s="7">
        <f t="shared" si="70"/>
        <v>118586.52</v>
      </c>
      <c r="AB487" s="7">
        <f t="shared" si="71"/>
        <v>207268.52000000002</v>
      </c>
    </row>
    <row r="488" spans="1:28" x14ac:dyDescent="0.25">
      <c r="A488">
        <v>2565290632</v>
      </c>
      <c r="B488" t="s">
        <v>1054</v>
      </c>
      <c r="C488" t="s">
        <v>1055</v>
      </c>
      <c r="D488" t="str">
        <f>B488&amp;" "&amp;C488</f>
        <v>Rosina Kener</v>
      </c>
      <c r="E488" t="s">
        <v>10</v>
      </c>
      <c r="F488">
        <v>81538</v>
      </c>
      <c r="G488">
        <f>COUNTIF(deals_closed!D:D,Calculations!A488)</f>
        <v>16</v>
      </c>
      <c r="H488" s="2">
        <f>SUMIF(deals_closed!D:D,Calculations!A488,deals_closed!C:C)</f>
        <v>535073</v>
      </c>
      <c r="I488" s="2">
        <f>VLOOKUP(E488,'2018_commission_structure'!$A$11:$I$14,9,FALSE)</f>
        <v>750000</v>
      </c>
      <c r="J488" s="2">
        <f t="shared" si="63"/>
        <v>937500</v>
      </c>
      <c r="K488" s="2">
        <f t="shared" si="64"/>
        <v>1125000</v>
      </c>
      <c r="L488" s="2">
        <f t="shared" si="65"/>
        <v>1500000</v>
      </c>
      <c r="M488" s="6">
        <f t="shared" si="66"/>
        <v>0.71343066666666666</v>
      </c>
      <c r="N488" t="str">
        <f t="shared" si="67"/>
        <v>0-100%</v>
      </c>
      <c r="O488" s="7">
        <f>MIN(I488,H488)*INDEX('2018_commission_structure'!$A$11:$I$14,MATCH(Calculations!$E488,'2018_commission_structure'!$A$11:$A$14,0),MATCH(Calculations!O$1,'2018_commission_structure'!$A$11:$I$11,0))</f>
        <v>80260.95</v>
      </c>
      <c r="P488" s="7">
        <f>IF($H488&gt;I488,MIN($H488-I488,J488-I488)*INDEX('2018_commission_structure'!$A$11:$I$14,MATCH(Calculations!$E488,'2018_commission_structure'!$A$11:$A$14,0), MATCH(Calculations!P$1,'2018_commission_structure'!$A$11:$I$11,0)),0)</f>
        <v>0</v>
      </c>
      <c r="Q488" s="7">
        <f>IF($H488&gt;J488,MIN($H488-J488,K488-J488)*INDEX('2018_commission_structure'!$A$11:$I$14,MATCH(Calculations!$E488,'2018_commission_structure'!$A$11:$A$14,0), MATCH(Calculations!Q$1,'2018_commission_structure'!$A$11:$I$11,0)),0)</f>
        <v>0</v>
      </c>
      <c r="R488" s="7">
        <f>IF($H488&gt;K488,MIN($H488-K488,L488-K488)*INDEX('2018_commission_structure'!$A$11:$I$14,MATCH(Calculations!$E488,'2018_commission_structure'!$A$11:$A$14,0), MATCH(Calculations!R$1,'2018_commission_structure'!$A$11:$I$11,0)),0)</f>
        <v>0</v>
      </c>
      <c r="S488" s="7">
        <f>IF(H488&gt;L488,(H488-L488)*INDEX('2018_commission_structure'!$A$11:$I$14,MATCH(Calculations!$E488,'2018_commission_structure'!$A$11:$A$14,0),MATCH(Calculations!S$1,'2018_commission_structure'!$A$11:$I$11,0)),0)</f>
        <v>0</v>
      </c>
      <c r="T488" s="7">
        <f t="shared" si="68"/>
        <v>80260.95</v>
      </c>
      <c r="U488" s="7">
        <f t="shared" si="69"/>
        <v>161798.95000000001</v>
      </c>
      <c r="V488" s="7">
        <f>MIN(H488,I488)*INDEX('2018_commission_structure'!$A$5:$J$8,MATCH(Calculations!$E488,'2018_commission_structure'!$A$5:$A$8,0),MATCH(Calculations!V$1,'2018_commission_structure'!$A$5:$J$5,0))</f>
        <v>80260.95</v>
      </c>
      <c r="W488" s="2">
        <f>IF($H488&gt;I488,MIN($H488-I488,J488-I488)*INDEX('2018_commission_structure'!$A$5:$J$8,MATCH(Calculations!$E488,'2018_commission_structure'!$A$5:$A$8,0),MATCH(Calculations!W$1,'2018_commission_structure'!$A$5:$J$5,0)),0)</f>
        <v>0</v>
      </c>
      <c r="X488" s="2">
        <f>IF($H488&gt;J488,MIN($H488-J488,K488-J488)*INDEX('2018_commission_structure'!$A$5:$J$8,MATCH(Calculations!$E488,'2018_commission_structure'!$A$5:$A$8,0),MATCH(Calculations!X$1,'2018_commission_structure'!$A$5:$J$5,0)),0)</f>
        <v>0</v>
      </c>
      <c r="Y488" s="2">
        <f>IF($H488&gt;K488,MIN($H488-K488,L488-K488)*INDEX('2018_commission_structure'!$A$5:$J$8,MATCH(Calculations!$E488,'2018_commission_structure'!$A$5:$A$8,0),MATCH(Calculations!Y$1,'2018_commission_structure'!$A$5:$J$5,0)),0)</f>
        <v>0</v>
      </c>
      <c r="Z488" s="2">
        <f xml:space="preserve"> IF(H488&gt;L488,(H488-L488)*INDEX('2018_commission_structure'!$A$11:$I$14,MATCH(Calculations!$E488,'2018_commission_structure'!$A$11:$A$14,0),MATCH(Calculations!Z$1,'2018_commission_structure'!$A$11:$I$11,0)),0)</f>
        <v>0</v>
      </c>
      <c r="AA488" s="7">
        <f t="shared" si="70"/>
        <v>80260.95</v>
      </c>
      <c r="AB488" s="7">
        <f t="shared" si="71"/>
        <v>161798.95000000001</v>
      </c>
    </row>
    <row r="489" spans="1:28" x14ac:dyDescent="0.25">
      <c r="A489">
        <v>769312748</v>
      </c>
      <c r="B489" t="s">
        <v>1716</v>
      </c>
      <c r="C489" t="s">
        <v>1717</v>
      </c>
      <c r="D489" t="str">
        <f>B489&amp;" "&amp;C489</f>
        <v>Freeland Kennerley</v>
      </c>
      <c r="E489" t="s">
        <v>7</v>
      </c>
      <c r="F489">
        <v>42256</v>
      </c>
      <c r="G489">
        <f>COUNTIF(deals_closed!D:D,Calculations!A489)</f>
        <v>18</v>
      </c>
      <c r="H489" s="2">
        <f>SUMIF(deals_closed!D:D,Calculations!A489,deals_closed!C:C)</f>
        <v>717908</v>
      </c>
      <c r="I489" s="2">
        <f>VLOOKUP(E489,'2018_commission_structure'!$A$11:$I$14,9,FALSE)</f>
        <v>500000</v>
      </c>
      <c r="J489" s="2">
        <f t="shared" si="63"/>
        <v>625000</v>
      </c>
      <c r="K489" s="2">
        <f t="shared" si="64"/>
        <v>750000</v>
      </c>
      <c r="L489" s="2">
        <f t="shared" si="65"/>
        <v>1000000</v>
      </c>
      <c r="M489" s="6">
        <f t="shared" si="66"/>
        <v>1.435816</v>
      </c>
      <c r="N489" t="str">
        <f t="shared" si="67"/>
        <v>125-150%</v>
      </c>
      <c r="O489" s="7">
        <f>MIN(I489,H489)*INDEX('2018_commission_structure'!$A$11:$I$14,MATCH(Calculations!$E489,'2018_commission_structure'!$A$11:$A$14,0),MATCH(Calculations!O$1,'2018_commission_structure'!$A$11:$I$11,0))</f>
        <v>50000</v>
      </c>
      <c r="P489" s="7">
        <f>IF($H489&gt;I489,MIN($H489-I489,J489-I489)*INDEX('2018_commission_structure'!$A$11:$I$14,MATCH(Calculations!$E489,'2018_commission_structure'!$A$11:$A$14,0), MATCH(Calculations!P$1,'2018_commission_structure'!$A$11:$I$11,0)),0)</f>
        <v>18750</v>
      </c>
      <c r="Q489" s="7">
        <f>IF($H489&gt;J489,MIN($H489-J489,K489-J489)*INDEX('2018_commission_structure'!$A$11:$I$14,MATCH(Calculations!$E489,'2018_commission_structure'!$A$11:$A$14,0), MATCH(Calculations!Q$1,'2018_commission_structure'!$A$11:$I$11,0)),0)</f>
        <v>16723.439999999999</v>
      </c>
      <c r="R489" s="7">
        <f>IF($H489&gt;K489,MIN($H489-K489,L489-K489)*INDEX('2018_commission_structure'!$A$11:$I$14,MATCH(Calculations!$E489,'2018_commission_structure'!$A$11:$A$14,0), MATCH(Calculations!R$1,'2018_commission_structure'!$A$11:$I$11,0)),0)</f>
        <v>0</v>
      </c>
      <c r="S489" s="7">
        <f>IF(H489&gt;L489,(H489-L489)*INDEX('2018_commission_structure'!$A$11:$I$14,MATCH(Calculations!$E489,'2018_commission_structure'!$A$11:$A$14,0),MATCH(Calculations!S$1,'2018_commission_structure'!$A$11:$I$11,0)),0)</f>
        <v>0</v>
      </c>
      <c r="T489" s="7">
        <f t="shared" si="68"/>
        <v>85473.44</v>
      </c>
      <c r="U489" s="7">
        <f t="shared" si="69"/>
        <v>127729.44</v>
      </c>
      <c r="V489" s="7">
        <f>MIN(H489,I489)*INDEX('2018_commission_structure'!$A$5:$J$8,MATCH(Calculations!$E489,'2018_commission_structure'!$A$5:$A$8,0),MATCH(Calculations!V$1,'2018_commission_structure'!$A$5:$J$5,0))</f>
        <v>60000</v>
      </c>
      <c r="W489" s="2">
        <f>IF($H489&gt;I489,MIN($H489-I489,J489-I489)*INDEX('2018_commission_structure'!$A$5:$J$8,MATCH(Calculations!$E489,'2018_commission_structure'!$A$5:$A$8,0),MATCH(Calculations!W$1,'2018_commission_structure'!$A$5:$J$5,0)),0)</f>
        <v>21250</v>
      </c>
      <c r="X489" s="2">
        <f>IF($H489&gt;J489,MIN($H489-J489,K489-J489)*INDEX('2018_commission_structure'!$A$5:$J$8,MATCH(Calculations!$E489,'2018_commission_structure'!$A$5:$A$8,0),MATCH(Calculations!X$1,'2018_commission_structure'!$A$5:$J$5,0)),0)</f>
        <v>18581.600000000002</v>
      </c>
      <c r="Y489" s="2">
        <f>IF($H489&gt;K489,MIN($H489-K489,L489-K489)*INDEX('2018_commission_structure'!$A$5:$J$8,MATCH(Calculations!$E489,'2018_commission_structure'!$A$5:$A$8,0),MATCH(Calculations!Y$1,'2018_commission_structure'!$A$5:$J$5,0)),0)</f>
        <v>0</v>
      </c>
      <c r="Z489" s="2">
        <f xml:space="preserve"> IF(H489&gt;L489,(H489-L489)*INDEX('2018_commission_structure'!$A$11:$I$14,MATCH(Calculations!$E489,'2018_commission_structure'!$A$11:$A$14,0),MATCH(Calculations!Z$1,'2018_commission_structure'!$A$11:$I$11,0)),0)</f>
        <v>0</v>
      </c>
      <c r="AA489" s="7">
        <f t="shared" si="70"/>
        <v>99831.6</v>
      </c>
      <c r="AB489" s="7">
        <f t="shared" si="71"/>
        <v>142087.6</v>
      </c>
    </row>
    <row r="490" spans="1:28" x14ac:dyDescent="0.25">
      <c r="A490">
        <v>9621331862</v>
      </c>
      <c r="B490" t="s">
        <v>1083</v>
      </c>
      <c r="C490" t="s">
        <v>1084</v>
      </c>
      <c r="D490" t="str">
        <f>B490&amp;" "&amp;C490</f>
        <v>Elizabet Kentish</v>
      </c>
      <c r="E490" t="s">
        <v>10</v>
      </c>
      <c r="F490">
        <v>91656</v>
      </c>
      <c r="G490">
        <f>COUNTIF(deals_closed!D:D,Calculations!A490)</f>
        <v>14</v>
      </c>
      <c r="H490" s="2">
        <f>SUMIF(deals_closed!D:D,Calculations!A490,deals_closed!C:C)</f>
        <v>454708</v>
      </c>
      <c r="I490" s="2">
        <f>VLOOKUP(E490,'2018_commission_structure'!$A$11:$I$14,9,FALSE)</f>
        <v>750000</v>
      </c>
      <c r="J490" s="2">
        <f t="shared" si="63"/>
        <v>937500</v>
      </c>
      <c r="K490" s="2">
        <f t="shared" si="64"/>
        <v>1125000</v>
      </c>
      <c r="L490" s="2">
        <f t="shared" si="65"/>
        <v>1500000</v>
      </c>
      <c r="M490" s="6">
        <f t="shared" si="66"/>
        <v>0.60627733333333333</v>
      </c>
      <c r="N490" t="str">
        <f t="shared" si="67"/>
        <v>0-100%</v>
      </c>
      <c r="O490" s="7">
        <f>MIN(I490,H490)*INDEX('2018_commission_structure'!$A$11:$I$14,MATCH(Calculations!$E490,'2018_commission_structure'!$A$11:$A$14,0),MATCH(Calculations!O$1,'2018_commission_structure'!$A$11:$I$11,0))</f>
        <v>68206.2</v>
      </c>
      <c r="P490" s="7">
        <f>IF($H490&gt;I490,MIN($H490-I490,J490-I490)*INDEX('2018_commission_structure'!$A$11:$I$14,MATCH(Calculations!$E490,'2018_commission_structure'!$A$11:$A$14,0), MATCH(Calculations!P$1,'2018_commission_structure'!$A$11:$I$11,0)),0)</f>
        <v>0</v>
      </c>
      <c r="Q490" s="7">
        <f>IF($H490&gt;J490,MIN($H490-J490,K490-J490)*INDEX('2018_commission_structure'!$A$11:$I$14,MATCH(Calculations!$E490,'2018_commission_structure'!$A$11:$A$14,0), MATCH(Calculations!Q$1,'2018_commission_structure'!$A$11:$I$11,0)),0)</f>
        <v>0</v>
      </c>
      <c r="R490" s="7">
        <f>IF($H490&gt;K490,MIN($H490-K490,L490-K490)*INDEX('2018_commission_structure'!$A$11:$I$14,MATCH(Calculations!$E490,'2018_commission_structure'!$A$11:$A$14,0), MATCH(Calculations!R$1,'2018_commission_structure'!$A$11:$I$11,0)),0)</f>
        <v>0</v>
      </c>
      <c r="S490" s="7">
        <f>IF(H490&gt;L490,(H490-L490)*INDEX('2018_commission_structure'!$A$11:$I$14,MATCH(Calculations!$E490,'2018_commission_structure'!$A$11:$A$14,0),MATCH(Calculations!S$1,'2018_commission_structure'!$A$11:$I$11,0)),0)</f>
        <v>0</v>
      </c>
      <c r="T490" s="7">
        <f t="shared" si="68"/>
        <v>68206.2</v>
      </c>
      <c r="U490" s="7">
        <f t="shared" si="69"/>
        <v>159862.20000000001</v>
      </c>
      <c r="V490" s="7">
        <f>MIN(H490,I490)*INDEX('2018_commission_structure'!$A$5:$J$8,MATCH(Calculations!$E490,'2018_commission_structure'!$A$5:$A$8,0),MATCH(Calculations!V$1,'2018_commission_structure'!$A$5:$J$5,0))</f>
        <v>68206.2</v>
      </c>
      <c r="W490" s="2">
        <f>IF($H490&gt;I490,MIN($H490-I490,J490-I490)*INDEX('2018_commission_structure'!$A$5:$J$8,MATCH(Calculations!$E490,'2018_commission_structure'!$A$5:$A$8,0),MATCH(Calculations!W$1,'2018_commission_structure'!$A$5:$J$5,0)),0)</f>
        <v>0</v>
      </c>
      <c r="X490" s="2">
        <f>IF($H490&gt;J490,MIN($H490-J490,K490-J490)*INDEX('2018_commission_structure'!$A$5:$J$8,MATCH(Calculations!$E490,'2018_commission_structure'!$A$5:$A$8,0),MATCH(Calculations!X$1,'2018_commission_structure'!$A$5:$J$5,0)),0)</f>
        <v>0</v>
      </c>
      <c r="Y490" s="2">
        <f>IF($H490&gt;K490,MIN($H490-K490,L490-K490)*INDEX('2018_commission_structure'!$A$5:$J$8,MATCH(Calculations!$E490,'2018_commission_structure'!$A$5:$A$8,0),MATCH(Calculations!Y$1,'2018_commission_structure'!$A$5:$J$5,0)),0)</f>
        <v>0</v>
      </c>
      <c r="Z490" s="2">
        <f xml:space="preserve"> IF(H490&gt;L490,(H490-L490)*INDEX('2018_commission_structure'!$A$11:$I$14,MATCH(Calculations!$E490,'2018_commission_structure'!$A$11:$A$14,0),MATCH(Calculations!Z$1,'2018_commission_structure'!$A$11:$I$11,0)),0)</f>
        <v>0</v>
      </c>
      <c r="AA490" s="7">
        <f t="shared" si="70"/>
        <v>68206.2</v>
      </c>
      <c r="AB490" s="7">
        <f t="shared" si="71"/>
        <v>159862.20000000001</v>
      </c>
    </row>
    <row r="491" spans="1:28" x14ac:dyDescent="0.25">
      <c r="A491">
        <v>4610039311</v>
      </c>
      <c r="B491" t="s">
        <v>630</v>
      </c>
      <c r="C491" t="s">
        <v>631</v>
      </c>
      <c r="D491" t="str">
        <f>B491&amp;" "&amp;C491</f>
        <v>Rosie Kenzie</v>
      </c>
      <c r="E491" t="s">
        <v>10</v>
      </c>
      <c r="F491">
        <v>80298</v>
      </c>
      <c r="G491">
        <f>COUNTIF(deals_closed!D:D,Calculations!A491)</f>
        <v>18</v>
      </c>
      <c r="H491" s="2">
        <f>SUMIF(deals_closed!D:D,Calculations!A491,deals_closed!C:C)</f>
        <v>553683</v>
      </c>
      <c r="I491" s="2">
        <f>VLOOKUP(E491,'2018_commission_structure'!$A$11:$I$14,9,FALSE)</f>
        <v>750000</v>
      </c>
      <c r="J491" s="2">
        <f t="shared" si="63"/>
        <v>937500</v>
      </c>
      <c r="K491" s="2">
        <f t="shared" si="64"/>
        <v>1125000</v>
      </c>
      <c r="L491" s="2">
        <f t="shared" si="65"/>
        <v>1500000</v>
      </c>
      <c r="M491" s="6">
        <f t="shared" si="66"/>
        <v>0.73824400000000001</v>
      </c>
      <c r="N491" t="str">
        <f t="shared" si="67"/>
        <v>0-100%</v>
      </c>
      <c r="O491" s="7">
        <f>MIN(I491,H491)*INDEX('2018_commission_structure'!$A$11:$I$14,MATCH(Calculations!$E491,'2018_commission_structure'!$A$11:$A$14,0),MATCH(Calculations!O$1,'2018_commission_structure'!$A$11:$I$11,0))</f>
        <v>83052.45</v>
      </c>
      <c r="P491" s="7">
        <f>IF($H491&gt;I491,MIN($H491-I491,J491-I491)*INDEX('2018_commission_structure'!$A$11:$I$14,MATCH(Calculations!$E491,'2018_commission_structure'!$A$11:$A$14,0), MATCH(Calculations!P$1,'2018_commission_structure'!$A$11:$I$11,0)),0)</f>
        <v>0</v>
      </c>
      <c r="Q491" s="7">
        <f>IF($H491&gt;J491,MIN($H491-J491,K491-J491)*INDEX('2018_commission_structure'!$A$11:$I$14,MATCH(Calculations!$E491,'2018_commission_structure'!$A$11:$A$14,0), MATCH(Calculations!Q$1,'2018_commission_structure'!$A$11:$I$11,0)),0)</f>
        <v>0</v>
      </c>
      <c r="R491" s="7">
        <f>IF($H491&gt;K491,MIN($H491-K491,L491-K491)*INDEX('2018_commission_structure'!$A$11:$I$14,MATCH(Calculations!$E491,'2018_commission_structure'!$A$11:$A$14,0), MATCH(Calculations!R$1,'2018_commission_structure'!$A$11:$I$11,0)),0)</f>
        <v>0</v>
      </c>
      <c r="S491" s="7">
        <f>IF(H491&gt;L491,(H491-L491)*INDEX('2018_commission_structure'!$A$11:$I$14,MATCH(Calculations!$E491,'2018_commission_structure'!$A$11:$A$14,0),MATCH(Calculations!S$1,'2018_commission_structure'!$A$11:$I$11,0)),0)</f>
        <v>0</v>
      </c>
      <c r="T491" s="7">
        <f t="shared" si="68"/>
        <v>83052.45</v>
      </c>
      <c r="U491" s="7">
        <f t="shared" si="69"/>
        <v>163350.45000000001</v>
      </c>
      <c r="V491" s="7">
        <f>MIN(H491,I491)*INDEX('2018_commission_structure'!$A$5:$J$8,MATCH(Calculations!$E491,'2018_commission_structure'!$A$5:$A$8,0),MATCH(Calculations!V$1,'2018_commission_structure'!$A$5:$J$5,0))</f>
        <v>83052.45</v>
      </c>
      <c r="W491" s="2">
        <f>IF($H491&gt;I491,MIN($H491-I491,J491-I491)*INDEX('2018_commission_structure'!$A$5:$J$8,MATCH(Calculations!$E491,'2018_commission_structure'!$A$5:$A$8,0),MATCH(Calculations!W$1,'2018_commission_structure'!$A$5:$J$5,0)),0)</f>
        <v>0</v>
      </c>
      <c r="X491" s="2">
        <f>IF($H491&gt;J491,MIN($H491-J491,K491-J491)*INDEX('2018_commission_structure'!$A$5:$J$8,MATCH(Calculations!$E491,'2018_commission_structure'!$A$5:$A$8,0),MATCH(Calculations!X$1,'2018_commission_structure'!$A$5:$J$5,0)),0)</f>
        <v>0</v>
      </c>
      <c r="Y491" s="2">
        <f>IF($H491&gt;K491,MIN($H491-K491,L491-K491)*INDEX('2018_commission_structure'!$A$5:$J$8,MATCH(Calculations!$E491,'2018_commission_structure'!$A$5:$A$8,0),MATCH(Calculations!Y$1,'2018_commission_structure'!$A$5:$J$5,0)),0)</f>
        <v>0</v>
      </c>
      <c r="Z491" s="2">
        <f xml:space="preserve"> IF(H491&gt;L491,(H491-L491)*INDEX('2018_commission_structure'!$A$11:$I$14,MATCH(Calculations!$E491,'2018_commission_structure'!$A$11:$A$14,0),MATCH(Calculations!Z$1,'2018_commission_structure'!$A$11:$I$11,0)),0)</f>
        <v>0</v>
      </c>
      <c r="AA491" s="7">
        <f t="shared" si="70"/>
        <v>83052.45</v>
      </c>
      <c r="AB491" s="7">
        <f t="shared" si="71"/>
        <v>163350.45000000001</v>
      </c>
    </row>
    <row r="492" spans="1:28" x14ac:dyDescent="0.25">
      <c r="A492">
        <v>6819596901</v>
      </c>
      <c r="B492" t="s">
        <v>1735</v>
      </c>
      <c r="C492" t="s">
        <v>1736</v>
      </c>
      <c r="D492" t="str">
        <f>B492&amp;" "&amp;C492</f>
        <v>Erny Kesteven</v>
      </c>
      <c r="E492" t="s">
        <v>10</v>
      </c>
      <c r="F492">
        <v>118207</v>
      </c>
      <c r="G492">
        <f>COUNTIF(deals_closed!D:D,Calculations!A492)</f>
        <v>23</v>
      </c>
      <c r="H492" s="2">
        <f>SUMIF(deals_closed!D:D,Calculations!A492,deals_closed!C:C)</f>
        <v>739933</v>
      </c>
      <c r="I492" s="2">
        <f>VLOOKUP(E492,'2018_commission_structure'!$A$11:$I$14,9,FALSE)</f>
        <v>750000</v>
      </c>
      <c r="J492" s="2">
        <f t="shared" si="63"/>
        <v>937500</v>
      </c>
      <c r="K492" s="2">
        <f t="shared" si="64"/>
        <v>1125000</v>
      </c>
      <c r="L492" s="2">
        <f t="shared" si="65"/>
        <v>1500000</v>
      </c>
      <c r="M492" s="6">
        <f t="shared" si="66"/>
        <v>0.98657733333333331</v>
      </c>
      <c r="N492" t="str">
        <f t="shared" si="67"/>
        <v>0-100%</v>
      </c>
      <c r="O492" s="7">
        <f>MIN(I492,H492)*INDEX('2018_commission_structure'!$A$11:$I$14,MATCH(Calculations!$E492,'2018_commission_structure'!$A$11:$A$14,0),MATCH(Calculations!O$1,'2018_commission_structure'!$A$11:$I$11,0))</f>
        <v>110989.95</v>
      </c>
      <c r="P492" s="7">
        <f>IF($H492&gt;I492,MIN($H492-I492,J492-I492)*INDEX('2018_commission_structure'!$A$11:$I$14,MATCH(Calculations!$E492,'2018_commission_structure'!$A$11:$A$14,0), MATCH(Calculations!P$1,'2018_commission_structure'!$A$11:$I$11,0)),0)</f>
        <v>0</v>
      </c>
      <c r="Q492" s="7">
        <f>IF($H492&gt;J492,MIN($H492-J492,K492-J492)*INDEX('2018_commission_structure'!$A$11:$I$14,MATCH(Calculations!$E492,'2018_commission_structure'!$A$11:$A$14,0), MATCH(Calculations!Q$1,'2018_commission_structure'!$A$11:$I$11,0)),0)</f>
        <v>0</v>
      </c>
      <c r="R492" s="7">
        <f>IF($H492&gt;K492,MIN($H492-K492,L492-K492)*INDEX('2018_commission_structure'!$A$11:$I$14,MATCH(Calculations!$E492,'2018_commission_structure'!$A$11:$A$14,0), MATCH(Calculations!R$1,'2018_commission_structure'!$A$11:$I$11,0)),0)</f>
        <v>0</v>
      </c>
      <c r="S492" s="7">
        <f>IF(H492&gt;L492,(H492-L492)*INDEX('2018_commission_structure'!$A$11:$I$14,MATCH(Calculations!$E492,'2018_commission_structure'!$A$11:$A$14,0),MATCH(Calculations!S$1,'2018_commission_structure'!$A$11:$I$11,0)),0)</f>
        <v>0</v>
      </c>
      <c r="T492" s="7">
        <f t="shared" si="68"/>
        <v>110989.95</v>
      </c>
      <c r="U492" s="7">
        <f t="shared" si="69"/>
        <v>229196.95</v>
      </c>
      <c r="V492" s="7">
        <f>MIN(H492,I492)*INDEX('2018_commission_structure'!$A$5:$J$8,MATCH(Calculations!$E492,'2018_commission_structure'!$A$5:$A$8,0),MATCH(Calculations!V$1,'2018_commission_structure'!$A$5:$J$5,0))</f>
        <v>110989.95</v>
      </c>
      <c r="W492" s="2">
        <f>IF($H492&gt;I492,MIN($H492-I492,J492-I492)*INDEX('2018_commission_structure'!$A$5:$J$8,MATCH(Calculations!$E492,'2018_commission_structure'!$A$5:$A$8,0),MATCH(Calculations!W$1,'2018_commission_structure'!$A$5:$J$5,0)),0)</f>
        <v>0</v>
      </c>
      <c r="X492" s="2">
        <f>IF($H492&gt;J492,MIN($H492-J492,K492-J492)*INDEX('2018_commission_structure'!$A$5:$J$8,MATCH(Calculations!$E492,'2018_commission_structure'!$A$5:$A$8,0),MATCH(Calculations!X$1,'2018_commission_structure'!$A$5:$J$5,0)),0)</f>
        <v>0</v>
      </c>
      <c r="Y492" s="2">
        <f>IF($H492&gt;K492,MIN($H492-K492,L492-K492)*INDEX('2018_commission_structure'!$A$5:$J$8,MATCH(Calculations!$E492,'2018_commission_structure'!$A$5:$A$8,0),MATCH(Calculations!Y$1,'2018_commission_structure'!$A$5:$J$5,0)),0)</f>
        <v>0</v>
      </c>
      <c r="Z492" s="2">
        <f xml:space="preserve"> IF(H492&gt;L492,(H492-L492)*INDEX('2018_commission_structure'!$A$11:$I$14,MATCH(Calculations!$E492,'2018_commission_structure'!$A$11:$A$14,0),MATCH(Calculations!Z$1,'2018_commission_structure'!$A$11:$I$11,0)),0)</f>
        <v>0</v>
      </c>
      <c r="AA492" s="7">
        <f t="shared" si="70"/>
        <v>110989.95</v>
      </c>
      <c r="AB492" s="7">
        <f t="shared" si="71"/>
        <v>229196.95</v>
      </c>
    </row>
    <row r="493" spans="1:28" x14ac:dyDescent="0.25">
      <c r="A493">
        <v>7473861379</v>
      </c>
      <c r="B493" t="s">
        <v>1213</v>
      </c>
      <c r="C493" t="s">
        <v>1214</v>
      </c>
      <c r="D493" t="str">
        <f>B493&amp;" "&amp;C493</f>
        <v>Daile Kettel</v>
      </c>
      <c r="E493" t="s">
        <v>10</v>
      </c>
      <c r="F493">
        <v>89176</v>
      </c>
      <c r="G493">
        <f>COUNTIF(deals_closed!D:D,Calculations!A493)</f>
        <v>22</v>
      </c>
      <c r="H493" s="2">
        <f>SUMIF(deals_closed!D:D,Calculations!A493,deals_closed!C:C)</f>
        <v>817155</v>
      </c>
      <c r="I493" s="2">
        <f>VLOOKUP(E493,'2018_commission_structure'!$A$11:$I$14,9,FALSE)</f>
        <v>750000</v>
      </c>
      <c r="J493" s="2">
        <f t="shared" si="63"/>
        <v>937500</v>
      </c>
      <c r="K493" s="2">
        <f t="shared" si="64"/>
        <v>1125000</v>
      </c>
      <c r="L493" s="2">
        <f t="shared" si="65"/>
        <v>1500000</v>
      </c>
      <c r="M493" s="6">
        <f t="shared" si="66"/>
        <v>1.08954</v>
      </c>
      <c r="N493" t="str">
        <f t="shared" si="67"/>
        <v>100-125%</v>
      </c>
      <c r="O493" s="7">
        <f>MIN(I493,H493)*INDEX('2018_commission_structure'!$A$11:$I$14,MATCH(Calculations!$E493,'2018_commission_structure'!$A$11:$A$14,0),MATCH(Calculations!O$1,'2018_commission_structure'!$A$11:$I$11,0))</f>
        <v>112500</v>
      </c>
      <c r="P493" s="7">
        <f>IF($H493&gt;I493,MIN($H493-I493,J493-I493)*INDEX('2018_commission_structure'!$A$11:$I$14,MATCH(Calculations!$E493,'2018_commission_structure'!$A$11:$A$14,0), MATCH(Calculations!P$1,'2018_commission_structure'!$A$11:$I$11,0)),0)</f>
        <v>12759.45</v>
      </c>
      <c r="Q493" s="7">
        <f>IF($H493&gt;J493,MIN($H493-J493,K493-J493)*INDEX('2018_commission_structure'!$A$11:$I$14,MATCH(Calculations!$E493,'2018_commission_structure'!$A$11:$A$14,0), MATCH(Calculations!Q$1,'2018_commission_structure'!$A$11:$I$11,0)),0)</f>
        <v>0</v>
      </c>
      <c r="R493" s="7">
        <f>IF($H493&gt;K493,MIN($H493-K493,L493-K493)*INDEX('2018_commission_structure'!$A$11:$I$14,MATCH(Calculations!$E493,'2018_commission_structure'!$A$11:$A$14,0), MATCH(Calculations!R$1,'2018_commission_structure'!$A$11:$I$11,0)),0)</f>
        <v>0</v>
      </c>
      <c r="S493" s="7">
        <f>IF(H493&gt;L493,(H493-L493)*INDEX('2018_commission_structure'!$A$11:$I$14,MATCH(Calculations!$E493,'2018_commission_structure'!$A$11:$A$14,0),MATCH(Calculations!S$1,'2018_commission_structure'!$A$11:$I$11,0)),0)</f>
        <v>0</v>
      </c>
      <c r="T493" s="7">
        <f t="shared" si="68"/>
        <v>125259.45</v>
      </c>
      <c r="U493" s="7">
        <f t="shared" si="69"/>
        <v>214435.45</v>
      </c>
      <c r="V493" s="7">
        <f>MIN(H493,I493)*INDEX('2018_commission_structure'!$A$5:$J$8,MATCH(Calculations!$E493,'2018_commission_structure'!$A$5:$A$8,0),MATCH(Calculations!V$1,'2018_commission_structure'!$A$5:$J$5,0))</f>
        <v>112500</v>
      </c>
      <c r="W493" s="2">
        <f>IF($H493&gt;I493,MIN($H493-I493,J493-I493)*INDEX('2018_commission_structure'!$A$5:$J$8,MATCH(Calculations!$E493,'2018_commission_structure'!$A$5:$A$8,0),MATCH(Calculations!W$1,'2018_commission_structure'!$A$5:$J$5,0)),0)</f>
        <v>14774.1</v>
      </c>
      <c r="X493" s="2">
        <f>IF($H493&gt;J493,MIN($H493-J493,K493-J493)*INDEX('2018_commission_structure'!$A$5:$J$8,MATCH(Calculations!$E493,'2018_commission_structure'!$A$5:$A$8,0),MATCH(Calculations!X$1,'2018_commission_structure'!$A$5:$J$5,0)),0)</f>
        <v>0</v>
      </c>
      <c r="Y493" s="2">
        <f>IF($H493&gt;K493,MIN($H493-K493,L493-K493)*INDEX('2018_commission_structure'!$A$5:$J$8,MATCH(Calculations!$E493,'2018_commission_structure'!$A$5:$A$8,0),MATCH(Calculations!Y$1,'2018_commission_structure'!$A$5:$J$5,0)),0)</f>
        <v>0</v>
      </c>
      <c r="Z493" s="2">
        <f xml:space="preserve"> IF(H493&gt;L493,(H493-L493)*INDEX('2018_commission_structure'!$A$11:$I$14,MATCH(Calculations!$E493,'2018_commission_structure'!$A$11:$A$14,0),MATCH(Calculations!Z$1,'2018_commission_structure'!$A$11:$I$11,0)),0)</f>
        <v>0</v>
      </c>
      <c r="AA493" s="7">
        <f t="shared" si="70"/>
        <v>127274.1</v>
      </c>
      <c r="AB493" s="7">
        <f t="shared" si="71"/>
        <v>216450.1</v>
      </c>
    </row>
    <row r="494" spans="1:28" x14ac:dyDescent="0.25">
      <c r="A494">
        <v>2426144645</v>
      </c>
      <c r="B494" t="s">
        <v>1518</v>
      </c>
      <c r="C494" t="s">
        <v>1519</v>
      </c>
      <c r="D494" t="str">
        <f>B494&amp;" "&amp;C494</f>
        <v>Morty Kettlestringes</v>
      </c>
      <c r="E494" t="s">
        <v>7</v>
      </c>
      <c r="F494">
        <v>32787</v>
      </c>
      <c r="G494">
        <f>COUNTIF(deals_closed!D:D,Calculations!A494)</f>
        <v>18</v>
      </c>
      <c r="H494" s="2">
        <f>SUMIF(deals_closed!D:D,Calculations!A494,deals_closed!C:C)</f>
        <v>700912</v>
      </c>
      <c r="I494" s="2">
        <f>VLOOKUP(E494,'2018_commission_structure'!$A$11:$I$14,9,FALSE)</f>
        <v>500000</v>
      </c>
      <c r="J494" s="2">
        <f t="shared" si="63"/>
        <v>625000</v>
      </c>
      <c r="K494" s="2">
        <f t="shared" si="64"/>
        <v>750000</v>
      </c>
      <c r="L494" s="2">
        <f t="shared" si="65"/>
        <v>1000000</v>
      </c>
      <c r="M494" s="6">
        <f t="shared" si="66"/>
        <v>1.401824</v>
      </c>
      <c r="N494" t="str">
        <f t="shared" si="67"/>
        <v>125-150%</v>
      </c>
      <c r="O494" s="7">
        <f>MIN(I494,H494)*INDEX('2018_commission_structure'!$A$11:$I$14,MATCH(Calculations!$E494,'2018_commission_structure'!$A$11:$A$14,0),MATCH(Calculations!O$1,'2018_commission_structure'!$A$11:$I$11,0))</f>
        <v>50000</v>
      </c>
      <c r="P494" s="7">
        <f>IF($H494&gt;I494,MIN($H494-I494,J494-I494)*INDEX('2018_commission_structure'!$A$11:$I$14,MATCH(Calculations!$E494,'2018_commission_structure'!$A$11:$A$14,0), MATCH(Calculations!P$1,'2018_commission_structure'!$A$11:$I$11,0)),0)</f>
        <v>18750</v>
      </c>
      <c r="Q494" s="7">
        <f>IF($H494&gt;J494,MIN($H494-J494,K494-J494)*INDEX('2018_commission_structure'!$A$11:$I$14,MATCH(Calculations!$E494,'2018_commission_structure'!$A$11:$A$14,0), MATCH(Calculations!Q$1,'2018_commission_structure'!$A$11:$I$11,0)),0)</f>
        <v>13664.16</v>
      </c>
      <c r="R494" s="7">
        <f>IF($H494&gt;K494,MIN($H494-K494,L494-K494)*INDEX('2018_commission_structure'!$A$11:$I$14,MATCH(Calculations!$E494,'2018_commission_structure'!$A$11:$A$14,0), MATCH(Calculations!R$1,'2018_commission_structure'!$A$11:$I$11,0)),0)</f>
        <v>0</v>
      </c>
      <c r="S494" s="7">
        <f>IF(H494&gt;L494,(H494-L494)*INDEX('2018_commission_structure'!$A$11:$I$14,MATCH(Calculations!$E494,'2018_commission_structure'!$A$11:$A$14,0),MATCH(Calculations!S$1,'2018_commission_structure'!$A$11:$I$11,0)),0)</f>
        <v>0</v>
      </c>
      <c r="T494" s="7">
        <f t="shared" si="68"/>
        <v>82414.16</v>
      </c>
      <c r="U494" s="7">
        <f t="shared" si="69"/>
        <v>115201.16</v>
      </c>
      <c r="V494" s="7">
        <f>MIN(H494,I494)*INDEX('2018_commission_structure'!$A$5:$J$8,MATCH(Calculations!$E494,'2018_commission_structure'!$A$5:$A$8,0),MATCH(Calculations!V$1,'2018_commission_structure'!$A$5:$J$5,0))</f>
        <v>60000</v>
      </c>
      <c r="W494" s="2">
        <f>IF($H494&gt;I494,MIN($H494-I494,J494-I494)*INDEX('2018_commission_structure'!$A$5:$J$8,MATCH(Calculations!$E494,'2018_commission_structure'!$A$5:$A$8,0),MATCH(Calculations!W$1,'2018_commission_structure'!$A$5:$J$5,0)),0)</f>
        <v>21250</v>
      </c>
      <c r="X494" s="2">
        <f>IF($H494&gt;J494,MIN($H494-J494,K494-J494)*INDEX('2018_commission_structure'!$A$5:$J$8,MATCH(Calculations!$E494,'2018_commission_structure'!$A$5:$A$8,0),MATCH(Calculations!X$1,'2018_commission_structure'!$A$5:$J$5,0)),0)</f>
        <v>15182.400000000001</v>
      </c>
      <c r="Y494" s="2">
        <f>IF($H494&gt;K494,MIN($H494-K494,L494-K494)*INDEX('2018_commission_structure'!$A$5:$J$8,MATCH(Calculations!$E494,'2018_commission_structure'!$A$5:$A$8,0),MATCH(Calculations!Y$1,'2018_commission_structure'!$A$5:$J$5,0)),0)</f>
        <v>0</v>
      </c>
      <c r="Z494" s="2">
        <f xml:space="preserve"> IF(H494&gt;L494,(H494-L494)*INDEX('2018_commission_structure'!$A$11:$I$14,MATCH(Calculations!$E494,'2018_commission_structure'!$A$11:$A$14,0),MATCH(Calculations!Z$1,'2018_commission_structure'!$A$11:$I$11,0)),0)</f>
        <v>0</v>
      </c>
      <c r="AA494" s="7">
        <f t="shared" si="70"/>
        <v>96432.4</v>
      </c>
      <c r="AB494" s="7">
        <f t="shared" si="71"/>
        <v>129219.4</v>
      </c>
    </row>
    <row r="495" spans="1:28" x14ac:dyDescent="0.25">
      <c r="A495">
        <v>8032296239</v>
      </c>
      <c r="B495" t="s">
        <v>509</v>
      </c>
      <c r="C495" t="s">
        <v>1840</v>
      </c>
      <c r="D495" t="str">
        <f>B495&amp;" "&amp;C495</f>
        <v>Ellen Kevis</v>
      </c>
      <c r="E495" t="s">
        <v>29</v>
      </c>
      <c r="F495">
        <v>50836</v>
      </c>
      <c r="G495">
        <f>COUNTIF(deals_closed!D:D,Calculations!A495)</f>
        <v>20</v>
      </c>
      <c r="H495" s="2">
        <f>SUMIF(deals_closed!D:D,Calculations!A495,deals_closed!C:C)</f>
        <v>645529</v>
      </c>
      <c r="I495" s="2">
        <f>VLOOKUP(E495,'2018_commission_structure'!$A$11:$I$14,9,FALSE)</f>
        <v>600000</v>
      </c>
      <c r="J495" s="2">
        <f t="shared" si="63"/>
        <v>750000</v>
      </c>
      <c r="K495" s="2">
        <f t="shared" si="64"/>
        <v>900000</v>
      </c>
      <c r="L495" s="2">
        <f t="shared" si="65"/>
        <v>1200000</v>
      </c>
      <c r="M495" s="6">
        <f t="shared" si="66"/>
        <v>1.0758816666666666</v>
      </c>
      <c r="N495" t="str">
        <f t="shared" si="67"/>
        <v>100-125%</v>
      </c>
      <c r="O495" s="7">
        <f>MIN(I495,H495)*INDEX('2018_commission_structure'!$A$11:$I$14,MATCH(Calculations!$E495,'2018_commission_structure'!$A$11:$A$14,0),MATCH(Calculations!O$1,'2018_commission_structure'!$A$11:$I$11,0))</f>
        <v>78000</v>
      </c>
      <c r="P495" s="7">
        <f>IF($H495&gt;I495,MIN($H495-I495,J495-I495)*INDEX('2018_commission_structure'!$A$11:$I$14,MATCH(Calculations!$E495,'2018_commission_structure'!$A$11:$A$14,0), MATCH(Calculations!P$1,'2018_commission_structure'!$A$11:$I$11,0)),0)</f>
        <v>7739.93</v>
      </c>
      <c r="Q495" s="7">
        <f>IF($H495&gt;J495,MIN($H495-J495,K495-J495)*INDEX('2018_commission_structure'!$A$11:$I$14,MATCH(Calculations!$E495,'2018_commission_structure'!$A$11:$A$14,0), MATCH(Calculations!Q$1,'2018_commission_structure'!$A$11:$I$11,0)),0)</f>
        <v>0</v>
      </c>
      <c r="R495" s="7">
        <f>IF($H495&gt;K495,MIN($H495-K495,L495-K495)*INDEX('2018_commission_structure'!$A$11:$I$14,MATCH(Calculations!$E495,'2018_commission_structure'!$A$11:$A$14,0), MATCH(Calculations!R$1,'2018_commission_structure'!$A$11:$I$11,0)),0)</f>
        <v>0</v>
      </c>
      <c r="S495" s="7">
        <f>IF(H495&gt;L495,(H495-L495)*INDEX('2018_commission_structure'!$A$11:$I$14,MATCH(Calculations!$E495,'2018_commission_structure'!$A$11:$A$14,0),MATCH(Calculations!S$1,'2018_commission_structure'!$A$11:$I$11,0)),0)</f>
        <v>0</v>
      </c>
      <c r="T495" s="7">
        <f t="shared" si="68"/>
        <v>85739.93</v>
      </c>
      <c r="U495" s="7">
        <f t="shared" si="69"/>
        <v>136575.93</v>
      </c>
      <c r="V495" s="7">
        <f>MIN(H495,I495)*INDEX('2018_commission_structure'!$A$5:$J$8,MATCH(Calculations!$E495,'2018_commission_structure'!$A$5:$A$8,0),MATCH(Calculations!V$1,'2018_commission_structure'!$A$5:$J$5,0))</f>
        <v>90000</v>
      </c>
      <c r="W495" s="2">
        <f>IF($H495&gt;I495,MIN($H495-I495,J495-I495)*INDEX('2018_commission_structure'!$A$5:$J$8,MATCH(Calculations!$E495,'2018_commission_structure'!$A$5:$A$8,0),MATCH(Calculations!W$1,'2018_commission_structure'!$A$5:$J$5,0)),0)</f>
        <v>8195.2199999999993</v>
      </c>
      <c r="X495" s="2">
        <f>IF($H495&gt;J495,MIN($H495-J495,K495-J495)*INDEX('2018_commission_structure'!$A$5:$J$8,MATCH(Calculations!$E495,'2018_commission_structure'!$A$5:$A$8,0),MATCH(Calculations!X$1,'2018_commission_structure'!$A$5:$J$5,0)),0)</f>
        <v>0</v>
      </c>
      <c r="Y495" s="2">
        <f>IF($H495&gt;K495,MIN($H495-K495,L495-K495)*INDEX('2018_commission_structure'!$A$5:$J$8,MATCH(Calculations!$E495,'2018_commission_structure'!$A$5:$A$8,0),MATCH(Calculations!Y$1,'2018_commission_structure'!$A$5:$J$5,0)),0)</f>
        <v>0</v>
      </c>
      <c r="Z495" s="2">
        <f xml:space="preserve"> IF(H495&gt;L495,(H495-L495)*INDEX('2018_commission_structure'!$A$11:$I$14,MATCH(Calculations!$E495,'2018_commission_structure'!$A$11:$A$14,0),MATCH(Calculations!Z$1,'2018_commission_structure'!$A$11:$I$11,0)),0)</f>
        <v>0</v>
      </c>
      <c r="AA495" s="7">
        <f t="shared" si="70"/>
        <v>98195.22</v>
      </c>
      <c r="AB495" s="7">
        <f t="shared" si="71"/>
        <v>149031.22</v>
      </c>
    </row>
    <row r="496" spans="1:28" x14ac:dyDescent="0.25">
      <c r="A496">
        <v>9458901820</v>
      </c>
      <c r="B496" t="s">
        <v>1457</v>
      </c>
      <c r="C496" t="s">
        <v>1458</v>
      </c>
      <c r="D496" t="str">
        <f>B496&amp;" "&amp;C496</f>
        <v>Moses Keymar</v>
      </c>
      <c r="E496" t="s">
        <v>7</v>
      </c>
      <c r="F496">
        <v>64311</v>
      </c>
      <c r="G496">
        <f>COUNTIF(deals_closed!D:D,Calculations!A496)</f>
        <v>18</v>
      </c>
      <c r="H496" s="2">
        <f>SUMIF(deals_closed!D:D,Calculations!A496,deals_closed!C:C)</f>
        <v>570118</v>
      </c>
      <c r="I496" s="2">
        <f>VLOOKUP(E496,'2018_commission_structure'!$A$11:$I$14,9,FALSE)</f>
        <v>500000</v>
      </c>
      <c r="J496" s="2">
        <f t="shared" si="63"/>
        <v>625000</v>
      </c>
      <c r="K496" s="2">
        <f t="shared" si="64"/>
        <v>750000</v>
      </c>
      <c r="L496" s="2">
        <f t="shared" si="65"/>
        <v>1000000</v>
      </c>
      <c r="M496" s="6">
        <f t="shared" si="66"/>
        <v>1.140236</v>
      </c>
      <c r="N496" t="str">
        <f t="shared" si="67"/>
        <v>100-125%</v>
      </c>
      <c r="O496" s="7">
        <f>MIN(I496,H496)*INDEX('2018_commission_structure'!$A$11:$I$14,MATCH(Calculations!$E496,'2018_commission_structure'!$A$11:$A$14,0),MATCH(Calculations!O$1,'2018_commission_structure'!$A$11:$I$11,0))</f>
        <v>50000</v>
      </c>
      <c r="P496" s="7">
        <f>IF($H496&gt;I496,MIN($H496-I496,J496-I496)*INDEX('2018_commission_structure'!$A$11:$I$14,MATCH(Calculations!$E496,'2018_commission_structure'!$A$11:$A$14,0), MATCH(Calculations!P$1,'2018_commission_structure'!$A$11:$I$11,0)),0)</f>
        <v>10517.699999999999</v>
      </c>
      <c r="Q496" s="7">
        <f>IF($H496&gt;J496,MIN($H496-J496,K496-J496)*INDEX('2018_commission_structure'!$A$11:$I$14,MATCH(Calculations!$E496,'2018_commission_structure'!$A$11:$A$14,0), MATCH(Calculations!Q$1,'2018_commission_structure'!$A$11:$I$11,0)),0)</f>
        <v>0</v>
      </c>
      <c r="R496" s="7">
        <f>IF($H496&gt;K496,MIN($H496-K496,L496-K496)*INDEX('2018_commission_structure'!$A$11:$I$14,MATCH(Calculations!$E496,'2018_commission_structure'!$A$11:$A$14,0), MATCH(Calculations!R$1,'2018_commission_structure'!$A$11:$I$11,0)),0)</f>
        <v>0</v>
      </c>
      <c r="S496" s="7">
        <f>IF(H496&gt;L496,(H496-L496)*INDEX('2018_commission_structure'!$A$11:$I$14,MATCH(Calculations!$E496,'2018_commission_structure'!$A$11:$A$14,0),MATCH(Calculations!S$1,'2018_commission_structure'!$A$11:$I$11,0)),0)</f>
        <v>0</v>
      </c>
      <c r="T496" s="7">
        <f t="shared" si="68"/>
        <v>60517.7</v>
      </c>
      <c r="U496" s="7">
        <f t="shared" si="69"/>
        <v>124828.7</v>
      </c>
      <c r="V496" s="7">
        <f>MIN(H496,I496)*INDEX('2018_commission_structure'!$A$5:$J$8,MATCH(Calculations!$E496,'2018_commission_structure'!$A$5:$A$8,0),MATCH(Calculations!V$1,'2018_commission_structure'!$A$5:$J$5,0))</f>
        <v>60000</v>
      </c>
      <c r="W496" s="2">
        <f>IF($H496&gt;I496,MIN($H496-I496,J496-I496)*INDEX('2018_commission_structure'!$A$5:$J$8,MATCH(Calculations!$E496,'2018_commission_structure'!$A$5:$A$8,0),MATCH(Calculations!W$1,'2018_commission_structure'!$A$5:$J$5,0)),0)</f>
        <v>11920.060000000001</v>
      </c>
      <c r="X496" s="2">
        <f>IF($H496&gt;J496,MIN($H496-J496,K496-J496)*INDEX('2018_commission_structure'!$A$5:$J$8,MATCH(Calculations!$E496,'2018_commission_structure'!$A$5:$A$8,0),MATCH(Calculations!X$1,'2018_commission_structure'!$A$5:$J$5,0)),0)</f>
        <v>0</v>
      </c>
      <c r="Y496" s="2">
        <f>IF($H496&gt;K496,MIN($H496-K496,L496-K496)*INDEX('2018_commission_structure'!$A$5:$J$8,MATCH(Calculations!$E496,'2018_commission_structure'!$A$5:$A$8,0),MATCH(Calculations!Y$1,'2018_commission_structure'!$A$5:$J$5,0)),0)</f>
        <v>0</v>
      </c>
      <c r="Z496" s="2">
        <f xml:space="preserve"> IF(H496&gt;L496,(H496-L496)*INDEX('2018_commission_structure'!$A$11:$I$14,MATCH(Calculations!$E496,'2018_commission_structure'!$A$11:$A$14,0),MATCH(Calculations!Z$1,'2018_commission_structure'!$A$11:$I$11,0)),0)</f>
        <v>0</v>
      </c>
      <c r="AA496" s="7">
        <f t="shared" si="70"/>
        <v>71920.06</v>
      </c>
      <c r="AB496" s="7">
        <f t="shared" si="71"/>
        <v>136231.06</v>
      </c>
    </row>
    <row r="497" spans="1:28" x14ac:dyDescent="0.25">
      <c r="A497">
        <v>6837456032</v>
      </c>
      <c r="B497" t="s">
        <v>911</v>
      </c>
      <c r="C497" t="s">
        <v>912</v>
      </c>
      <c r="D497" t="str">
        <f>B497&amp;" "&amp;C497</f>
        <v>Elwyn Keyzman</v>
      </c>
      <c r="E497" t="s">
        <v>7</v>
      </c>
      <c r="F497">
        <v>51201</v>
      </c>
      <c r="G497">
        <f>COUNTIF(deals_closed!D:D,Calculations!A497)</f>
        <v>20</v>
      </c>
      <c r="H497" s="2">
        <f>SUMIF(deals_closed!D:D,Calculations!A497,deals_closed!C:C)</f>
        <v>727326</v>
      </c>
      <c r="I497" s="2">
        <f>VLOOKUP(E497,'2018_commission_structure'!$A$11:$I$14,9,FALSE)</f>
        <v>500000</v>
      </c>
      <c r="J497" s="2">
        <f t="shared" si="63"/>
        <v>625000</v>
      </c>
      <c r="K497" s="2">
        <f t="shared" si="64"/>
        <v>750000</v>
      </c>
      <c r="L497" s="2">
        <f t="shared" si="65"/>
        <v>1000000</v>
      </c>
      <c r="M497" s="6">
        <f t="shared" si="66"/>
        <v>1.4546520000000001</v>
      </c>
      <c r="N497" t="str">
        <f t="shared" si="67"/>
        <v>125-150%</v>
      </c>
      <c r="O497" s="7">
        <f>MIN(I497,H497)*INDEX('2018_commission_structure'!$A$11:$I$14,MATCH(Calculations!$E497,'2018_commission_structure'!$A$11:$A$14,0),MATCH(Calculations!O$1,'2018_commission_structure'!$A$11:$I$11,0))</f>
        <v>50000</v>
      </c>
      <c r="P497" s="7">
        <f>IF($H497&gt;I497,MIN($H497-I497,J497-I497)*INDEX('2018_commission_structure'!$A$11:$I$14,MATCH(Calculations!$E497,'2018_commission_structure'!$A$11:$A$14,0), MATCH(Calculations!P$1,'2018_commission_structure'!$A$11:$I$11,0)),0)</f>
        <v>18750</v>
      </c>
      <c r="Q497" s="7">
        <f>IF($H497&gt;J497,MIN($H497-J497,K497-J497)*INDEX('2018_commission_structure'!$A$11:$I$14,MATCH(Calculations!$E497,'2018_commission_structure'!$A$11:$A$14,0), MATCH(Calculations!Q$1,'2018_commission_structure'!$A$11:$I$11,0)),0)</f>
        <v>18418.68</v>
      </c>
      <c r="R497" s="7">
        <f>IF($H497&gt;K497,MIN($H497-K497,L497-K497)*INDEX('2018_commission_structure'!$A$11:$I$14,MATCH(Calculations!$E497,'2018_commission_structure'!$A$11:$A$14,0), MATCH(Calculations!R$1,'2018_commission_structure'!$A$11:$I$11,0)),0)</f>
        <v>0</v>
      </c>
      <c r="S497" s="7">
        <f>IF(H497&gt;L497,(H497-L497)*INDEX('2018_commission_structure'!$A$11:$I$14,MATCH(Calculations!$E497,'2018_commission_structure'!$A$11:$A$14,0),MATCH(Calculations!S$1,'2018_commission_structure'!$A$11:$I$11,0)),0)</f>
        <v>0</v>
      </c>
      <c r="T497" s="7">
        <f t="shared" si="68"/>
        <v>87168.68</v>
      </c>
      <c r="U497" s="7">
        <f t="shared" si="69"/>
        <v>138369.68</v>
      </c>
      <c r="V497" s="7">
        <f>MIN(H497,I497)*INDEX('2018_commission_structure'!$A$5:$J$8,MATCH(Calculations!$E497,'2018_commission_structure'!$A$5:$A$8,0),MATCH(Calculations!V$1,'2018_commission_structure'!$A$5:$J$5,0))</f>
        <v>60000</v>
      </c>
      <c r="W497" s="2">
        <f>IF($H497&gt;I497,MIN($H497-I497,J497-I497)*INDEX('2018_commission_structure'!$A$5:$J$8,MATCH(Calculations!$E497,'2018_commission_structure'!$A$5:$A$8,0),MATCH(Calculations!W$1,'2018_commission_structure'!$A$5:$J$5,0)),0)</f>
        <v>21250</v>
      </c>
      <c r="X497" s="2">
        <f>IF($H497&gt;J497,MIN($H497-J497,K497-J497)*INDEX('2018_commission_structure'!$A$5:$J$8,MATCH(Calculations!$E497,'2018_commission_structure'!$A$5:$A$8,0),MATCH(Calculations!X$1,'2018_commission_structure'!$A$5:$J$5,0)),0)</f>
        <v>20465.2</v>
      </c>
      <c r="Y497" s="2">
        <f>IF($H497&gt;K497,MIN($H497-K497,L497-K497)*INDEX('2018_commission_structure'!$A$5:$J$8,MATCH(Calculations!$E497,'2018_commission_structure'!$A$5:$A$8,0),MATCH(Calculations!Y$1,'2018_commission_structure'!$A$5:$J$5,0)),0)</f>
        <v>0</v>
      </c>
      <c r="Z497" s="2">
        <f xml:space="preserve"> IF(H497&gt;L497,(H497-L497)*INDEX('2018_commission_structure'!$A$11:$I$14,MATCH(Calculations!$E497,'2018_commission_structure'!$A$11:$A$14,0),MATCH(Calculations!Z$1,'2018_commission_structure'!$A$11:$I$11,0)),0)</f>
        <v>0</v>
      </c>
      <c r="AA497" s="7">
        <f t="shared" si="70"/>
        <v>101715.2</v>
      </c>
      <c r="AB497" s="7">
        <f t="shared" si="71"/>
        <v>152916.20000000001</v>
      </c>
    </row>
    <row r="498" spans="1:28" x14ac:dyDescent="0.25">
      <c r="A498">
        <v>8694120054</v>
      </c>
      <c r="B498" t="s">
        <v>357</v>
      </c>
      <c r="C498" t="s">
        <v>358</v>
      </c>
      <c r="D498" t="str">
        <f>B498&amp;" "&amp;C498</f>
        <v>Filmore Kinvig</v>
      </c>
      <c r="E498" t="s">
        <v>10</v>
      </c>
      <c r="F498">
        <v>114348</v>
      </c>
      <c r="G498">
        <f>COUNTIF(deals_closed!D:D,Calculations!A498)</f>
        <v>22</v>
      </c>
      <c r="H498" s="2">
        <f>SUMIF(deals_closed!D:D,Calculations!A498,deals_closed!C:C)</f>
        <v>767904</v>
      </c>
      <c r="I498" s="2">
        <f>VLOOKUP(E498,'2018_commission_structure'!$A$11:$I$14,9,FALSE)</f>
        <v>750000</v>
      </c>
      <c r="J498" s="2">
        <f t="shared" si="63"/>
        <v>937500</v>
      </c>
      <c r="K498" s="2">
        <f t="shared" si="64"/>
        <v>1125000</v>
      </c>
      <c r="L498" s="2">
        <f t="shared" si="65"/>
        <v>1500000</v>
      </c>
      <c r="M498" s="6">
        <f t="shared" si="66"/>
        <v>1.0238719999999999</v>
      </c>
      <c r="N498" t="str">
        <f t="shared" si="67"/>
        <v>100-125%</v>
      </c>
      <c r="O498" s="7">
        <f>MIN(I498,H498)*INDEX('2018_commission_structure'!$A$11:$I$14,MATCH(Calculations!$E498,'2018_commission_structure'!$A$11:$A$14,0),MATCH(Calculations!O$1,'2018_commission_structure'!$A$11:$I$11,0))</f>
        <v>112500</v>
      </c>
      <c r="P498" s="7">
        <f>IF($H498&gt;I498,MIN($H498-I498,J498-I498)*INDEX('2018_commission_structure'!$A$11:$I$14,MATCH(Calculations!$E498,'2018_commission_structure'!$A$11:$A$14,0), MATCH(Calculations!P$1,'2018_commission_structure'!$A$11:$I$11,0)),0)</f>
        <v>3401.76</v>
      </c>
      <c r="Q498" s="7">
        <f>IF($H498&gt;J498,MIN($H498-J498,K498-J498)*INDEX('2018_commission_structure'!$A$11:$I$14,MATCH(Calculations!$E498,'2018_commission_structure'!$A$11:$A$14,0), MATCH(Calculations!Q$1,'2018_commission_structure'!$A$11:$I$11,0)),0)</f>
        <v>0</v>
      </c>
      <c r="R498" s="7">
        <f>IF($H498&gt;K498,MIN($H498-K498,L498-K498)*INDEX('2018_commission_structure'!$A$11:$I$14,MATCH(Calculations!$E498,'2018_commission_structure'!$A$11:$A$14,0), MATCH(Calculations!R$1,'2018_commission_structure'!$A$11:$I$11,0)),0)</f>
        <v>0</v>
      </c>
      <c r="S498" s="7">
        <f>IF(H498&gt;L498,(H498-L498)*INDEX('2018_commission_structure'!$A$11:$I$14,MATCH(Calculations!$E498,'2018_commission_structure'!$A$11:$A$14,0),MATCH(Calculations!S$1,'2018_commission_structure'!$A$11:$I$11,0)),0)</f>
        <v>0</v>
      </c>
      <c r="T498" s="7">
        <f t="shared" si="68"/>
        <v>115901.75999999999</v>
      </c>
      <c r="U498" s="7">
        <f t="shared" si="69"/>
        <v>230249.76</v>
      </c>
      <c r="V498" s="7">
        <f>MIN(H498,I498)*INDEX('2018_commission_structure'!$A$5:$J$8,MATCH(Calculations!$E498,'2018_commission_structure'!$A$5:$A$8,0),MATCH(Calculations!V$1,'2018_commission_structure'!$A$5:$J$5,0))</f>
        <v>112500</v>
      </c>
      <c r="W498" s="2">
        <f>IF($H498&gt;I498,MIN($H498-I498,J498-I498)*INDEX('2018_commission_structure'!$A$5:$J$8,MATCH(Calculations!$E498,'2018_commission_structure'!$A$5:$A$8,0),MATCH(Calculations!W$1,'2018_commission_structure'!$A$5:$J$5,0)),0)</f>
        <v>3938.88</v>
      </c>
      <c r="X498" s="2">
        <f>IF($H498&gt;J498,MIN($H498-J498,K498-J498)*INDEX('2018_commission_structure'!$A$5:$J$8,MATCH(Calculations!$E498,'2018_commission_structure'!$A$5:$A$8,0),MATCH(Calculations!X$1,'2018_commission_structure'!$A$5:$J$5,0)),0)</f>
        <v>0</v>
      </c>
      <c r="Y498" s="2">
        <f>IF($H498&gt;K498,MIN($H498-K498,L498-K498)*INDEX('2018_commission_structure'!$A$5:$J$8,MATCH(Calculations!$E498,'2018_commission_structure'!$A$5:$A$8,0),MATCH(Calculations!Y$1,'2018_commission_structure'!$A$5:$J$5,0)),0)</f>
        <v>0</v>
      </c>
      <c r="Z498" s="2">
        <f xml:space="preserve"> IF(H498&gt;L498,(H498-L498)*INDEX('2018_commission_structure'!$A$11:$I$14,MATCH(Calculations!$E498,'2018_commission_structure'!$A$11:$A$14,0),MATCH(Calculations!Z$1,'2018_commission_structure'!$A$11:$I$11,0)),0)</f>
        <v>0</v>
      </c>
      <c r="AA498" s="7">
        <f t="shared" si="70"/>
        <v>116438.88</v>
      </c>
      <c r="AB498" s="7">
        <f t="shared" si="71"/>
        <v>230786.88</v>
      </c>
    </row>
    <row r="499" spans="1:28" x14ac:dyDescent="0.25">
      <c r="A499">
        <v>4290015026</v>
      </c>
      <c r="B499" t="s">
        <v>940</v>
      </c>
      <c r="C499" t="s">
        <v>941</v>
      </c>
      <c r="D499" t="str">
        <f>B499&amp;" "&amp;C499</f>
        <v>Mallory Kiss</v>
      </c>
      <c r="E499" t="s">
        <v>7</v>
      </c>
      <c r="F499">
        <v>50810</v>
      </c>
      <c r="G499">
        <f>COUNTIF(deals_closed!D:D,Calculations!A499)</f>
        <v>20</v>
      </c>
      <c r="H499" s="2">
        <f>SUMIF(deals_closed!D:D,Calculations!A499,deals_closed!C:C)</f>
        <v>614002</v>
      </c>
      <c r="I499" s="2">
        <f>VLOOKUP(E499,'2018_commission_structure'!$A$11:$I$14,9,FALSE)</f>
        <v>500000</v>
      </c>
      <c r="J499" s="2">
        <f t="shared" si="63"/>
        <v>625000</v>
      </c>
      <c r="K499" s="2">
        <f t="shared" si="64"/>
        <v>750000</v>
      </c>
      <c r="L499" s="2">
        <f t="shared" si="65"/>
        <v>1000000</v>
      </c>
      <c r="M499" s="6">
        <f t="shared" si="66"/>
        <v>1.2280040000000001</v>
      </c>
      <c r="N499" t="str">
        <f t="shared" si="67"/>
        <v>100-125%</v>
      </c>
      <c r="O499" s="7">
        <f>MIN(I499,H499)*INDEX('2018_commission_structure'!$A$11:$I$14,MATCH(Calculations!$E499,'2018_commission_structure'!$A$11:$A$14,0),MATCH(Calculations!O$1,'2018_commission_structure'!$A$11:$I$11,0))</f>
        <v>50000</v>
      </c>
      <c r="P499" s="7">
        <f>IF($H499&gt;I499,MIN($H499-I499,J499-I499)*INDEX('2018_commission_structure'!$A$11:$I$14,MATCH(Calculations!$E499,'2018_commission_structure'!$A$11:$A$14,0), MATCH(Calculations!P$1,'2018_commission_structure'!$A$11:$I$11,0)),0)</f>
        <v>17100.3</v>
      </c>
      <c r="Q499" s="7">
        <f>IF($H499&gt;J499,MIN($H499-J499,K499-J499)*INDEX('2018_commission_structure'!$A$11:$I$14,MATCH(Calculations!$E499,'2018_commission_structure'!$A$11:$A$14,0), MATCH(Calculations!Q$1,'2018_commission_structure'!$A$11:$I$11,0)),0)</f>
        <v>0</v>
      </c>
      <c r="R499" s="7">
        <f>IF($H499&gt;K499,MIN($H499-K499,L499-K499)*INDEX('2018_commission_structure'!$A$11:$I$14,MATCH(Calculations!$E499,'2018_commission_structure'!$A$11:$A$14,0), MATCH(Calculations!R$1,'2018_commission_structure'!$A$11:$I$11,0)),0)</f>
        <v>0</v>
      </c>
      <c r="S499" s="7">
        <f>IF(H499&gt;L499,(H499-L499)*INDEX('2018_commission_structure'!$A$11:$I$14,MATCH(Calculations!$E499,'2018_commission_structure'!$A$11:$A$14,0),MATCH(Calculations!S$1,'2018_commission_structure'!$A$11:$I$11,0)),0)</f>
        <v>0</v>
      </c>
      <c r="T499" s="7">
        <f t="shared" si="68"/>
        <v>67100.3</v>
      </c>
      <c r="U499" s="7">
        <f t="shared" si="69"/>
        <v>117910.3</v>
      </c>
      <c r="V499" s="7">
        <f>MIN(H499,I499)*INDEX('2018_commission_structure'!$A$5:$J$8,MATCH(Calculations!$E499,'2018_commission_structure'!$A$5:$A$8,0),MATCH(Calculations!V$1,'2018_commission_structure'!$A$5:$J$5,0))</f>
        <v>60000</v>
      </c>
      <c r="W499" s="2">
        <f>IF($H499&gt;I499,MIN($H499-I499,J499-I499)*INDEX('2018_commission_structure'!$A$5:$J$8,MATCH(Calculations!$E499,'2018_commission_structure'!$A$5:$A$8,0),MATCH(Calculations!W$1,'2018_commission_structure'!$A$5:$J$5,0)),0)</f>
        <v>19380.34</v>
      </c>
      <c r="X499" s="2">
        <f>IF($H499&gt;J499,MIN($H499-J499,K499-J499)*INDEX('2018_commission_structure'!$A$5:$J$8,MATCH(Calculations!$E499,'2018_commission_structure'!$A$5:$A$8,0),MATCH(Calculations!X$1,'2018_commission_structure'!$A$5:$J$5,0)),0)</f>
        <v>0</v>
      </c>
      <c r="Y499" s="2">
        <f>IF($H499&gt;K499,MIN($H499-K499,L499-K499)*INDEX('2018_commission_structure'!$A$5:$J$8,MATCH(Calculations!$E499,'2018_commission_structure'!$A$5:$A$8,0),MATCH(Calculations!Y$1,'2018_commission_structure'!$A$5:$J$5,0)),0)</f>
        <v>0</v>
      </c>
      <c r="Z499" s="2">
        <f xml:space="preserve"> IF(H499&gt;L499,(H499-L499)*INDEX('2018_commission_structure'!$A$11:$I$14,MATCH(Calculations!$E499,'2018_commission_structure'!$A$11:$A$14,0),MATCH(Calculations!Z$1,'2018_commission_structure'!$A$11:$I$11,0)),0)</f>
        <v>0</v>
      </c>
      <c r="AA499" s="7">
        <f t="shared" si="70"/>
        <v>79380.34</v>
      </c>
      <c r="AB499" s="7">
        <f t="shared" si="71"/>
        <v>130190.34</v>
      </c>
    </row>
    <row r="500" spans="1:28" x14ac:dyDescent="0.25">
      <c r="A500">
        <v>6890491998</v>
      </c>
      <c r="B500" t="s">
        <v>759</v>
      </c>
      <c r="C500" t="s">
        <v>760</v>
      </c>
      <c r="D500" t="str">
        <f>B500&amp;" "&amp;C500</f>
        <v>Ethyl Klaff</v>
      </c>
      <c r="E500" t="s">
        <v>10</v>
      </c>
      <c r="F500">
        <v>114550</v>
      </c>
      <c r="G500">
        <f>COUNTIF(deals_closed!D:D,Calculations!A500)</f>
        <v>15</v>
      </c>
      <c r="H500" s="2">
        <f>SUMIF(deals_closed!D:D,Calculations!A500,deals_closed!C:C)</f>
        <v>489050</v>
      </c>
      <c r="I500" s="2">
        <f>VLOOKUP(E500,'2018_commission_structure'!$A$11:$I$14,9,FALSE)</f>
        <v>750000</v>
      </c>
      <c r="J500" s="2">
        <f t="shared" si="63"/>
        <v>937500</v>
      </c>
      <c r="K500" s="2">
        <f t="shared" si="64"/>
        <v>1125000</v>
      </c>
      <c r="L500" s="2">
        <f t="shared" si="65"/>
        <v>1500000</v>
      </c>
      <c r="M500" s="6">
        <f t="shared" si="66"/>
        <v>0.65206666666666668</v>
      </c>
      <c r="N500" t="str">
        <f t="shared" si="67"/>
        <v>0-100%</v>
      </c>
      <c r="O500" s="7">
        <f>MIN(I500,H500)*INDEX('2018_commission_structure'!$A$11:$I$14,MATCH(Calculations!$E500,'2018_commission_structure'!$A$11:$A$14,0),MATCH(Calculations!O$1,'2018_commission_structure'!$A$11:$I$11,0))</f>
        <v>73357.5</v>
      </c>
      <c r="P500" s="7">
        <f>IF($H500&gt;I500,MIN($H500-I500,J500-I500)*INDEX('2018_commission_structure'!$A$11:$I$14,MATCH(Calculations!$E500,'2018_commission_structure'!$A$11:$A$14,0), MATCH(Calculations!P$1,'2018_commission_structure'!$A$11:$I$11,0)),0)</f>
        <v>0</v>
      </c>
      <c r="Q500" s="7">
        <f>IF($H500&gt;J500,MIN($H500-J500,K500-J500)*INDEX('2018_commission_structure'!$A$11:$I$14,MATCH(Calculations!$E500,'2018_commission_structure'!$A$11:$A$14,0), MATCH(Calculations!Q$1,'2018_commission_structure'!$A$11:$I$11,0)),0)</f>
        <v>0</v>
      </c>
      <c r="R500" s="7">
        <f>IF($H500&gt;K500,MIN($H500-K500,L500-K500)*INDEX('2018_commission_structure'!$A$11:$I$14,MATCH(Calculations!$E500,'2018_commission_structure'!$A$11:$A$14,0), MATCH(Calculations!R$1,'2018_commission_structure'!$A$11:$I$11,0)),0)</f>
        <v>0</v>
      </c>
      <c r="S500" s="7">
        <f>IF(H500&gt;L500,(H500-L500)*INDEX('2018_commission_structure'!$A$11:$I$14,MATCH(Calculations!$E500,'2018_commission_structure'!$A$11:$A$14,0),MATCH(Calculations!S$1,'2018_commission_structure'!$A$11:$I$11,0)),0)</f>
        <v>0</v>
      </c>
      <c r="T500" s="7">
        <f t="shared" si="68"/>
        <v>73357.5</v>
      </c>
      <c r="U500" s="7">
        <f t="shared" si="69"/>
        <v>187907.5</v>
      </c>
      <c r="V500" s="7">
        <f>MIN(H500,I500)*INDEX('2018_commission_structure'!$A$5:$J$8,MATCH(Calculations!$E500,'2018_commission_structure'!$A$5:$A$8,0),MATCH(Calculations!V$1,'2018_commission_structure'!$A$5:$J$5,0))</f>
        <v>73357.5</v>
      </c>
      <c r="W500" s="2">
        <f>IF($H500&gt;I500,MIN($H500-I500,J500-I500)*INDEX('2018_commission_structure'!$A$5:$J$8,MATCH(Calculations!$E500,'2018_commission_structure'!$A$5:$A$8,0),MATCH(Calculations!W$1,'2018_commission_structure'!$A$5:$J$5,0)),0)</f>
        <v>0</v>
      </c>
      <c r="X500" s="2">
        <f>IF($H500&gt;J500,MIN($H500-J500,K500-J500)*INDEX('2018_commission_structure'!$A$5:$J$8,MATCH(Calculations!$E500,'2018_commission_structure'!$A$5:$A$8,0),MATCH(Calculations!X$1,'2018_commission_structure'!$A$5:$J$5,0)),0)</f>
        <v>0</v>
      </c>
      <c r="Y500" s="2">
        <f>IF($H500&gt;K500,MIN($H500-K500,L500-K500)*INDEX('2018_commission_structure'!$A$5:$J$8,MATCH(Calculations!$E500,'2018_commission_structure'!$A$5:$A$8,0),MATCH(Calculations!Y$1,'2018_commission_structure'!$A$5:$J$5,0)),0)</f>
        <v>0</v>
      </c>
      <c r="Z500" s="2">
        <f xml:space="preserve"> IF(H500&gt;L500,(H500-L500)*INDEX('2018_commission_structure'!$A$11:$I$14,MATCH(Calculations!$E500,'2018_commission_structure'!$A$11:$A$14,0),MATCH(Calculations!Z$1,'2018_commission_structure'!$A$11:$I$11,0)),0)</f>
        <v>0</v>
      </c>
      <c r="AA500" s="7">
        <f t="shared" si="70"/>
        <v>73357.5</v>
      </c>
      <c r="AB500" s="7">
        <f t="shared" si="71"/>
        <v>187907.5</v>
      </c>
    </row>
    <row r="501" spans="1:28" x14ac:dyDescent="0.25">
      <c r="A501">
        <v>3127459866</v>
      </c>
      <c r="B501" t="s">
        <v>621</v>
      </c>
      <c r="C501" t="s">
        <v>622</v>
      </c>
      <c r="D501" t="str">
        <f>B501&amp;" "&amp;C501</f>
        <v>Ivett Klass</v>
      </c>
      <c r="E501" t="s">
        <v>10</v>
      </c>
      <c r="F501">
        <v>93001</v>
      </c>
      <c r="G501">
        <f>COUNTIF(deals_closed!D:D,Calculations!A501)</f>
        <v>24</v>
      </c>
      <c r="H501" s="2">
        <f>SUMIF(deals_closed!D:D,Calculations!A501,deals_closed!C:C)</f>
        <v>773542</v>
      </c>
      <c r="I501" s="2">
        <f>VLOOKUP(E501,'2018_commission_structure'!$A$11:$I$14,9,FALSE)</f>
        <v>750000</v>
      </c>
      <c r="J501" s="2">
        <f t="shared" si="63"/>
        <v>937500</v>
      </c>
      <c r="K501" s="2">
        <f t="shared" si="64"/>
        <v>1125000</v>
      </c>
      <c r="L501" s="2">
        <f t="shared" si="65"/>
        <v>1500000</v>
      </c>
      <c r="M501" s="6">
        <f t="shared" si="66"/>
        <v>1.0313893333333333</v>
      </c>
      <c r="N501" t="str">
        <f t="shared" si="67"/>
        <v>100-125%</v>
      </c>
      <c r="O501" s="7">
        <f>MIN(I501,H501)*INDEX('2018_commission_structure'!$A$11:$I$14,MATCH(Calculations!$E501,'2018_commission_structure'!$A$11:$A$14,0),MATCH(Calculations!O$1,'2018_commission_structure'!$A$11:$I$11,0))</f>
        <v>112500</v>
      </c>
      <c r="P501" s="7">
        <f>IF($H501&gt;I501,MIN($H501-I501,J501-I501)*INDEX('2018_commission_structure'!$A$11:$I$14,MATCH(Calculations!$E501,'2018_commission_structure'!$A$11:$A$14,0), MATCH(Calculations!P$1,'2018_commission_structure'!$A$11:$I$11,0)),0)</f>
        <v>4472.9800000000005</v>
      </c>
      <c r="Q501" s="7">
        <f>IF($H501&gt;J501,MIN($H501-J501,K501-J501)*INDEX('2018_commission_structure'!$A$11:$I$14,MATCH(Calculations!$E501,'2018_commission_structure'!$A$11:$A$14,0), MATCH(Calculations!Q$1,'2018_commission_structure'!$A$11:$I$11,0)),0)</f>
        <v>0</v>
      </c>
      <c r="R501" s="7">
        <f>IF($H501&gt;K501,MIN($H501-K501,L501-K501)*INDEX('2018_commission_structure'!$A$11:$I$14,MATCH(Calculations!$E501,'2018_commission_structure'!$A$11:$A$14,0), MATCH(Calculations!R$1,'2018_commission_structure'!$A$11:$I$11,0)),0)</f>
        <v>0</v>
      </c>
      <c r="S501" s="7">
        <f>IF(H501&gt;L501,(H501-L501)*INDEX('2018_commission_structure'!$A$11:$I$14,MATCH(Calculations!$E501,'2018_commission_structure'!$A$11:$A$14,0),MATCH(Calculations!S$1,'2018_commission_structure'!$A$11:$I$11,0)),0)</f>
        <v>0</v>
      </c>
      <c r="T501" s="7">
        <f t="shared" si="68"/>
        <v>116972.98</v>
      </c>
      <c r="U501" s="7">
        <f t="shared" si="69"/>
        <v>209973.97999999998</v>
      </c>
      <c r="V501" s="7">
        <f>MIN(H501,I501)*INDEX('2018_commission_structure'!$A$5:$J$8,MATCH(Calculations!$E501,'2018_commission_structure'!$A$5:$A$8,0),MATCH(Calculations!V$1,'2018_commission_structure'!$A$5:$J$5,0))</f>
        <v>112500</v>
      </c>
      <c r="W501" s="2">
        <f>IF($H501&gt;I501,MIN($H501-I501,J501-I501)*INDEX('2018_commission_structure'!$A$5:$J$8,MATCH(Calculations!$E501,'2018_commission_structure'!$A$5:$A$8,0),MATCH(Calculations!W$1,'2018_commission_structure'!$A$5:$J$5,0)),0)</f>
        <v>5179.24</v>
      </c>
      <c r="X501" s="2">
        <f>IF($H501&gt;J501,MIN($H501-J501,K501-J501)*INDEX('2018_commission_structure'!$A$5:$J$8,MATCH(Calculations!$E501,'2018_commission_structure'!$A$5:$A$8,0),MATCH(Calculations!X$1,'2018_commission_structure'!$A$5:$J$5,0)),0)</f>
        <v>0</v>
      </c>
      <c r="Y501" s="2">
        <f>IF($H501&gt;K501,MIN($H501-K501,L501-K501)*INDEX('2018_commission_structure'!$A$5:$J$8,MATCH(Calculations!$E501,'2018_commission_structure'!$A$5:$A$8,0),MATCH(Calculations!Y$1,'2018_commission_structure'!$A$5:$J$5,0)),0)</f>
        <v>0</v>
      </c>
      <c r="Z501" s="2">
        <f xml:space="preserve"> IF(H501&gt;L501,(H501-L501)*INDEX('2018_commission_structure'!$A$11:$I$14,MATCH(Calculations!$E501,'2018_commission_structure'!$A$11:$A$14,0),MATCH(Calculations!Z$1,'2018_commission_structure'!$A$11:$I$11,0)),0)</f>
        <v>0</v>
      </c>
      <c r="AA501" s="7">
        <f t="shared" si="70"/>
        <v>117679.24</v>
      </c>
      <c r="AB501" s="7">
        <f t="shared" si="71"/>
        <v>210680.24</v>
      </c>
    </row>
    <row r="502" spans="1:28" x14ac:dyDescent="0.25">
      <c r="A502">
        <v>2677632772</v>
      </c>
      <c r="B502" t="s">
        <v>844</v>
      </c>
      <c r="C502" t="s">
        <v>845</v>
      </c>
      <c r="D502" t="str">
        <f>B502&amp;" "&amp;C502</f>
        <v>Devland Kohter</v>
      </c>
      <c r="E502" t="s">
        <v>7</v>
      </c>
      <c r="F502">
        <v>42673</v>
      </c>
      <c r="G502">
        <f>COUNTIF(deals_closed!D:D,Calculations!A502)</f>
        <v>17</v>
      </c>
      <c r="H502" s="2">
        <f>SUMIF(deals_closed!D:D,Calculations!A502,deals_closed!C:C)</f>
        <v>594947</v>
      </c>
      <c r="I502" s="2">
        <f>VLOOKUP(E502,'2018_commission_structure'!$A$11:$I$14,9,FALSE)</f>
        <v>500000</v>
      </c>
      <c r="J502" s="2">
        <f t="shared" si="63"/>
        <v>625000</v>
      </c>
      <c r="K502" s="2">
        <f t="shared" si="64"/>
        <v>750000</v>
      </c>
      <c r="L502" s="2">
        <f t="shared" si="65"/>
        <v>1000000</v>
      </c>
      <c r="M502" s="6">
        <f t="shared" si="66"/>
        <v>1.189894</v>
      </c>
      <c r="N502" t="str">
        <f t="shared" si="67"/>
        <v>100-125%</v>
      </c>
      <c r="O502" s="7">
        <f>MIN(I502,H502)*INDEX('2018_commission_structure'!$A$11:$I$14,MATCH(Calculations!$E502,'2018_commission_structure'!$A$11:$A$14,0),MATCH(Calculations!O$1,'2018_commission_structure'!$A$11:$I$11,0))</f>
        <v>50000</v>
      </c>
      <c r="P502" s="7">
        <f>IF($H502&gt;I502,MIN($H502-I502,J502-I502)*INDEX('2018_commission_structure'!$A$11:$I$14,MATCH(Calculations!$E502,'2018_commission_structure'!$A$11:$A$14,0), MATCH(Calculations!P$1,'2018_commission_structure'!$A$11:$I$11,0)),0)</f>
        <v>14242.05</v>
      </c>
      <c r="Q502" s="7">
        <f>IF($H502&gt;J502,MIN($H502-J502,K502-J502)*INDEX('2018_commission_structure'!$A$11:$I$14,MATCH(Calculations!$E502,'2018_commission_structure'!$A$11:$A$14,0), MATCH(Calculations!Q$1,'2018_commission_structure'!$A$11:$I$11,0)),0)</f>
        <v>0</v>
      </c>
      <c r="R502" s="7">
        <f>IF($H502&gt;K502,MIN($H502-K502,L502-K502)*INDEX('2018_commission_structure'!$A$11:$I$14,MATCH(Calculations!$E502,'2018_commission_structure'!$A$11:$A$14,0), MATCH(Calculations!R$1,'2018_commission_structure'!$A$11:$I$11,0)),0)</f>
        <v>0</v>
      </c>
      <c r="S502" s="7">
        <f>IF(H502&gt;L502,(H502-L502)*INDEX('2018_commission_structure'!$A$11:$I$14,MATCH(Calculations!$E502,'2018_commission_structure'!$A$11:$A$14,0),MATCH(Calculations!S$1,'2018_commission_structure'!$A$11:$I$11,0)),0)</f>
        <v>0</v>
      </c>
      <c r="T502" s="7">
        <f t="shared" si="68"/>
        <v>64242.05</v>
      </c>
      <c r="U502" s="7">
        <f t="shared" si="69"/>
        <v>106915.05</v>
      </c>
      <c r="V502" s="7">
        <f>MIN(H502,I502)*INDEX('2018_commission_structure'!$A$5:$J$8,MATCH(Calculations!$E502,'2018_commission_structure'!$A$5:$A$8,0),MATCH(Calculations!V$1,'2018_commission_structure'!$A$5:$J$5,0))</f>
        <v>60000</v>
      </c>
      <c r="W502" s="2">
        <f>IF($H502&gt;I502,MIN($H502-I502,J502-I502)*INDEX('2018_commission_structure'!$A$5:$J$8,MATCH(Calculations!$E502,'2018_commission_structure'!$A$5:$A$8,0),MATCH(Calculations!W$1,'2018_commission_structure'!$A$5:$J$5,0)),0)</f>
        <v>16140.990000000002</v>
      </c>
      <c r="X502" s="2">
        <f>IF($H502&gt;J502,MIN($H502-J502,K502-J502)*INDEX('2018_commission_structure'!$A$5:$J$8,MATCH(Calculations!$E502,'2018_commission_structure'!$A$5:$A$8,0),MATCH(Calculations!X$1,'2018_commission_structure'!$A$5:$J$5,0)),0)</f>
        <v>0</v>
      </c>
      <c r="Y502" s="2">
        <f>IF($H502&gt;K502,MIN($H502-K502,L502-K502)*INDEX('2018_commission_structure'!$A$5:$J$8,MATCH(Calculations!$E502,'2018_commission_structure'!$A$5:$A$8,0),MATCH(Calculations!Y$1,'2018_commission_structure'!$A$5:$J$5,0)),0)</f>
        <v>0</v>
      </c>
      <c r="Z502" s="2">
        <f xml:space="preserve"> IF(H502&gt;L502,(H502-L502)*INDEX('2018_commission_structure'!$A$11:$I$14,MATCH(Calculations!$E502,'2018_commission_structure'!$A$11:$A$14,0),MATCH(Calculations!Z$1,'2018_commission_structure'!$A$11:$I$11,0)),0)</f>
        <v>0</v>
      </c>
      <c r="AA502" s="7">
        <f t="shared" si="70"/>
        <v>76140.990000000005</v>
      </c>
      <c r="AB502" s="7">
        <f t="shared" si="71"/>
        <v>118813.99</v>
      </c>
    </row>
    <row r="503" spans="1:28" x14ac:dyDescent="0.25">
      <c r="A503">
        <v>3235176993</v>
      </c>
      <c r="B503" t="s">
        <v>1052</v>
      </c>
      <c r="C503" t="s">
        <v>1053</v>
      </c>
      <c r="D503" t="str">
        <f>B503&amp;" "&amp;C503</f>
        <v>Adena Kop</v>
      </c>
      <c r="E503" t="s">
        <v>7</v>
      </c>
      <c r="F503">
        <v>60549</v>
      </c>
      <c r="G503">
        <f>COUNTIF(deals_closed!D:D,Calculations!A503)</f>
        <v>15</v>
      </c>
      <c r="H503" s="2">
        <f>SUMIF(deals_closed!D:D,Calculations!A503,deals_closed!C:C)</f>
        <v>451004</v>
      </c>
      <c r="I503" s="2">
        <f>VLOOKUP(E503,'2018_commission_structure'!$A$11:$I$14,9,FALSE)</f>
        <v>500000</v>
      </c>
      <c r="J503" s="2">
        <f t="shared" si="63"/>
        <v>625000</v>
      </c>
      <c r="K503" s="2">
        <f t="shared" si="64"/>
        <v>750000</v>
      </c>
      <c r="L503" s="2">
        <f t="shared" si="65"/>
        <v>1000000</v>
      </c>
      <c r="M503" s="6">
        <f t="shared" si="66"/>
        <v>0.90200800000000003</v>
      </c>
      <c r="N503" t="str">
        <f t="shared" si="67"/>
        <v>0-100%</v>
      </c>
      <c r="O503" s="7">
        <f>MIN(I503,H503)*INDEX('2018_commission_structure'!$A$11:$I$14,MATCH(Calculations!$E503,'2018_commission_structure'!$A$11:$A$14,0),MATCH(Calculations!O$1,'2018_commission_structure'!$A$11:$I$11,0))</f>
        <v>45100.4</v>
      </c>
      <c r="P503" s="7">
        <f>IF($H503&gt;I503,MIN($H503-I503,J503-I503)*INDEX('2018_commission_structure'!$A$11:$I$14,MATCH(Calculations!$E503,'2018_commission_structure'!$A$11:$A$14,0), MATCH(Calculations!P$1,'2018_commission_structure'!$A$11:$I$11,0)),0)</f>
        <v>0</v>
      </c>
      <c r="Q503" s="7">
        <f>IF($H503&gt;J503,MIN($H503-J503,K503-J503)*INDEX('2018_commission_structure'!$A$11:$I$14,MATCH(Calculations!$E503,'2018_commission_structure'!$A$11:$A$14,0), MATCH(Calculations!Q$1,'2018_commission_structure'!$A$11:$I$11,0)),0)</f>
        <v>0</v>
      </c>
      <c r="R503" s="7">
        <f>IF($H503&gt;K503,MIN($H503-K503,L503-K503)*INDEX('2018_commission_structure'!$A$11:$I$14,MATCH(Calculations!$E503,'2018_commission_structure'!$A$11:$A$14,0), MATCH(Calculations!R$1,'2018_commission_structure'!$A$11:$I$11,0)),0)</f>
        <v>0</v>
      </c>
      <c r="S503" s="7">
        <f>IF(H503&gt;L503,(H503-L503)*INDEX('2018_commission_structure'!$A$11:$I$14,MATCH(Calculations!$E503,'2018_commission_structure'!$A$11:$A$14,0),MATCH(Calculations!S$1,'2018_commission_structure'!$A$11:$I$11,0)),0)</f>
        <v>0</v>
      </c>
      <c r="T503" s="7">
        <f t="shared" si="68"/>
        <v>45100.4</v>
      </c>
      <c r="U503" s="7">
        <f t="shared" si="69"/>
        <v>105649.4</v>
      </c>
      <c r="V503" s="7">
        <f>MIN(H503,I503)*INDEX('2018_commission_structure'!$A$5:$J$8,MATCH(Calculations!$E503,'2018_commission_structure'!$A$5:$A$8,0),MATCH(Calculations!V$1,'2018_commission_structure'!$A$5:$J$5,0))</f>
        <v>54120.479999999996</v>
      </c>
      <c r="W503" s="2">
        <f>IF($H503&gt;I503,MIN($H503-I503,J503-I503)*INDEX('2018_commission_structure'!$A$5:$J$8,MATCH(Calculations!$E503,'2018_commission_structure'!$A$5:$A$8,0),MATCH(Calculations!W$1,'2018_commission_structure'!$A$5:$J$5,0)),0)</f>
        <v>0</v>
      </c>
      <c r="X503" s="2">
        <f>IF($H503&gt;J503,MIN($H503-J503,K503-J503)*INDEX('2018_commission_structure'!$A$5:$J$8,MATCH(Calculations!$E503,'2018_commission_structure'!$A$5:$A$8,0),MATCH(Calculations!X$1,'2018_commission_structure'!$A$5:$J$5,0)),0)</f>
        <v>0</v>
      </c>
      <c r="Y503" s="2">
        <f>IF($H503&gt;K503,MIN($H503-K503,L503-K503)*INDEX('2018_commission_structure'!$A$5:$J$8,MATCH(Calculations!$E503,'2018_commission_structure'!$A$5:$A$8,0),MATCH(Calculations!Y$1,'2018_commission_structure'!$A$5:$J$5,0)),0)</f>
        <v>0</v>
      </c>
      <c r="Z503" s="2">
        <f xml:space="preserve"> IF(H503&gt;L503,(H503-L503)*INDEX('2018_commission_structure'!$A$11:$I$14,MATCH(Calculations!$E503,'2018_commission_structure'!$A$11:$A$14,0),MATCH(Calculations!Z$1,'2018_commission_structure'!$A$11:$I$11,0)),0)</f>
        <v>0</v>
      </c>
      <c r="AA503" s="7">
        <f t="shared" si="70"/>
        <v>54120.479999999996</v>
      </c>
      <c r="AB503" s="7">
        <f t="shared" si="71"/>
        <v>114669.48</v>
      </c>
    </row>
    <row r="504" spans="1:28" x14ac:dyDescent="0.25">
      <c r="A504">
        <v>8568859739</v>
      </c>
      <c r="B504" t="s">
        <v>749</v>
      </c>
      <c r="C504" t="s">
        <v>750</v>
      </c>
      <c r="D504" t="str">
        <f>B504&amp;" "&amp;C504</f>
        <v>Tim Koschek</v>
      </c>
      <c r="E504" t="s">
        <v>10</v>
      </c>
      <c r="F504">
        <v>81228</v>
      </c>
      <c r="G504">
        <f>COUNTIF(deals_closed!D:D,Calculations!A504)</f>
        <v>14</v>
      </c>
      <c r="H504" s="2">
        <f>SUMIF(deals_closed!D:D,Calculations!A504,deals_closed!C:C)</f>
        <v>510949</v>
      </c>
      <c r="I504" s="2">
        <f>VLOOKUP(E504,'2018_commission_structure'!$A$11:$I$14,9,FALSE)</f>
        <v>750000</v>
      </c>
      <c r="J504" s="2">
        <f t="shared" si="63"/>
        <v>937500</v>
      </c>
      <c r="K504" s="2">
        <f t="shared" si="64"/>
        <v>1125000</v>
      </c>
      <c r="L504" s="2">
        <f t="shared" si="65"/>
        <v>1500000</v>
      </c>
      <c r="M504" s="6">
        <f t="shared" si="66"/>
        <v>0.68126533333333328</v>
      </c>
      <c r="N504" t="str">
        <f t="shared" si="67"/>
        <v>0-100%</v>
      </c>
      <c r="O504" s="7">
        <f>MIN(I504,H504)*INDEX('2018_commission_structure'!$A$11:$I$14,MATCH(Calculations!$E504,'2018_commission_structure'!$A$11:$A$14,0),MATCH(Calculations!O$1,'2018_commission_structure'!$A$11:$I$11,0))</f>
        <v>76642.349999999991</v>
      </c>
      <c r="P504" s="7">
        <f>IF($H504&gt;I504,MIN($H504-I504,J504-I504)*INDEX('2018_commission_structure'!$A$11:$I$14,MATCH(Calculations!$E504,'2018_commission_structure'!$A$11:$A$14,0), MATCH(Calculations!P$1,'2018_commission_structure'!$A$11:$I$11,0)),0)</f>
        <v>0</v>
      </c>
      <c r="Q504" s="7">
        <f>IF($H504&gt;J504,MIN($H504-J504,K504-J504)*INDEX('2018_commission_structure'!$A$11:$I$14,MATCH(Calculations!$E504,'2018_commission_structure'!$A$11:$A$14,0), MATCH(Calculations!Q$1,'2018_commission_structure'!$A$11:$I$11,0)),0)</f>
        <v>0</v>
      </c>
      <c r="R504" s="7">
        <f>IF($H504&gt;K504,MIN($H504-K504,L504-K504)*INDEX('2018_commission_structure'!$A$11:$I$14,MATCH(Calculations!$E504,'2018_commission_structure'!$A$11:$A$14,0), MATCH(Calculations!R$1,'2018_commission_structure'!$A$11:$I$11,0)),0)</f>
        <v>0</v>
      </c>
      <c r="S504" s="7">
        <f>IF(H504&gt;L504,(H504-L504)*INDEX('2018_commission_structure'!$A$11:$I$14,MATCH(Calculations!$E504,'2018_commission_structure'!$A$11:$A$14,0),MATCH(Calculations!S$1,'2018_commission_structure'!$A$11:$I$11,0)),0)</f>
        <v>0</v>
      </c>
      <c r="T504" s="7">
        <f t="shared" si="68"/>
        <v>76642.349999999991</v>
      </c>
      <c r="U504" s="7">
        <f t="shared" si="69"/>
        <v>157870.34999999998</v>
      </c>
      <c r="V504" s="7">
        <f>MIN(H504,I504)*INDEX('2018_commission_structure'!$A$5:$J$8,MATCH(Calculations!$E504,'2018_commission_structure'!$A$5:$A$8,0),MATCH(Calculations!V$1,'2018_commission_structure'!$A$5:$J$5,0))</f>
        <v>76642.349999999991</v>
      </c>
      <c r="W504" s="2">
        <f>IF($H504&gt;I504,MIN($H504-I504,J504-I504)*INDEX('2018_commission_structure'!$A$5:$J$8,MATCH(Calculations!$E504,'2018_commission_structure'!$A$5:$A$8,0),MATCH(Calculations!W$1,'2018_commission_structure'!$A$5:$J$5,0)),0)</f>
        <v>0</v>
      </c>
      <c r="X504" s="2">
        <f>IF($H504&gt;J504,MIN($H504-J504,K504-J504)*INDEX('2018_commission_structure'!$A$5:$J$8,MATCH(Calculations!$E504,'2018_commission_structure'!$A$5:$A$8,0),MATCH(Calculations!X$1,'2018_commission_structure'!$A$5:$J$5,0)),0)</f>
        <v>0</v>
      </c>
      <c r="Y504" s="2">
        <f>IF($H504&gt;K504,MIN($H504-K504,L504-K504)*INDEX('2018_commission_structure'!$A$5:$J$8,MATCH(Calculations!$E504,'2018_commission_structure'!$A$5:$A$8,0),MATCH(Calculations!Y$1,'2018_commission_structure'!$A$5:$J$5,0)),0)</f>
        <v>0</v>
      </c>
      <c r="Z504" s="2">
        <f xml:space="preserve"> IF(H504&gt;L504,(H504-L504)*INDEX('2018_commission_structure'!$A$11:$I$14,MATCH(Calculations!$E504,'2018_commission_structure'!$A$11:$A$14,0),MATCH(Calculations!Z$1,'2018_commission_structure'!$A$11:$I$11,0)),0)</f>
        <v>0</v>
      </c>
      <c r="AA504" s="7">
        <f t="shared" si="70"/>
        <v>76642.349999999991</v>
      </c>
      <c r="AB504" s="7">
        <f t="shared" si="71"/>
        <v>157870.34999999998</v>
      </c>
    </row>
    <row r="505" spans="1:28" x14ac:dyDescent="0.25">
      <c r="A505">
        <v>2809344809</v>
      </c>
      <c r="B505" t="s">
        <v>501</v>
      </c>
      <c r="C505" t="s">
        <v>502</v>
      </c>
      <c r="D505" t="str">
        <f>B505&amp;" "&amp;C505</f>
        <v>Maynard Krebs</v>
      </c>
      <c r="E505" t="s">
        <v>10</v>
      </c>
      <c r="F505">
        <v>112707</v>
      </c>
      <c r="G505">
        <f>COUNTIF(deals_closed!D:D,Calculations!A505)</f>
        <v>25</v>
      </c>
      <c r="H505" s="2">
        <f>SUMIF(deals_closed!D:D,Calculations!A505,deals_closed!C:C)</f>
        <v>873913</v>
      </c>
      <c r="I505" s="2">
        <f>VLOOKUP(E505,'2018_commission_structure'!$A$11:$I$14,9,FALSE)</f>
        <v>750000</v>
      </c>
      <c r="J505" s="2">
        <f t="shared" si="63"/>
        <v>937500</v>
      </c>
      <c r="K505" s="2">
        <f t="shared" si="64"/>
        <v>1125000</v>
      </c>
      <c r="L505" s="2">
        <f t="shared" si="65"/>
        <v>1500000</v>
      </c>
      <c r="M505" s="6">
        <f t="shared" si="66"/>
        <v>1.1652173333333333</v>
      </c>
      <c r="N505" t="str">
        <f t="shared" si="67"/>
        <v>100-125%</v>
      </c>
      <c r="O505" s="7">
        <f>MIN(I505,H505)*INDEX('2018_commission_structure'!$A$11:$I$14,MATCH(Calculations!$E505,'2018_commission_structure'!$A$11:$A$14,0),MATCH(Calculations!O$1,'2018_commission_structure'!$A$11:$I$11,0))</f>
        <v>112500</v>
      </c>
      <c r="P505" s="7">
        <f>IF($H505&gt;I505,MIN($H505-I505,J505-I505)*INDEX('2018_commission_structure'!$A$11:$I$14,MATCH(Calculations!$E505,'2018_commission_structure'!$A$11:$A$14,0), MATCH(Calculations!P$1,'2018_commission_structure'!$A$11:$I$11,0)),0)</f>
        <v>23543.47</v>
      </c>
      <c r="Q505" s="7">
        <f>IF($H505&gt;J505,MIN($H505-J505,K505-J505)*INDEX('2018_commission_structure'!$A$11:$I$14,MATCH(Calculations!$E505,'2018_commission_structure'!$A$11:$A$14,0), MATCH(Calculations!Q$1,'2018_commission_structure'!$A$11:$I$11,0)),0)</f>
        <v>0</v>
      </c>
      <c r="R505" s="7">
        <f>IF($H505&gt;K505,MIN($H505-K505,L505-K505)*INDEX('2018_commission_structure'!$A$11:$I$14,MATCH(Calculations!$E505,'2018_commission_structure'!$A$11:$A$14,0), MATCH(Calculations!R$1,'2018_commission_structure'!$A$11:$I$11,0)),0)</f>
        <v>0</v>
      </c>
      <c r="S505" s="7">
        <f>IF(H505&gt;L505,(H505-L505)*INDEX('2018_commission_structure'!$A$11:$I$14,MATCH(Calculations!$E505,'2018_commission_structure'!$A$11:$A$14,0),MATCH(Calculations!S$1,'2018_commission_structure'!$A$11:$I$11,0)),0)</f>
        <v>0</v>
      </c>
      <c r="T505" s="7">
        <f t="shared" si="68"/>
        <v>136043.47</v>
      </c>
      <c r="U505" s="7">
        <f t="shared" si="69"/>
        <v>248750.47</v>
      </c>
      <c r="V505" s="7">
        <f>MIN(H505,I505)*INDEX('2018_commission_structure'!$A$5:$J$8,MATCH(Calculations!$E505,'2018_commission_structure'!$A$5:$A$8,0),MATCH(Calculations!V$1,'2018_commission_structure'!$A$5:$J$5,0))</f>
        <v>112500</v>
      </c>
      <c r="W505" s="2">
        <f>IF($H505&gt;I505,MIN($H505-I505,J505-I505)*INDEX('2018_commission_structure'!$A$5:$J$8,MATCH(Calculations!$E505,'2018_commission_structure'!$A$5:$A$8,0),MATCH(Calculations!W$1,'2018_commission_structure'!$A$5:$J$5,0)),0)</f>
        <v>27260.86</v>
      </c>
      <c r="X505" s="2">
        <f>IF($H505&gt;J505,MIN($H505-J505,K505-J505)*INDEX('2018_commission_structure'!$A$5:$J$8,MATCH(Calculations!$E505,'2018_commission_structure'!$A$5:$A$8,0),MATCH(Calculations!X$1,'2018_commission_structure'!$A$5:$J$5,0)),0)</f>
        <v>0</v>
      </c>
      <c r="Y505" s="2">
        <f>IF($H505&gt;K505,MIN($H505-K505,L505-K505)*INDEX('2018_commission_structure'!$A$5:$J$8,MATCH(Calculations!$E505,'2018_commission_structure'!$A$5:$A$8,0),MATCH(Calculations!Y$1,'2018_commission_structure'!$A$5:$J$5,0)),0)</f>
        <v>0</v>
      </c>
      <c r="Z505" s="2">
        <f xml:space="preserve"> IF(H505&gt;L505,(H505-L505)*INDEX('2018_commission_structure'!$A$11:$I$14,MATCH(Calculations!$E505,'2018_commission_structure'!$A$11:$A$14,0),MATCH(Calculations!Z$1,'2018_commission_structure'!$A$11:$I$11,0)),0)</f>
        <v>0</v>
      </c>
      <c r="AA505" s="7">
        <f t="shared" si="70"/>
        <v>139760.85999999999</v>
      </c>
      <c r="AB505" s="7">
        <f t="shared" si="71"/>
        <v>252467.86</v>
      </c>
    </row>
    <row r="506" spans="1:28" x14ac:dyDescent="0.25">
      <c r="A506">
        <v>7191906499</v>
      </c>
      <c r="B506" t="s">
        <v>432</v>
      </c>
      <c r="C506" t="s">
        <v>433</v>
      </c>
      <c r="D506" t="str">
        <f>B506&amp;" "&amp;C506</f>
        <v>Orelle Krink</v>
      </c>
      <c r="E506" t="s">
        <v>29</v>
      </c>
      <c r="F506">
        <v>54226</v>
      </c>
      <c r="G506">
        <f>COUNTIF(deals_closed!D:D,Calculations!A506)</f>
        <v>15</v>
      </c>
      <c r="H506" s="2">
        <f>SUMIF(deals_closed!D:D,Calculations!A506,deals_closed!C:C)</f>
        <v>618982</v>
      </c>
      <c r="I506" s="2">
        <f>VLOOKUP(E506,'2018_commission_structure'!$A$11:$I$14,9,FALSE)</f>
        <v>600000</v>
      </c>
      <c r="J506" s="2">
        <f t="shared" si="63"/>
        <v>750000</v>
      </c>
      <c r="K506" s="2">
        <f t="shared" si="64"/>
        <v>900000</v>
      </c>
      <c r="L506" s="2">
        <f t="shared" si="65"/>
        <v>1200000</v>
      </c>
      <c r="M506" s="6">
        <f t="shared" si="66"/>
        <v>1.0316366666666668</v>
      </c>
      <c r="N506" t="str">
        <f t="shared" si="67"/>
        <v>100-125%</v>
      </c>
      <c r="O506" s="7">
        <f>MIN(I506,H506)*INDEX('2018_commission_structure'!$A$11:$I$14,MATCH(Calculations!$E506,'2018_commission_structure'!$A$11:$A$14,0),MATCH(Calculations!O$1,'2018_commission_structure'!$A$11:$I$11,0))</f>
        <v>78000</v>
      </c>
      <c r="P506" s="7">
        <f>IF($H506&gt;I506,MIN($H506-I506,J506-I506)*INDEX('2018_commission_structure'!$A$11:$I$14,MATCH(Calculations!$E506,'2018_commission_structure'!$A$11:$A$14,0), MATCH(Calculations!P$1,'2018_commission_structure'!$A$11:$I$11,0)),0)</f>
        <v>3226.94</v>
      </c>
      <c r="Q506" s="7">
        <f>IF($H506&gt;J506,MIN($H506-J506,K506-J506)*INDEX('2018_commission_structure'!$A$11:$I$14,MATCH(Calculations!$E506,'2018_commission_structure'!$A$11:$A$14,0), MATCH(Calculations!Q$1,'2018_commission_structure'!$A$11:$I$11,0)),0)</f>
        <v>0</v>
      </c>
      <c r="R506" s="7">
        <f>IF($H506&gt;K506,MIN($H506-K506,L506-K506)*INDEX('2018_commission_structure'!$A$11:$I$14,MATCH(Calculations!$E506,'2018_commission_structure'!$A$11:$A$14,0), MATCH(Calculations!R$1,'2018_commission_structure'!$A$11:$I$11,0)),0)</f>
        <v>0</v>
      </c>
      <c r="S506" s="7">
        <f>IF(H506&gt;L506,(H506-L506)*INDEX('2018_commission_structure'!$A$11:$I$14,MATCH(Calculations!$E506,'2018_commission_structure'!$A$11:$A$14,0),MATCH(Calculations!S$1,'2018_commission_structure'!$A$11:$I$11,0)),0)</f>
        <v>0</v>
      </c>
      <c r="T506" s="7">
        <f t="shared" si="68"/>
        <v>81226.94</v>
      </c>
      <c r="U506" s="7">
        <f t="shared" si="69"/>
        <v>135452.94</v>
      </c>
      <c r="V506" s="7">
        <f>MIN(H506,I506)*INDEX('2018_commission_structure'!$A$5:$J$8,MATCH(Calculations!$E506,'2018_commission_structure'!$A$5:$A$8,0),MATCH(Calculations!V$1,'2018_commission_structure'!$A$5:$J$5,0))</f>
        <v>90000</v>
      </c>
      <c r="W506" s="2">
        <f>IF($H506&gt;I506,MIN($H506-I506,J506-I506)*INDEX('2018_commission_structure'!$A$5:$J$8,MATCH(Calculations!$E506,'2018_commission_structure'!$A$5:$A$8,0),MATCH(Calculations!W$1,'2018_commission_structure'!$A$5:$J$5,0)),0)</f>
        <v>3416.7599999999998</v>
      </c>
      <c r="X506" s="2">
        <f>IF($H506&gt;J506,MIN($H506-J506,K506-J506)*INDEX('2018_commission_structure'!$A$5:$J$8,MATCH(Calculations!$E506,'2018_commission_structure'!$A$5:$A$8,0),MATCH(Calculations!X$1,'2018_commission_structure'!$A$5:$J$5,0)),0)</f>
        <v>0</v>
      </c>
      <c r="Y506" s="2">
        <f>IF($H506&gt;K506,MIN($H506-K506,L506-K506)*INDEX('2018_commission_structure'!$A$5:$J$8,MATCH(Calculations!$E506,'2018_commission_structure'!$A$5:$A$8,0),MATCH(Calculations!Y$1,'2018_commission_structure'!$A$5:$J$5,0)),0)</f>
        <v>0</v>
      </c>
      <c r="Z506" s="2">
        <f xml:space="preserve"> IF(H506&gt;L506,(H506-L506)*INDEX('2018_commission_structure'!$A$11:$I$14,MATCH(Calculations!$E506,'2018_commission_structure'!$A$11:$A$14,0),MATCH(Calculations!Z$1,'2018_commission_structure'!$A$11:$I$11,0)),0)</f>
        <v>0</v>
      </c>
      <c r="AA506" s="7">
        <f t="shared" si="70"/>
        <v>93416.76</v>
      </c>
      <c r="AB506" s="7">
        <f t="shared" si="71"/>
        <v>147642.76</v>
      </c>
    </row>
    <row r="507" spans="1:28" x14ac:dyDescent="0.25">
      <c r="A507">
        <v>515647594</v>
      </c>
      <c r="B507" t="s">
        <v>11</v>
      </c>
      <c r="C507" t="s">
        <v>12</v>
      </c>
      <c r="D507" t="str">
        <f>B507&amp;" "&amp;C507</f>
        <v>Belita Kroll</v>
      </c>
      <c r="E507" t="s">
        <v>10</v>
      </c>
      <c r="F507">
        <v>113453</v>
      </c>
      <c r="G507">
        <f>COUNTIF(deals_closed!D:D,Calculations!A507)</f>
        <v>20</v>
      </c>
      <c r="H507" s="2">
        <f>SUMIF(deals_closed!D:D,Calculations!A507,deals_closed!C:C)</f>
        <v>737684</v>
      </c>
      <c r="I507" s="2">
        <f>VLOOKUP(E507,'2018_commission_structure'!$A$11:$I$14,9,FALSE)</f>
        <v>750000</v>
      </c>
      <c r="J507" s="2">
        <f t="shared" si="63"/>
        <v>937500</v>
      </c>
      <c r="K507" s="2">
        <f t="shared" si="64"/>
        <v>1125000</v>
      </c>
      <c r="L507" s="2">
        <f t="shared" si="65"/>
        <v>1500000</v>
      </c>
      <c r="M507" s="6">
        <f t="shared" si="66"/>
        <v>0.98357866666666671</v>
      </c>
      <c r="N507" t="str">
        <f t="shared" si="67"/>
        <v>0-100%</v>
      </c>
      <c r="O507" s="7">
        <f>MIN(I507,H507)*INDEX('2018_commission_structure'!$A$11:$I$14,MATCH(Calculations!$E507,'2018_commission_structure'!$A$11:$A$14,0),MATCH(Calculations!O$1,'2018_commission_structure'!$A$11:$I$11,0))</f>
        <v>110652.59999999999</v>
      </c>
      <c r="P507" s="7">
        <f>IF($H507&gt;I507,MIN($H507-I507,J507-I507)*INDEX('2018_commission_structure'!$A$11:$I$14,MATCH(Calculations!$E507,'2018_commission_structure'!$A$11:$A$14,0), MATCH(Calculations!P$1,'2018_commission_structure'!$A$11:$I$11,0)),0)</f>
        <v>0</v>
      </c>
      <c r="Q507" s="7">
        <f>IF($H507&gt;J507,MIN($H507-J507,K507-J507)*INDEX('2018_commission_structure'!$A$11:$I$14,MATCH(Calculations!$E507,'2018_commission_structure'!$A$11:$A$14,0), MATCH(Calculations!Q$1,'2018_commission_structure'!$A$11:$I$11,0)),0)</f>
        <v>0</v>
      </c>
      <c r="R507" s="7">
        <f>IF($H507&gt;K507,MIN($H507-K507,L507-K507)*INDEX('2018_commission_structure'!$A$11:$I$14,MATCH(Calculations!$E507,'2018_commission_structure'!$A$11:$A$14,0), MATCH(Calculations!R$1,'2018_commission_structure'!$A$11:$I$11,0)),0)</f>
        <v>0</v>
      </c>
      <c r="S507" s="7">
        <f>IF(H507&gt;L507,(H507-L507)*INDEX('2018_commission_structure'!$A$11:$I$14,MATCH(Calculations!$E507,'2018_commission_structure'!$A$11:$A$14,0),MATCH(Calculations!S$1,'2018_commission_structure'!$A$11:$I$11,0)),0)</f>
        <v>0</v>
      </c>
      <c r="T507" s="7">
        <f t="shared" si="68"/>
        <v>110652.59999999999</v>
      </c>
      <c r="U507" s="7">
        <f t="shared" si="69"/>
        <v>224105.59999999998</v>
      </c>
      <c r="V507" s="7">
        <f>MIN(H507,I507)*INDEX('2018_commission_structure'!$A$5:$J$8,MATCH(Calculations!$E507,'2018_commission_structure'!$A$5:$A$8,0),MATCH(Calculations!V$1,'2018_commission_structure'!$A$5:$J$5,0))</f>
        <v>110652.59999999999</v>
      </c>
      <c r="W507" s="2">
        <f>IF($H507&gt;I507,MIN($H507-I507,J507-I507)*INDEX('2018_commission_structure'!$A$5:$J$8,MATCH(Calculations!$E507,'2018_commission_structure'!$A$5:$A$8,0),MATCH(Calculations!W$1,'2018_commission_structure'!$A$5:$J$5,0)),0)</f>
        <v>0</v>
      </c>
      <c r="X507" s="2">
        <f>IF($H507&gt;J507,MIN($H507-J507,K507-J507)*INDEX('2018_commission_structure'!$A$5:$J$8,MATCH(Calculations!$E507,'2018_commission_structure'!$A$5:$A$8,0),MATCH(Calculations!X$1,'2018_commission_structure'!$A$5:$J$5,0)),0)</f>
        <v>0</v>
      </c>
      <c r="Y507" s="2">
        <f>IF($H507&gt;K507,MIN($H507-K507,L507-K507)*INDEX('2018_commission_structure'!$A$5:$J$8,MATCH(Calculations!$E507,'2018_commission_structure'!$A$5:$A$8,0),MATCH(Calculations!Y$1,'2018_commission_structure'!$A$5:$J$5,0)),0)</f>
        <v>0</v>
      </c>
      <c r="Z507" s="2">
        <f xml:space="preserve"> IF(H507&gt;L507,(H507-L507)*INDEX('2018_commission_structure'!$A$11:$I$14,MATCH(Calculations!$E507,'2018_commission_structure'!$A$11:$A$14,0),MATCH(Calculations!Z$1,'2018_commission_structure'!$A$11:$I$11,0)),0)</f>
        <v>0</v>
      </c>
      <c r="AA507" s="7">
        <f t="shared" si="70"/>
        <v>110652.59999999999</v>
      </c>
      <c r="AB507" s="7">
        <f t="shared" si="71"/>
        <v>224105.59999999998</v>
      </c>
    </row>
    <row r="508" spans="1:28" x14ac:dyDescent="0.25">
      <c r="A508">
        <v>1958063002</v>
      </c>
      <c r="B508" t="s">
        <v>794</v>
      </c>
      <c r="C508" t="s">
        <v>795</v>
      </c>
      <c r="D508" t="str">
        <f>B508&amp;" "&amp;C508</f>
        <v>Keenan Kruszelnicki</v>
      </c>
      <c r="E508" t="s">
        <v>10</v>
      </c>
      <c r="F508">
        <v>105993</v>
      </c>
      <c r="G508">
        <f>COUNTIF(deals_closed!D:D,Calculations!A508)</f>
        <v>24</v>
      </c>
      <c r="H508" s="2">
        <f>SUMIF(deals_closed!D:D,Calculations!A508,deals_closed!C:C)</f>
        <v>955328</v>
      </c>
      <c r="I508" s="2">
        <f>VLOOKUP(E508,'2018_commission_structure'!$A$11:$I$14,9,FALSE)</f>
        <v>750000</v>
      </c>
      <c r="J508" s="2">
        <f t="shared" si="63"/>
        <v>937500</v>
      </c>
      <c r="K508" s="2">
        <f t="shared" si="64"/>
        <v>1125000</v>
      </c>
      <c r="L508" s="2">
        <f t="shared" si="65"/>
        <v>1500000</v>
      </c>
      <c r="M508" s="6">
        <f t="shared" si="66"/>
        <v>1.2737706666666666</v>
      </c>
      <c r="N508" t="str">
        <f t="shared" si="67"/>
        <v>125-150%</v>
      </c>
      <c r="O508" s="7">
        <f>MIN(I508,H508)*INDEX('2018_commission_structure'!$A$11:$I$14,MATCH(Calculations!$E508,'2018_commission_structure'!$A$11:$A$14,0),MATCH(Calculations!O$1,'2018_commission_structure'!$A$11:$I$11,0))</f>
        <v>112500</v>
      </c>
      <c r="P508" s="7">
        <f>IF($H508&gt;I508,MIN($H508-I508,J508-I508)*INDEX('2018_commission_structure'!$A$11:$I$14,MATCH(Calculations!$E508,'2018_commission_structure'!$A$11:$A$14,0), MATCH(Calculations!P$1,'2018_commission_structure'!$A$11:$I$11,0)),0)</f>
        <v>35625</v>
      </c>
      <c r="Q508" s="7">
        <f>IF($H508&gt;J508,MIN($H508-J508,K508-J508)*INDEX('2018_commission_structure'!$A$11:$I$14,MATCH(Calculations!$E508,'2018_commission_structure'!$A$11:$A$14,0), MATCH(Calculations!Q$1,'2018_commission_structure'!$A$11:$I$11,0)),0)</f>
        <v>4100.4400000000005</v>
      </c>
      <c r="R508" s="7">
        <f>IF($H508&gt;K508,MIN($H508-K508,L508-K508)*INDEX('2018_commission_structure'!$A$11:$I$14,MATCH(Calculations!$E508,'2018_commission_structure'!$A$11:$A$14,0), MATCH(Calculations!R$1,'2018_commission_structure'!$A$11:$I$11,0)),0)</f>
        <v>0</v>
      </c>
      <c r="S508" s="7">
        <f>IF(H508&gt;L508,(H508-L508)*INDEX('2018_commission_structure'!$A$11:$I$14,MATCH(Calculations!$E508,'2018_commission_structure'!$A$11:$A$14,0),MATCH(Calculations!S$1,'2018_commission_structure'!$A$11:$I$11,0)),0)</f>
        <v>0</v>
      </c>
      <c r="T508" s="7">
        <f t="shared" si="68"/>
        <v>152225.44</v>
      </c>
      <c r="U508" s="7">
        <f t="shared" si="69"/>
        <v>258218.44</v>
      </c>
      <c r="V508" s="7">
        <f>MIN(H508,I508)*INDEX('2018_commission_structure'!$A$5:$J$8,MATCH(Calculations!$E508,'2018_commission_structure'!$A$5:$A$8,0),MATCH(Calculations!V$1,'2018_commission_structure'!$A$5:$J$5,0))</f>
        <v>112500</v>
      </c>
      <c r="W508" s="2">
        <f>IF($H508&gt;I508,MIN($H508-I508,J508-I508)*INDEX('2018_commission_structure'!$A$5:$J$8,MATCH(Calculations!$E508,'2018_commission_structure'!$A$5:$A$8,0),MATCH(Calculations!W$1,'2018_commission_structure'!$A$5:$J$5,0)),0)</f>
        <v>41250</v>
      </c>
      <c r="X508" s="2">
        <f>IF($H508&gt;J508,MIN($H508-J508,K508-J508)*INDEX('2018_commission_structure'!$A$5:$J$8,MATCH(Calculations!$E508,'2018_commission_structure'!$A$5:$A$8,0),MATCH(Calculations!X$1,'2018_commission_structure'!$A$5:$J$5,0)),0)</f>
        <v>4457</v>
      </c>
      <c r="Y508" s="2">
        <f>IF($H508&gt;K508,MIN($H508-K508,L508-K508)*INDEX('2018_commission_structure'!$A$5:$J$8,MATCH(Calculations!$E508,'2018_commission_structure'!$A$5:$A$8,0),MATCH(Calculations!Y$1,'2018_commission_structure'!$A$5:$J$5,0)),0)</f>
        <v>0</v>
      </c>
      <c r="Z508" s="2">
        <f xml:space="preserve"> IF(H508&gt;L508,(H508-L508)*INDEX('2018_commission_structure'!$A$11:$I$14,MATCH(Calculations!$E508,'2018_commission_structure'!$A$11:$A$14,0),MATCH(Calculations!Z$1,'2018_commission_structure'!$A$11:$I$11,0)),0)</f>
        <v>0</v>
      </c>
      <c r="AA508" s="7">
        <f t="shared" si="70"/>
        <v>158207</v>
      </c>
      <c r="AB508" s="7">
        <f t="shared" si="71"/>
        <v>264200</v>
      </c>
    </row>
    <row r="509" spans="1:28" x14ac:dyDescent="0.25">
      <c r="A509">
        <v>6383978705</v>
      </c>
      <c r="B509" t="s">
        <v>1009</v>
      </c>
      <c r="C509" t="s">
        <v>1010</v>
      </c>
      <c r="D509" t="str">
        <f>B509&amp;" "&amp;C509</f>
        <v>Bess Kubelka</v>
      </c>
      <c r="E509" t="s">
        <v>10</v>
      </c>
      <c r="F509">
        <v>95027</v>
      </c>
      <c r="G509">
        <f>COUNTIF(deals_closed!D:D,Calculations!A509)</f>
        <v>18</v>
      </c>
      <c r="H509" s="2">
        <f>SUMIF(deals_closed!D:D,Calculations!A509,deals_closed!C:C)</f>
        <v>720527</v>
      </c>
      <c r="I509" s="2">
        <f>VLOOKUP(E509,'2018_commission_structure'!$A$11:$I$14,9,FALSE)</f>
        <v>750000</v>
      </c>
      <c r="J509" s="2">
        <f t="shared" si="63"/>
        <v>937500</v>
      </c>
      <c r="K509" s="2">
        <f t="shared" si="64"/>
        <v>1125000</v>
      </c>
      <c r="L509" s="2">
        <f t="shared" si="65"/>
        <v>1500000</v>
      </c>
      <c r="M509" s="6">
        <f t="shared" si="66"/>
        <v>0.9607026666666667</v>
      </c>
      <c r="N509" t="str">
        <f t="shared" si="67"/>
        <v>0-100%</v>
      </c>
      <c r="O509" s="7">
        <f>MIN(I509,H509)*INDEX('2018_commission_structure'!$A$11:$I$14,MATCH(Calculations!$E509,'2018_commission_structure'!$A$11:$A$14,0),MATCH(Calculations!O$1,'2018_commission_structure'!$A$11:$I$11,0))</f>
        <v>108079.05</v>
      </c>
      <c r="P509" s="7">
        <f>IF($H509&gt;I509,MIN($H509-I509,J509-I509)*INDEX('2018_commission_structure'!$A$11:$I$14,MATCH(Calculations!$E509,'2018_commission_structure'!$A$11:$A$14,0), MATCH(Calculations!P$1,'2018_commission_structure'!$A$11:$I$11,0)),0)</f>
        <v>0</v>
      </c>
      <c r="Q509" s="7">
        <f>IF($H509&gt;J509,MIN($H509-J509,K509-J509)*INDEX('2018_commission_structure'!$A$11:$I$14,MATCH(Calculations!$E509,'2018_commission_structure'!$A$11:$A$14,0), MATCH(Calculations!Q$1,'2018_commission_structure'!$A$11:$I$11,0)),0)</f>
        <v>0</v>
      </c>
      <c r="R509" s="7">
        <f>IF($H509&gt;K509,MIN($H509-K509,L509-K509)*INDEX('2018_commission_structure'!$A$11:$I$14,MATCH(Calculations!$E509,'2018_commission_structure'!$A$11:$A$14,0), MATCH(Calculations!R$1,'2018_commission_structure'!$A$11:$I$11,0)),0)</f>
        <v>0</v>
      </c>
      <c r="S509" s="7">
        <f>IF(H509&gt;L509,(H509-L509)*INDEX('2018_commission_structure'!$A$11:$I$14,MATCH(Calculations!$E509,'2018_commission_structure'!$A$11:$A$14,0),MATCH(Calculations!S$1,'2018_commission_structure'!$A$11:$I$11,0)),0)</f>
        <v>0</v>
      </c>
      <c r="T509" s="7">
        <f t="shared" si="68"/>
        <v>108079.05</v>
      </c>
      <c r="U509" s="7">
        <f t="shared" si="69"/>
        <v>203106.05</v>
      </c>
      <c r="V509" s="7">
        <f>MIN(H509,I509)*INDEX('2018_commission_structure'!$A$5:$J$8,MATCH(Calculations!$E509,'2018_commission_structure'!$A$5:$A$8,0),MATCH(Calculations!V$1,'2018_commission_structure'!$A$5:$J$5,0))</f>
        <v>108079.05</v>
      </c>
      <c r="W509" s="2">
        <f>IF($H509&gt;I509,MIN($H509-I509,J509-I509)*INDEX('2018_commission_structure'!$A$5:$J$8,MATCH(Calculations!$E509,'2018_commission_structure'!$A$5:$A$8,0),MATCH(Calculations!W$1,'2018_commission_structure'!$A$5:$J$5,0)),0)</f>
        <v>0</v>
      </c>
      <c r="X509" s="2">
        <f>IF($H509&gt;J509,MIN($H509-J509,K509-J509)*INDEX('2018_commission_structure'!$A$5:$J$8,MATCH(Calculations!$E509,'2018_commission_structure'!$A$5:$A$8,0),MATCH(Calculations!X$1,'2018_commission_structure'!$A$5:$J$5,0)),0)</f>
        <v>0</v>
      </c>
      <c r="Y509" s="2">
        <f>IF($H509&gt;K509,MIN($H509-K509,L509-K509)*INDEX('2018_commission_structure'!$A$5:$J$8,MATCH(Calculations!$E509,'2018_commission_structure'!$A$5:$A$8,0),MATCH(Calculations!Y$1,'2018_commission_structure'!$A$5:$J$5,0)),0)</f>
        <v>0</v>
      </c>
      <c r="Z509" s="2">
        <f xml:space="preserve"> IF(H509&gt;L509,(H509-L509)*INDEX('2018_commission_structure'!$A$11:$I$14,MATCH(Calculations!$E509,'2018_commission_structure'!$A$11:$A$14,0),MATCH(Calculations!Z$1,'2018_commission_structure'!$A$11:$I$11,0)),0)</f>
        <v>0</v>
      </c>
      <c r="AA509" s="7">
        <f t="shared" si="70"/>
        <v>108079.05</v>
      </c>
      <c r="AB509" s="7">
        <f t="shared" si="71"/>
        <v>203106.05</v>
      </c>
    </row>
    <row r="510" spans="1:28" x14ac:dyDescent="0.25">
      <c r="A510">
        <v>2958692264</v>
      </c>
      <c r="B510" t="s">
        <v>1686</v>
      </c>
      <c r="C510" t="s">
        <v>1687</v>
      </c>
      <c r="D510" t="str">
        <f>B510&amp;" "&amp;C510</f>
        <v>Reg Kubista</v>
      </c>
      <c r="E510" t="s">
        <v>7</v>
      </c>
      <c r="F510">
        <v>43860</v>
      </c>
      <c r="G510">
        <f>COUNTIF(deals_closed!D:D,Calculations!A510)</f>
        <v>16</v>
      </c>
      <c r="H510" s="2">
        <f>SUMIF(deals_closed!D:D,Calculations!A510,deals_closed!C:C)</f>
        <v>519595</v>
      </c>
      <c r="I510" s="2">
        <f>VLOOKUP(E510,'2018_commission_structure'!$A$11:$I$14,9,FALSE)</f>
        <v>500000</v>
      </c>
      <c r="J510" s="2">
        <f t="shared" si="63"/>
        <v>625000</v>
      </c>
      <c r="K510" s="2">
        <f t="shared" si="64"/>
        <v>750000</v>
      </c>
      <c r="L510" s="2">
        <f t="shared" si="65"/>
        <v>1000000</v>
      </c>
      <c r="M510" s="6">
        <f t="shared" si="66"/>
        <v>1.0391900000000001</v>
      </c>
      <c r="N510" t="str">
        <f t="shared" si="67"/>
        <v>100-125%</v>
      </c>
      <c r="O510" s="7">
        <f>MIN(I510,H510)*INDEX('2018_commission_structure'!$A$11:$I$14,MATCH(Calculations!$E510,'2018_commission_structure'!$A$11:$A$14,0),MATCH(Calculations!O$1,'2018_commission_structure'!$A$11:$I$11,0))</f>
        <v>50000</v>
      </c>
      <c r="P510" s="7">
        <f>IF($H510&gt;I510,MIN($H510-I510,J510-I510)*INDEX('2018_commission_structure'!$A$11:$I$14,MATCH(Calculations!$E510,'2018_commission_structure'!$A$11:$A$14,0), MATCH(Calculations!P$1,'2018_commission_structure'!$A$11:$I$11,0)),0)</f>
        <v>2939.25</v>
      </c>
      <c r="Q510" s="7">
        <f>IF($H510&gt;J510,MIN($H510-J510,K510-J510)*INDEX('2018_commission_structure'!$A$11:$I$14,MATCH(Calculations!$E510,'2018_commission_structure'!$A$11:$A$14,0), MATCH(Calculations!Q$1,'2018_commission_structure'!$A$11:$I$11,0)),0)</f>
        <v>0</v>
      </c>
      <c r="R510" s="7">
        <f>IF($H510&gt;K510,MIN($H510-K510,L510-K510)*INDEX('2018_commission_structure'!$A$11:$I$14,MATCH(Calculations!$E510,'2018_commission_structure'!$A$11:$A$14,0), MATCH(Calculations!R$1,'2018_commission_structure'!$A$11:$I$11,0)),0)</f>
        <v>0</v>
      </c>
      <c r="S510" s="7">
        <f>IF(H510&gt;L510,(H510-L510)*INDEX('2018_commission_structure'!$A$11:$I$14,MATCH(Calculations!$E510,'2018_commission_structure'!$A$11:$A$14,0),MATCH(Calculations!S$1,'2018_commission_structure'!$A$11:$I$11,0)),0)</f>
        <v>0</v>
      </c>
      <c r="T510" s="7">
        <f t="shared" si="68"/>
        <v>52939.25</v>
      </c>
      <c r="U510" s="7">
        <f t="shared" si="69"/>
        <v>96799.25</v>
      </c>
      <c r="V510" s="7">
        <f>MIN(H510,I510)*INDEX('2018_commission_structure'!$A$5:$J$8,MATCH(Calculations!$E510,'2018_commission_structure'!$A$5:$A$8,0),MATCH(Calculations!V$1,'2018_commission_structure'!$A$5:$J$5,0))</f>
        <v>60000</v>
      </c>
      <c r="W510" s="2">
        <f>IF($H510&gt;I510,MIN($H510-I510,J510-I510)*INDEX('2018_commission_structure'!$A$5:$J$8,MATCH(Calculations!$E510,'2018_commission_structure'!$A$5:$A$8,0),MATCH(Calculations!W$1,'2018_commission_structure'!$A$5:$J$5,0)),0)</f>
        <v>3331.15</v>
      </c>
      <c r="X510" s="2">
        <f>IF($H510&gt;J510,MIN($H510-J510,K510-J510)*INDEX('2018_commission_structure'!$A$5:$J$8,MATCH(Calculations!$E510,'2018_commission_structure'!$A$5:$A$8,0),MATCH(Calculations!X$1,'2018_commission_structure'!$A$5:$J$5,0)),0)</f>
        <v>0</v>
      </c>
      <c r="Y510" s="2">
        <f>IF($H510&gt;K510,MIN($H510-K510,L510-K510)*INDEX('2018_commission_structure'!$A$5:$J$8,MATCH(Calculations!$E510,'2018_commission_structure'!$A$5:$A$8,0),MATCH(Calculations!Y$1,'2018_commission_structure'!$A$5:$J$5,0)),0)</f>
        <v>0</v>
      </c>
      <c r="Z510" s="2">
        <f xml:space="preserve"> IF(H510&gt;L510,(H510-L510)*INDEX('2018_commission_structure'!$A$11:$I$14,MATCH(Calculations!$E510,'2018_commission_structure'!$A$11:$A$14,0),MATCH(Calculations!Z$1,'2018_commission_structure'!$A$11:$I$11,0)),0)</f>
        <v>0</v>
      </c>
      <c r="AA510" s="7">
        <f t="shared" si="70"/>
        <v>63331.15</v>
      </c>
      <c r="AB510" s="7">
        <f t="shared" si="71"/>
        <v>107191.15</v>
      </c>
    </row>
    <row r="511" spans="1:28" x14ac:dyDescent="0.25">
      <c r="A511">
        <v>7533163729</v>
      </c>
      <c r="B511" t="s">
        <v>1352</v>
      </c>
      <c r="C511" t="s">
        <v>1353</v>
      </c>
      <c r="D511" t="str">
        <f>B511&amp;" "&amp;C511</f>
        <v>Osbourne Kuhnke</v>
      </c>
      <c r="E511" t="s">
        <v>10</v>
      </c>
      <c r="F511">
        <v>94545</v>
      </c>
      <c r="G511">
        <f>COUNTIF(deals_closed!D:D,Calculations!A511)</f>
        <v>23</v>
      </c>
      <c r="H511" s="2">
        <f>SUMIF(deals_closed!D:D,Calculations!A511,deals_closed!C:C)</f>
        <v>769342</v>
      </c>
      <c r="I511" s="2">
        <f>VLOOKUP(E511,'2018_commission_structure'!$A$11:$I$14,9,FALSE)</f>
        <v>750000</v>
      </c>
      <c r="J511" s="2">
        <f t="shared" si="63"/>
        <v>937500</v>
      </c>
      <c r="K511" s="2">
        <f t="shared" si="64"/>
        <v>1125000</v>
      </c>
      <c r="L511" s="2">
        <f t="shared" si="65"/>
        <v>1500000</v>
      </c>
      <c r="M511" s="6">
        <f t="shared" si="66"/>
        <v>1.0257893333333334</v>
      </c>
      <c r="N511" t="str">
        <f t="shared" si="67"/>
        <v>100-125%</v>
      </c>
      <c r="O511" s="7">
        <f>MIN(I511,H511)*INDEX('2018_commission_structure'!$A$11:$I$14,MATCH(Calculations!$E511,'2018_commission_structure'!$A$11:$A$14,0),MATCH(Calculations!O$1,'2018_commission_structure'!$A$11:$I$11,0))</f>
        <v>112500</v>
      </c>
      <c r="P511" s="7">
        <f>IF($H511&gt;I511,MIN($H511-I511,J511-I511)*INDEX('2018_commission_structure'!$A$11:$I$14,MATCH(Calculations!$E511,'2018_commission_structure'!$A$11:$A$14,0), MATCH(Calculations!P$1,'2018_commission_structure'!$A$11:$I$11,0)),0)</f>
        <v>3674.98</v>
      </c>
      <c r="Q511" s="7">
        <f>IF($H511&gt;J511,MIN($H511-J511,K511-J511)*INDEX('2018_commission_structure'!$A$11:$I$14,MATCH(Calculations!$E511,'2018_commission_structure'!$A$11:$A$14,0), MATCH(Calculations!Q$1,'2018_commission_structure'!$A$11:$I$11,0)),0)</f>
        <v>0</v>
      </c>
      <c r="R511" s="7">
        <f>IF($H511&gt;K511,MIN($H511-K511,L511-K511)*INDEX('2018_commission_structure'!$A$11:$I$14,MATCH(Calculations!$E511,'2018_commission_structure'!$A$11:$A$14,0), MATCH(Calculations!R$1,'2018_commission_structure'!$A$11:$I$11,0)),0)</f>
        <v>0</v>
      </c>
      <c r="S511" s="7">
        <f>IF(H511&gt;L511,(H511-L511)*INDEX('2018_commission_structure'!$A$11:$I$14,MATCH(Calculations!$E511,'2018_commission_structure'!$A$11:$A$14,0),MATCH(Calculations!S$1,'2018_commission_structure'!$A$11:$I$11,0)),0)</f>
        <v>0</v>
      </c>
      <c r="T511" s="7">
        <f t="shared" si="68"/>
        <v>116174.98</v>
      </c>
      <c r="U511" s="7">
        <f t="shared" si="69"/>
        <v>210719.97999999998</v>
      </c>
      <c r="V511" s="7">
        <f>MIN(H511,I511)*INDEX('2018_commission_structure'!$A$5:$J$8,MATCH(Calculations!$E511,'2018_commission_structure'!$A$5:$A$8,0),MATCH(Calculations!V$1,'2018_commission_structure'!$A$5:$J$5,0))</f>
        <v>112500</v>
      </c>
      <c r="W511" s="2">
        <f>IF($H511&gt;I511,MIN($H511-I511,J511-I511)*INDEX('2018_commission_structure'!$A$5:$J$8,MATCH(Calculations!$E511,'2018_commission_structure'!$A$5:$A$8,0),MATCH(Calculations!W$1,'2018_commission_structure'!$A$5:$J$5,0)),0)</f>
        <v>4255.24</v>
      </c>
      <c r="X511" s="2">
        <f>IF($H511&gt;J511,MIN($H511-J511,K511-J511)*INDEX('2018_commission_structure'!$A$5:$J$8,MATCH(Calculations!$E511,'2018_commission_structure'!$A$5:$A$8,0),MATCH(Calculations!X$1,'2018_commission_structure'!$A$5:$J$5,0)),0)</f>
        <v>0</v>
      </c>
      <c r="Y511" s="2">
        <f>IF($H511&gt;K511,MIN($H511-K511,L511-K511)*INDEX('2018_commission_structure'!$A$5:$J$8,MATCH(Calculations!$E511,'2018_commission_structure'!$A$5:$A$8,0),MATCH(Calculations!Y$1,'2018_commission_structure'!$A$5:$J$5,0)),0)</f>
        <v>0</v>
      </c>
      <c r="Z511" s="2">
        <f xml:space="preserve"> IF(H511&gt;L511,(H511-L511)*INDEX('2018_commission_structure'!$A$11:$I$14,MATCH(Calculations!$E511,'2018_commission_structure'!$A$11:$A$14,0),MATCH(Calculations!Z$1,'2018_commission_structure'!$A$11:$I$11,0)),0)</f>
        <v>0</v>
      </c>
      <c r="AA511" s="7">
        <f t="shared" si="70"/>
        <v>116755.24</v>
      </c>
      <c r="AB511" s="7">
        <f t="shared" si="71"/>
        <v>211300.24</v>
      </c>
    </row>
    <row r="512" spans="1:28" x14ac:dyDescent="0.25">
      <c r="A512">
        <v>1729795870</v>
      </c>
      <c r="B512" t="s">
        <v>1655</v>
      </c>
      <c r="C512" t="s">
        <v>1656</v>
      </c>
      <c r="D512" t="str">
        <f>B512&amp;" "&amp;C512</f>
        <v>Ezequiel Kull</v>
      </c>
      <c r="E512" t="s">
        <v>29</v>
      </c>
      <c r="F512">
        <v>71506</v>
      </c>
      <c r="G512">
        <f>COUNTIF(deals_closed!D:D,Calculations!A512)</f>
        <v>18</v>
      </c>
      <c r="H512" s="2">
        <f>SUMIF(deals_closed!D:D,Calculations!A512,deals_closed!C:C)</f>
        <v>642239</v>
      </c>
      <c r="I512" s="2">
        <f>VLOOKUP(E512,'2018_commission_structure'!$A$11:$I$14,9,FALSE)</f>
        <v>600000</v>
      </c>
      <c r="J512" s="2">
        <f t="shared" si="63"/>
        <v>750000</v>
      </c>
      <c r="K512" s="2">
        <f t="shared" si="64"/>
        <v>900000</v>
      </c>
      <c r="L512" s="2">
        <f t="shared" si="65"/>
        <v>1200000</v>
      </c>
      <c r="M512" s="6">
        <f t="shared" si="66"/>
        <v>1.0703983333333333</v>
      </c>
      <c r="N512" t="str">
        <f t="shared" si="67"/>
        <v>100-125%</v>
      </c>
      <c r="O512" s="7">
        <f>MIN(I512,H512)*INDEX('2018_commission_structure'!$A$11:$I$14,MATCH(Calculations!$E512,'2018_commission_structure'!$A$11:$A$14,0),MATCH(Calculations!O$1,'2018_commission_structure'!$A$11:$I$11,0))</f>
        <v>78000</v>
      </c>
      <c r="P512" s="7">
        <f>IF($H512&gt;I512,MIN($H512-I512,J512-I512)*INDEX('2018_commission_structure'!$A$11:$I$14,MATCH(Calculations!$E512,'2018_commission_structure'!$A$11:$A$14,0), MATCH(Calculations!P$1,'2018_commission_structure'!$A$11:$I$11,0)),0)</f>
        <v>7180.63</v>
      </c>
      <c r="Q512" s="7">
        <f>IF($H512&gt;J512,MIN($H512-J512,K512-J512)*INDEX('2018_commission_structure'!$A$11:$I$14,MATCH(Calculations!$E512,'2018_commission_structure'!$A$11:$A$14,0), MATCH(Calculations!Q$1,'2018_commission_structure'!$A$11:$I$11,0)),0)</f>
        <v>0</v>
      </c>
      <c r="R512" s="7">
        <f>IF($H512&gt;K512,MIN($H512-K512,L512-K512)*INDEX('2018_commission_structure'!$A$11:$I$14,MATCH(Calculations!$E512,'2018_commission_structure'!$A$11:$A$14,0), MATCH(Calculations!R$1,'2018_commission_structure'!$A$11:$I$11,0)),0)</f>
        <v>0</v>
      </c>
      <c r="S512" s="7">
        <f>IF(H512&gt;L512,(H512-L512)*INDEX('2018_commission_structure'!$A$11:$I$14,MATCH(Calculations!$E512,'2018_commission_structure'!$A$11:$A$14,0),MATCH(Calculations!S$1,'2018_commission_structure'!$A$11:$I$11,0)),0)</f>
        <v>0</v>
      </c>
      <c r="T512" s="7">
        <f t="shared" si="68"/>
        <v>85180.63</v>
      </c>
      <c r="U512" s="7">
        <f t="shared" si="69"/>
        <v>156686.63</v>
      </c>
      <c r="V512" s="7">
        <f>MIN(H512,I512)*INDEX('2018_commission_structure'!$A$5:$J$8,MATCH(Calculations!$E512,'2018_commission_structure'!$A$5:$A$8,0),MATCH(Calculations!V$1,'2018_commission_structure'!$A$5:$J$5,0))</f>
        <v>90000</v>
      </c>
      <c r="W512" s="2">
        <f>IF($H512&gt;I512,MIN($H512-I512,J512-I512)*INDEX('2018_commission_structure'!$A$5:$J$8,MATCH(Calculations!$E512,'2018_commission_structure'!$A$5:$A$8,0),MATCH(Calculations!W$1,'2018_commission_structure'!$A$5:$J$5,0)),0)</f>
        <v>7603.0199999999995</v>
      </c>
      <c r="X512" s="2">
        <f>IF($H512&gt;J512,MIN($H512-J512,K512-J512)*INDEX('2018_commission_structure'!$A$5:$J$8,MATCH(Calculations!$E512,'2018_commission_structure'!$A$5:$A$8,0),MATCH(Calculations!X$1,'2018_commission_structure'!$A$5:$J$5,0)),0)</f>
        <v>0</v>
      </c>
      <c r="Y512" s="2">
        <f>IF($H512&gt;K512,MIN($H512-K512,L512-K512)*INDEX('2018_commission_structure'!$A$5:$J$8,MATCH(Calculations!$E512,'2018_commission_structure'!$A$5:$A$8,0),MATCH(Calculations!Y$1,'2018_commission_structure'!$A$5:$J$5,0)),0)</f>
        <v>0</v>
      </c>
      <c r="Z512" s="2">
        <f xml:space="preserve"> IF(H512&gt;L512,(H512-L512)*INDEX('2018_commission_structure'!$A$11:$I$14,MATCH(Calculations!$E512,'2018_commission_structure'!$A$11:$A$14,0),MATCH(Calculations!Z$1,'2018_commission_structure'!$A$11:$I$11,0)),0)</f>
        <v>0</v>
      </c>
      <c r="AA512" s="7">
        <f t="shared" si="70"/>
        <v>97603.02</v>
      </c>
      <c r="AB512" s="7">
        <f t="shared" si="71"/>
        <v>169109.02000000002</v>
      </c>
    </row>
    <row r="513" spans="1:28" x14ac:dyDescent="0.25">
      <c r="A513">
        <v>8640079943</v>
      </c>
      <c r="B513" t="s">
        <v>990</v>
      </c>
      <c r="C513" t="s">
        <v>991</v>
      </c>
      <c r="D513" t="str">
        <f>B513&amp;" "&amp;C513</f>
        <v>Talbot Kynett</v>
      </c>
      <c r="E513" t="s">
        <v>29</v>
      </c>
      <c r="F513">
        <v>73941</v>
      </c>
      <c r="G513">
        <f>COUNTIF(deals_closed!D:D,Calculations!A513)</f>
        <v>25</v>
      </c>
      <c r="H513" s="2">
        <f>SUMIF(deals_closed!D:D,Calculations!A513,deals_closed!C:C)</f>
        <v>793388</v>
      </c>
      <c r="I513" s="2">
        <f>VLOOKUP(E513,'2018_commission_structure'!$A$11:$I$14,9,FALSE)</f>
        <v>600000</v>
      </c>
      <c r="J513" s="2">
        <f t="shared" si="63"/>
        <v>750000</v>
      </c>
      <c r="K513" s="2">
        <f t="shared" si="64"/>
        <v>900000</v>
      </c>
      <c r="L513" s="2">
        <f t="shared" si="65"/>
        <v>1200000</v>
      </c>
      <c r="M513" s="6">
        <f t="shared" si="66"/>
        <v>1.3223133333333332</v>
      </c>
      <c r="N513" t="str">
        <f t="shared" si="67"/>
        <v>125-150%</v>
      </c>
      <c r="O513" s="7">
        <f>MIN(I513,H513)*INDEX('2018_commission_structure'!$A$11:$I$14,MATCH(Calculations!$E513,'2018_commission_structure'!$A$11:$A$14,0),MATCH(Calculations!O$1,'2018_commission_structure'!$A$11:$I$11,0))</f>
        <v>78000</v>
      </c>
      <c r="P513" s="7">
        <f>IF($H513&gt;I513,MIN($H513-I513,J513-I513)*INDEX('2018_commission_structure'!$A$11:$I$14,MATCH(Calculations!$E513,'2018_commission_structure'!$A$11:$A$14,0), MATCH(Calculations!P$1,'2018_commission_structure'!$A$11:$I$11,0)),0)</f>
        <v>25500.000000000004</v>
      </c>
      <c r="Q513" s="7">
        <f>IF($H513&gt;J513,MIN($H513-J513,K513-J513)*INDEX('2018_commission_structure'!$A$11:$I$14,MATCH(Calculations!$E513,'2018_commission_structure'!$A$11:$A$14,0), MATCH(Calculations!Q$1,'2018_commission_structure'!$A$11:$I$11,0)),0)</f>
        <v>9111.48</v>
      </c>
      <c r="R513" s="7">
        <f>IF($H513&gt;K513,MIN($H513-K513,L513-K513)*INDEX('2018_commission_structure'!$A$11:$I$14,MATCH(Calculations!$E513,'2018_commission_structure'!$A$11:$A$14,0), MATCH(Calculations!R$1,'2018_commission_structure'!$A$11:$I$11,0)),0)</f>
        <v>0</v>
      </c>
      <c r="S513" s="7">
        <f>IF(H513&gt;L513,(H513-L513)*INDEX('2018_commission_structure'!$A$11:$I$14,MATCH(Calculations!$E513,'2018_commission_structure'!$A$11:$A$14,0),MATCH(Calculations!S$1,'2018_commission_structure'!$A$11:$I$11,0)),0)</f>
        <v>0</v>
      </c>
      <c r="T513" s="7">
        <f t="shared" si="68"/>
        <v>112611.48</v>
      </c>
      <c r="U513" s="7">
        <f t="shared" si="69"/>
        <v>186552.47999999998</v>
      </c>
      <c r="V513" s="7">
        <f>MIN(H513,I513)*INDEX('2018_commission_structure'!$A$5:$J$8,MATCH(Calculations!$E513,'2018_commission_structure'!$A$5:$A$8,0),MATCH(Calculations!V$1,'2018_commission_structure'!$A$5:$J$5,0))</f>
        <v>90000</v>
      </c>
      <c r="W513" s="2">
        <f>IF($H513&gt;I513,MIN($H513-I513,J513-I513)*INDEX('2018_commission_structure'!$A$5:$J$8,MATCH(Calculations!$E513,'2018_commission_structure'!$A$5:$A$8,0),MATCH(Calculations!W$1,'2018_commission_structure'!$A$5:$J$5,0)),0)</f>
        <v>27000</v>
      </c>
      <c r="X513" s="2">
        <f>IF($H513&gt;J513,MIN($H513-J513,K513-J513)*INDEX('2018_commission_structure'!$A$5:$J$8,MATCH(Calculations!$E513,'2018_commission_structure'!$A$5:$A$8,0),MATCH(Calculations!X$1,'2018_commission_structure'!$A$5:$J$5,0)),0)</f>
        <v>10847</v>
      </c>
      <c r="Y513" s="2">
        <f>IF($H513&gt;K513,MIN($H513-K513,L513-K513)*INDEX('2018_commission_structure'!$A$5:$J$8,MATCH(Calculations!$E513,'2018_commission_structure'!$A$5:$A$8,0),MATCH(Calculations!Y$1,'2018_commission_structure'!$A$5:$J$5,0)),0)</f>
        <v>0</v>
      </c>
      <c r="Z513" s="2">
        <f xml:space="preserve"> IF(H513&gt;L513,(H513-L513)*INDEX('2018_commission_structure'!$A$11:$I$14,MATCH(Calculations!$E513,'2018_commission_structure'!$A$11:$A$14,0),MATCH(Calculations!Z$1,'2018_commission_structure'!$A$11:$I$11,0)),0)</f>
        <v>0</v>
      </c>
      <c r="AA513" s="7">
        <f t="shared" si="70"/>
        <v>127847</v>
      </c>
      <c r="AB513" s="7">
        <f t="shared" si="71"/>
        <v>201788</v>
      </c>
    </row>
    <row r="514" spans="1:28" x14ac:dyDescent="0.25">
      <c r="A514">
        <v>6894004730</v>
      </c>
      <c r="B514" t="s">
        <v>1536</v>
      </c>
      <c r="C514" t="s">
        <v>1537</v>
      </c>
      <c r="D514" t="str">
        <f>B514&amp;" "&amp;C514</f>
        <v>Gill Labrum</v>
      </c>
      <c r="E514" t="s">
        <v>7</v>
      </c>
      <c r="F514">
        <v>41307</v>
      </c>
      <c r="G514">
        <f>COUNTIF(deals_closed!D:D,Calculations!A514)</f>
        <v>20</v>
      </c>
      <c r="H514" s="2">
        <f>SUMIF(deals_closed!D:D,Calculations!A514,deals_closed!C:C)</f>
        <v>822111</v>
      </c>
      <c r="I514" s="2">
        <f>VLOOKUP(E514,'2018_commission_structure'!$A$11:$I$14,9,FALSE)</f>
        <v>500000</v>
      </c>
      <c r="J514" s="2">
        <f t="shared" ref="J514:J577" si="72">I514*1.25</f>
        <v>625000</v>
      </c>
      <c r="K514" s="2">
        <f t="shared" ref="K514:K577" si="73">I514*1.5</f>
        <v>750000</v>
      </c>
      <c r="L514" s="2">
        <f t="shared" ref="L514:L577" si="74">I514*2</f>
        <v>1000000</v>
      </c>
      <c r="M514" s="6">
        <f t="shared" ref="M514:M577" si="75">H514/I514</f>
        <v>1.6442220000000001</v>
      </c>
      <c r="N514" t="str">
        <f t="shared" ref="N514:N577" si="76">IF(M514&lt;=1, "0-100%", IF(M514&lt;=1.25, "100-125%", IF(M514&lt;=1.5, "125-150%", IF(M514&lt;=2, "150-200%", "&gt;200%"))))</f>
        <v>150-200%</v>
      </c>
      <c r="O514" s="7">
        <f>MIN(I514,H514)*INDEX('2018_commission_structure'!$A$11:$I$14,MATCH(Calculations!$E514,'2018_commission_structure'!$A$11:$A$14,0),MATCH(Calculations!O$1,'2018_commission_structure'!$A$11:$I$11,0))</f>
        <v>50000</v>
      </c>
      <c r="P514" s="7">
        <f>IF($H514&gt;I514,MIN($H514-I514,J514-I514)*INDEX('2018_commission_structure'!$A$11:$I$14,MATCH(Calculations!$E514,'2018_commission_structure'!$A$11:$A$14,0), MATCH(Calculations!P$1,'2018_commission_structure'!$A$11:$I$11,0)),0)</f>
        <v>18750</v>
      </c>
      <c r="Q514" s="7">
        <f>IF($H514&gt;J514,MIN($H514-J514,K514-J514)*INDEX('2018_commission_structure'!$A$11:$I$14,MATCH(Calculations!$E514,'2018_commission_structure'!$A$11:$A$14,0), MATCH(Calculations!Q$1,'2018_commission_structure'!$A$11:$I$11,0)),0)</f>
        <v>22500</v>
      </c>
      <c r="R514" s="7">
        <f>IF($H514&gt;K514,MIN($H514-K514,L514-K514)*INDEX('2018_commission_structure'!$A$11:$I$14,MATCH(Calculations!$E514,'2018_commission_structure'!$A$11:$A$14,0), MATCH(Calculations!R$1,'2018_commission_structure'!$A$11:$I$11,0)),0)</f>
        <v>15864.42</v>
      </c>
      <c r="S514" s="7">
        <f>IF(H514&gt;L514,(H514-L514)*INDEX('2018_commission_structure'!$A$11:$I$14,MATCH(Calculations!$E514,'2018_commission_structure'!$A$11:$A$14,0),MATCH(Calculations!S$1,'2018_commission_structure'!$A$11:$I$11,0)),0)</f>
        <v>0</v>
      </c>
      <c r="T514" s="7">
        <f t="shared" ref="T514:T577" si="77">SUM(O514:S514)</f>
        <v>107114.42</v>
      </c>
      <c r="U514" s="7">
        <f t="shared" ref="U514:U577" si="78">T514+F514</f>
        <v>148421.41999999998</v>
      </c>
      <c r="V514" s="7">
        <f>MIN(H514,I514)*INDEX('2018_commission_structure'!$A$5:$J$8,MATCH(Calculations!$E514,'2018_commission_structure'!$A$5:$A$8,0),MATCH(Calculations!V$1,'2018_commission_structure'!$A$5:$J$5,0))</f>
        <v>60000</v>
      </c>
      <c r="W514" s="2">
        <f>IF($H514&gt;I514,MIN($H514-I514,J514-I514)*INDEX('2018_commission_structure'!$A$5:$J$8,MATCH(Calculations!$E514,'2018_commission_structure'!$A$5:$A$8,0),MATCH(Calculations!W$1,'2018_commission_structure'!$A$5:$J$5,0)),0)</f>
        <v>21250</v>
      </c>
      <c r="X514" s="2">
        <f>IF($H514&gt;J514,MIN($H514-J514,K514-J514)*INDEX('2018_commission_structure'!$A$5:$J$8,MATCH(Calculations!$E514,'2018_commission_structure'!$A$5:$A$8,0),MATCH(Calculations!X$1,'2018_commission_structure'!$A$5:$J$5,0)),0)</f>
        <v>25000</v>
      </c>
      <c r="Y514" s="2">
        <f>IF($H514&gt;K514,MIN($H514-K514,L514-K514)*INDEX('2018_commission_structure'!$A$5:$J$8,MATCH(Calculations!$E514,'2018_commission_structure'!$A$5:$A$8,0),MATCH(Calculations!Y$1,'2018_commission_structure'!$A$5:$J$5,0)),0)</f>
        <v>15864.42</v>
      </c>
      <c r="Z514" s="2">
        <f xml:space="preserve"> IF(H514&gt;L514,(H514-L514)*INDEX('2018_commission_structure'!$A$11:$I$14,MATCH(Calculations!$E514,'2018_commission_structure'!$A$11:$A$14,0),MATCH(Calculations!Z$1,'2018_commission_structure'!$A$11:$I$11,0)),0)</f>
        <v>0</v>
      </c>
      <c r="AA514" s="7">
        <f t="shared" si="70"/>
        <v>122114.42</v>
      </c>
      <c r="AB514" s="7">
        <f t="shared" si="71"/>
        <v>163421.41999999998</v>
      </c>
    </row>
    <row r="515" spans="1:28" x14ac:dyDescent="0.25">
      <c r="A515">
        <v>304906506</v>
      </c>
      <c r="B515" t="s">
        <v>1743</v>
      </c>
      <c r="C515" t="s">
        <v>1744</v>
      </c>
      <c r="D515" t="str">
        <f>B515&amp;" "&amp;C515</f>
        <v>Trescha Labusquiere</v>
      </c>
      <c r="E515" t="s">
        <v>7</v>
      </c>
      <c r="F515">
        <v>64753</v>
      </c>
      <c r="G515">
        <f>COUNTIF(deals_closed!D:D,Calculations!A515)</f>
        <v>25</v>
      </c>
      <c r="H515" s="2">
        <f>SUMIF(deals_closed!D:D,Calculations!A515,deals_closed!C:C)</f>
        <v>852715</v>
      </c>
      <c r="I515" s="2">
        <f>VLOOKUP(E515,'2018_commission_structure'!$A$11:$I$14,9,FALSE)</f>
        <v>500000</v>
      </c>
      <c r="J515" s="2">
        <f t="shared" si="72"/>
        <v>625000</v>
      </c>
      <c r="K515" s="2">
        <f t="shared" si="73"/>
        <v>750000</v>
      </c>
      <c r="L515" s="2">
        <f t="shared" si="74"/>
        <v>1000000</v>
      </c>
      <c r="M515" s="6">
        <f t="shared" si="75"/>
        <v>1.70543</v>
      </c>
      <c r="N515" t="str">
        <f t="shared" si="76"/>
        <v>150-200%</v>
      </c>
      <c r="O515" s="7">
        <f>MIN(I515,H515)*INDEX('2018_commission_structure'!$A$11:$I$14,MATCH(Calculations!$E515,'2018_commission_structure'!$A$11:$A$14,0),MATCH(Calculations!O$1,'2018_commission_structure'!$A$11:$I$11,0))</f>
        <v>50000</v>
      </c>
      <c r="P515" s="7">
        <f>IF($H515&gt;I515,MIN($H515-I515,J515-I515)*INDEX('2018_commission_structure'!$A$11:$I$14,MATCH(Calculations!$E515,'2018_commission_structure'!$A$11:$A$14,0), MATCH(Calculations!P$1,'2018_commission_structure'!$A$11:$I$11,0)),0)</f>
        <v>18750</v>
      </c>
      <c r="Q515" s="7">
        <f>IF($H515&gt;J515,MIN($H515-J515,K515-J515)*INDEX('2018_commission_structure'!$A$11:$I$14,MATCH(Calculations!$E515,'2018_commission_structure'!$A$11:$A$14,0), MATCH(Calculations!Q$1,'2018_commission_structure'!$A$11:$I$11,0)),0)</f>
        <v>22500</v>
      </c>
      <c r="R515" s="7">
        <f>IF($H515&gt;K515,MIN($H515-K515,L515-K515)*INDEX('2018_commission_structure'!$A$11:$I$14,MATCH(Calculations!$E515,'2018_commission_structure'!$A$11:$A$14,0), MATCH(Calculations!R$1,'2018_commission_structure'!$A$11:$I$11,0)),0)</f>
        <v>22597.3</v>
      </c>
      <c r="S515" s="7">
        <f>IF(H515&gt;L515,(H515-L515)*INDEX('2018_commission_structure'!$A$11:$I$14,MATCH(Calculations!$E515,'2018_commission_structure'!$A$11:$A$14,0),MATCH(Calculations!S$1,'2018_commission_structure'!$A$11:$I$11,0)),0)</f>
        <v>0</v>
      </c>
      <c r="T515" s="7">
        <f t="shared" si="77"/>
        <v>113847.3</v>
      </c>
      <c r="U515" s="7">
        <f t="shared" si="78"/>
        <v>178600.3</v>
      </c>
      <c r="V515" s="7">
        <f>MIN(H515,I515)*INDEX('2018_commission_structure'!$A$5:$J$8,MATCH(Calculations!$E515,'2018_commission_structure'!$A$5:$A$8,0),MATCH(Calculations!V$1,'2018_commission_structure'!$A$5:$J$5,0))</f>
        <v>60000</v>
      </c>
      <c r="W515" s="2">
        <f>IF($H515&gt;I515,MIN($H515-I515,J515-I515)*INDEX('2018_commission_structure'!$A$5:$J$8,MATCH(Calculations!$E515,'2018_commission_structure'!$A$5:$A$8,0),MATCH(Calculations!W$1,'2018_commission_structure'!$A$5:$J$5,0)),0)</f>
        <v>21250</v>
      </c>
      <c r="X515" s="2">
        <f>IF($H515&gt;J515,MIN($H515-J515,K515-J515)*INDEX('2018_commission_structure'!$A$5:$J$8,MATCH(Calculations!$E515,'2018_commission_structure'!$A$5:$A$8,0),MATCH(Calculations!X$1,'2018_commission_structure'!$A$5:$J$5,0)),0)</f>
        <v>25000</v>
      </c>
      <c r="Y515" s="2">
        <f>IF($H515&gt;K515,MIN($H515-K515,L515-K515)*INDEX('2018_commission_structure'!$A$5:$J$8,MATCH(Calculations!$E515,'2018_commission_structure'!$A$5:$A$8,0),MATCH(Calculations!Y$1,'2018_commission_structure'!$A$5:$J$5,0)),0)</f>
        <v>22597.3</v>
      </c>
      <c r="Z515" s="2">
        <f xml:space="preserve"> IF(H515&gt;L515,(H515-L515)*INDEX('2018_commission_structure'!$A$11:$I$14,MATCH(Calculations!$E515,'2018_commission_structure'!$A$11:$A$14,0),MATCH(Calculations!Z$1,'2018_commission_structure'!$A$11:$I$11,0)),0)</f>
        <v>0</v>
      </c>
      <c r="AA515" s="7">
        <f t="shared" ref="AA515:AA578" si="79">SUM(V515:Z515)</f>
        <v>128847.3</v>
      </c>
      <c r="AB515" s="7">
        <f t="shared" ref="AB515:AB578" si="80">AA515+F515</f>
        <v>193600.3</v>
      </c>
    </row>
    <row r="516" spans="1:28" x14ac:dyDescent="0.25">
      <c r="A516">
        <v>7892446737</v>
      </c>
      <c r="B516" t="s">
        <v>93</v>
      </c>
      <c r="C516" t="s">
        <v>94</v>
      </c>
      <c r="D516" t="str">
        <f>B516&amp;" "&amp;C516</f>
        <v>Arden Lackner</v>
      </c>
      <c r="E516" t="s">
        <v>29</v>
      </c>
      <c r="F516">
        <v>78253</v>
      </c>
      <c r="G516">
        <f>COUNTIF(deals_closed!D:D,Calculations!A516)</f>
        <v>27</v>
      </c>
      <c r="H516" s="2">
        <f>SUMIF(deals_closed!D:D,Calculations!A516,deals_closed!C:C)</f>
        <v>993865</v>
      </c>
      <c r="I516" s="2">
        <f>VLOOKUP(E516,'2018_commission_structure'!$A$11:$I$14,9,FALSE)</f>
        <v>600000</v>
      </c>
      <c r="J516" s="2">
        <f t="shared" si="72"/>
        <v>750000</v>
      </c>
      <c r="K516" s="2">
        <f t="shared" si="73"/>
        <v>900000</v>
      </c>
      <c r="L516" s="2">
        <f t="shared" si="74"/>
        <v>1200000</v>
      </c>
      <c r="M516" s="6">
        <f t="shared" si="75"/>
        <v>1.6564416666666666</v>
      </c>
      <c r="N516" t="str">
        <f t="shared" si="76"/>
        <v>150-200%</v>
      </c>
      <c r="O516" s="7">
        <f>MIN(I516,H516)*INDEX('2018_commission_structure'!$A$11:$I$14,MATCH(Calculations!$E516,'2018_commission_structure'!$A$11:$A$14,0),MATCH(Calculations!O$1,'2018_commission_structure'!$A$11:$I$11,0))</f>
        <v>78000</v>
      </c>
      <c r="P516" s="7">
        <f>IF($H516&gt;I516,MIN($H516-I516,J516-I516)*INDEX('2018_commission_structure'!$A$11:$I$14,MATCH(Calculations!$E516,'2018_commission_structure'!$A$11:$A$14,0), MATCH(Calculations!P$1,'2018_commission_structure'!$A$11:$I$11,0)),0)</f>
        <v>25500.000000000004</v>
      </c>
      <c r="Q516" s="7">
        <f>IF($H516&gt;J516,MIN($H516-J516,K516-J516)*INDEX('2018_commission_structure'!$A$11:$I$14,MATCH(Calculations!$E516,'2018_commission_structure'!$A$11:$A$14,0), MATCH(Calculations!Q$1,'2018_commission_structure'!$A$11:$I$11,0)),0)</f>
        <v>31500</v>
      </c>
      <c r="R516" s="7">
        <f>IF($H516&gt;K516,MIN($H516-K516,L516-K516)*INDEX('2018_commission_structure'!$A$11:$I$14,MATCH(Calculations!$E516,'2018_commission_structure'!$A$11:$A$14,0), MATCH(Calculations!R$1,'2018_commission_structure'!$A$11:$I$11,0)),0)</f>
        <v>24404.9</v>
      </c>
      <c r="S516" s="7">
        <f>IF(H516&gt;L516,(H516-L516)*INDEX('2018_commission_structure'!$A$11:$I$14,MATCH(Calculations!$E516,'2018_commission_structure'!$A$11:$A$14,0),MATCH(Calculations!S$1,'2018_commission_structure'!$A$11:$I$11,0)),0)</f>
        <v>0</v>
      </c>
      <c r="T516" s="7">
        <f t="shared" si="77"/>
        <v>159404.9</v>
      </c>
      <c r="U516" s="7">
        <f t="shared" si="78"/>
        <v>237657.9</v>
      </c>
      <c r="V516" s="7">
        <f>MIN(H516,I516)*INDEX('2018_commission_structure'!$A$5:$J$8,MATCH(Calculations!$E516,'2018_commission_structure'!$A$5:$A$8,0),MATCH(Calculations!V$1,'2018_commission_structure'!$A$5:$J$5,0))</f>
        <v>90000</v>
      </c>
      <c r="W516" s="2">
        <f>IF($H516&gt;I516,MIN($H516-I516,J516-I516)*INDEX('2018_commission_structure'!$A$5:$J$8,MATCH(Calculations!$E516,'2018_commission_structure'!$A$5:$A$8,0),MATCH(Calculations!W$1,'2018_commission_structure'!$A$5:$J$5,0)),0)</f>
        <v>27000</v>
      </c>
      <c r="X516" s="2">
        <f>IF($H516&gt;J516,MIN($H516-J516,K516-J516)*INDEX('2018_commission_structure'!$A$5:$J$8,MATCH(Calculations!$E516,'2018_commission_structure'!$A$5:$A$8,0),MATCH(Calculations!X$1,'2018_commission_structure'!$A$5:$J$5,0)),0)</f>
        <v>37500</v>
      </c>
      <c r="Y516" s="2">
        <f>IF($H516&gt;K516,MIN($H516-K516,L516-K516)*INDEX('2018_commission_structure'!$A$5:$J$8,MATCH(Calculations!$E516,'2018_commission_structure'!$A$5:$A$8,0),MATCH(Calculations!Y$1,'2018_commission_structure'!$A$5:$J$5,0)),0)</f>
        <v>28159.5</v>
      </c>
      <c r="Z516" s="2">
        <f xml:space="preserve"> IF(H516&gt;L516,(H516-L516)*INDEX('2018_commission_structure'!$A$11:$I$14,MATCH(Calculations!$E516,'2018_commission_structure'!$A$11:$A$14,0),MATCH(Calculations!Z$1,'2018_commission_structure'!$A$11:$I$11,0)),0)</f>
        <v>0</v>
      </c>
      <c r="AA516" s="7">
        <f t="shared" si="79"/>
        <v>182659.5</v>
      </c>
      <c r="AB516" s="7">
        <f t="shared" si="80"/>
        <v>260912.5</v>
      </c>
    </row>
    <row r="517" spans="1:28" x14ac:dyDescent="0.25">
      <c r="A517">
        <v>4306425231</v>
      </c>
      <c r="B517" t="s">
        <v>1106</v>
      </c>
      <c r="C517" t="s">
        <v>1107</v>
      </c>
      <c r="D517" t="str">
        <f>B517&amp;" "&amp;C517</f>
        <v>Fraze Laing</v>
      </c>
      <c r="E517" t="s">
        <v>7</v>
      </c>
      <c r="F517">
        <v>44821</v>
      </c>
      <c r="G517">
        <f>COUNTIF(deals_closed!D:D,Calculations!A517)</f>
        <v>18</v>
      </c>
      <c r="H517" s="2">
        <f>SUMIF(deals_closed!D:D,Calculations!A517,deals_closed!C:C)</f>
        <v>671362</v>
      </c>
      <c r="I517" s="2">
        <f>VLOOKUP(E517,'2018_commission_structure'!$A$11:$I$14,9,FALSE)</f>
        <v>500000</v>
      </c>
      <c r="J517" s="2">
        <f t="shared" si="72"/>
        <v>625000</v>
      </c>
      <c r="K517" s="2">
        <f t="shared" si="73"/>
        <v>750000</v>
      </c>
      <c r="L517" s="2">
        <f t="shared" si="74"/>
        <v>1000000</v>
      </c>
      <c r="M517" s="6">
        <f t="shared" si="75"/>
        <v>1.342724</v>
      </c>
      <c r="N517" t="str">
        <f t="shared" si="76"/>
        <v>125-150%</v>
      </c>
      <c r="O517" s="7">
        <f>MIN(I517,H517)*INDEX('2018_commission_structure'!$A$11:$I$14,MATCH(Calculations!$E517,'2018_commission_structure'!$A$11:$A$14,0),MATCH(Calculations!O$1,'2018_commission_structure'!$A$11:$I$11,0))</f>
        <v>50000</v>
      </c>
      <c r="P517" s="7">
        <f>IF($H517&gt;I517,MIN($H517-I517,J517-I517)*INDEX('2018_commission_structure'!$A$11:$I$14,MATCH(Calculations!$E517,'2018_commission_structure'!$A$11:$A$14,0), MATCH(Calculations!P$1,'2018_commission_structure'!$A$11:$I$11,0)),0)</f>
        <v>18750</v>
      </c>
      <c r="Q517" s="7">
        <f>IF($H517&gt;J517,MIN($H517-J517,K517-J517)*INDEX('2018_commission_structure'!$A$11:$I$14,MATCH(Calculations!$E517,'2018_commission_structure'!$A$11:$A$14,0), MATCH(Calculations!Q$1,'2018_commission_structure'!$A$11:$I$11,0)),0)</f>
        <v>8345.16</v>
      </c>
      <c r="R517" s="7">
        <f>IF($H517&gt;K517,MIN($H517-K517,L517-K517)*INDEX('2018_commission_structure'!$A$11:$I$14,MATCH(Calculations!$E517,'2018_commission_structure'!$A$11:$A$14,0), MATCH(Calculations!R$1,'2018_commission_structure'!$A$11:$I$11,0)),0)</f>
        <v>0</v>
      </c>
      <c r="S517" s="7">
        <f>IF(H517&gt;L517,(H517-L517)*INDEX('2018_commission_structure'!$A$11:$I$14,MATCH(Calculations!$E517,'2018_commission_structure'!$A$11:$A$14,0),MATCH(Calculations!S$1,'2018_commission_structure'!$A$11:$I$11,0)),0)</f>
        <v>0</v>
      </c>
      <c r="T517" s="7">
        <f t="shared" si="77"/>
        <v>77095.16</v>
      </c>
      <c r="U517" s="7">
        <f t="shared" si="78"/>
        <v>121916.16</v>
      </c>
      <c r="V517" s="7">
        <f>MIN(H517,I517)*INDEX('2018_commission_structure'!$A$5:$J$8,MATCH(Calculations!$E517,'2018_commission_structure'!$A$5:$A$8,0),MATCH(Calculations!V$1,'2018_commission_structure'!$A$5:$J$5,0))</f>
        <v>60000</v>
      </c>
      <c r="W517" s="2">
        <f>IF($H517&gt;I517,MIN($H517-I517,J517-I517)*INDEX('2018_commission_structure'!$A$5:$J$8,MATCH(Calculations!$E517,'2018_commission_structure'!$A$5:$A$8,0),MATCH(Calculations!W$1,'2018_commission_structure'!$A$5:$J$5,0)),0)</f>
        <v>21250</v>
      </c>
      <c r="X517" s="2">
        <f>IF($H517&gt;J517,MIN($H517-J517,K517-J517)*INDEX('2018_commission_structure'!$A$5:$J$8,MATCH(Calculations!$E517,'2018_commission_structure'!$A$5:$A$8,0),MATCH(Calculations!X$1,'2018_commission_structure'!$A$5:$J$5,0)),0)</f>
        <v>9272.4</v>
      </c>
      <c r="Y517" s="2">
        <f>IF($H517&gt;K517,MIN($H517-K517,L517-K517)*INDEX('2018_commission_structure'!$A$5:$J$8,MATCH(Calculations!$E517,'2018_commission_structure'!$A$5:$A$8,0),MATCH(Calculations!Y$1,'2018_commission_structure'!$A$5:$J$5,0)),0)</f>
        <v>0</v>
      </c>
      <c r="Z517" s="2">
        <f xml:space="preserve"> IF(H517&gt;L517,(H517-L517)*INDEX('2018_commission_structure'!$A$11:$I$14,MATCH(Calculations!$E517,'2018_commission_structure'!$A$11:$A$14,0),MATCH(Calculations!Z$1,'2018_commission_structure'!$A$11:$I$11,0)),0)</f>
        <v>0</v>
      </c>
      <c r="AA517" s="7">
        <f t="shared" si="79"/>
        <v>90522.4</v>
      </c>
      <c r="AB517" s="7">
        <f t="shared" si="80"/>
        <v>135343.4</v>
      </c>
    </row>
    <row r="518" spans="1:28" x14ac:dyDescent="0.25">
      <c r="A518">
        <v>1739513533</v>
      </c>
      <c r="B518" t="s">
        <v>1721</v>
      </c>
      <c r="C518" t="s">
        <v>1722</v>
      </c>
      <c r="D518" t="str">
        <f>B518&amp;" "&amp;C518</f>
        <v>Gizela Lalley</v>
      </c>
      <c r="E518" t="s">
        <v>10</v>
      </c>
      <c r="F518">
        <v>109848</v>
      </c>
      <c r="G518">
        <f>COUNTIF(deals_closed!D:D,Calculations!A518)</f>
        <v>28</v>
      </c>
      <c r="H518" s="2">
        <f>SUMIF(deals_closed!D:D,Calculations!A518,deals_closed!C:C)</f>
        <v>875408</v>
      </c>
      <c r="I518" s="2">
        <f>VLOOKUP(E518,'2018_commission_structure'!$A$11:$I$14,9,FALSE)</f>
        <v>750000</v>
      </c>
      <c r="J518" s="2">
        <f t="shared" si="72"/>
        <v>937500</v>
      </c>
      <c r="K518" s="2">
        <f t="shared" si="73"/>
        <v>1125000</v>
      </c>
      <c r="L518" s="2">
        <f t="shared" si="74"/>
        <v>1500000</v>
      </c>
      <c r="M518" s="6">
        <f t="shared" si="75"/>
        <v>1.1672106666666666</v>
      </c>
      <c r="N518" t="str">
        <f t="shared" si="76"/>
        <v>100-125%</v>
      </c>
      <c r="O518" s="7">
        <f>MIN(I518,H518)*INDEX('2018_commission_structure'!$A$11:$I$14,MATCH(Calculations!$E518,'2018_commission_structure'!$A$11:$A$14,0),MATCH(Calculations!O$1,'2018_commission_structure'!$A$11:$I$11,0))</f>
        <v>112500</v>
      </c>
      <c r="P518" s="7">
        <f>IF($H518&gt;I518,MIN($H518-I518,J518-I518)*INDEX('2018_commission_structure'!$A$11:$I$14,MATCH(Calculations!$E518,'2018_commission_structure'!$A$11:$A$14,0), MATCH(Calculations!P$1,'2018_commission_structure'!$A$11:$I$11,0)),0)</f>
        <v>23827.52</v>
      </c>
      <c r="Q518" s="7">
        <f>IF($H518&gt;J518,MIN($H518-J518,K518-J518)*INDEX('2018_commission_structure'!$A$11:$I$14,MATCH(Calculations!$E518,'2018_commission_structure'!$A$11:$A$14,0), MATCH(Calculations!Q$1,'2018_commission_structure'!$A$11:$I$11,0)),0)</f>
        <v>0</v>
      </c>
      <c r="R518" s="7">
        <f>IF($H518&gt;K518,MIN($H518-K518,L518-K518)*INDEX('2018_commission_structure'!$A$11:$I$14,MATCH(Calculations!$E518,'2018_commission_structure'!$A$11:$A$14,0), MATCH(Calculations!R$1,'2018_commission_structure'!$A$11:$I$11,0)),0)</f>
        <v>0</v>
      </c>
      <c r="S518" s="7">
        <f>IF(H518&gt;L518,(H518-L518)*INDEX('2018_commission_structure'!$A$11:$I$14,MATCH(Calculations!$E518,'2018_commission_structure'!$A$11:$A$14,0),MATCH(Calculations!S$1,'2018_commission_structure'!$A$11:$I$11,0)),0)</f>
        <v>0</v>
      </c>
      <c r="T518" s="7">
        <f t="shared" si="77"/>
        <v>136327.51999999999</v>
      </c>
      <c r="U518" s="7">
        <f t="shared" si="78"/>
        <v>246175.52</v>
      </c>
      <c r="V518" s="7">
        <f>MIN(H518,I518)*INDEX('2018_commission_structure'!$A$5:$J$8,MATCH(Calculations!$E518,'2018_commission_structure'!$A$5:$A$8,0),MATCH(Calculations!V$1,'2018_commission_structure'!$A$5:$J$5,0))</f>
        <v>112500</v>
      </c>
      <c r="W518" s="2">
        <f>IF($H518&gt;I518,MIN($H518-I518,J518-I518)*INDEX('2018_commission_structure'!$A$5:$J$8,MATCH(Calculations!$E518,'2018_commission_structure'!$A$5:$A$8,0),MATCH(Calculations!W$1,'2018_commission_structure'!$A$5:$J$5,0)),0)</f>
        <v>27589.759999999998</v>
      </c>
      <c r="X518" s="2">
        <f>IF($H518&gt;J518,MIN($H518-J518,K518-J518)*INDEX('2018_commission_structure'!$A$5:$J$8,MATCH(Calculations!$E518,'2018_commission_structure'!$A$5:$A$8,0),MATCH(Calculations!X$1,'2018_commission_structure'!$A$5:$J$5,0)),0)</f>
        <v>0</v>
      </c>
      <c r="Y518" s="2">
        <f>IF($H518&gt;K518,MIN($H518-K518,L518-K518)*INDEX('2018_commission_structure'!$A$5:$J$8,MATCH(Calculations!$E518,'2018_commission_structure'!$A$5:$A$8,0),MATCH(Calculations!Y$1,'2018_commission_structure'!$A$5:$J$5,0)),0)</f>
        <v>0</v>
      </c>
      <c r="Z518" s="2">
        <f xml:space="preserve"> IF(H518&gt;L518,(H518-L518)*INDEX('2018_commission_structure'!$A$11:$I$14,MATCH(Calculations!$E518,'2018_commission_structure'!$A$11:$A$14,0),MATCH(Calculations!Z$1,'2018_commission_structure'!$A$11:$I$11,0)),0)</f>
        <v>0</v>
      </c>
      <c r="AA518" s="7">
        <f t="shared" si="79"/>
        <v>140089.76</v>
      </c>
      <c r="AB518" s="7">
        <f t="shared" si="80"/>
        <v>249937.76</v>
      </c>
    </row>
    <row r="519" spans="1:28" x14ac:dyDescent="0.25">
      <c r="A519">
        <v>793441269</v>
      </c>
      <c r="B519" t="s">
        <v>785</v>
      </c>
      <c r="C519" t="s">
        <v>786</v>
      </c>
      <c r="D519" t="str">
        <f>B519&amp;" "&amp;C519</f>
        <v>Hew Lamborne</v>
      </c>
      <c r="E519" t="s">
        <v>29</v>
      </c>
      <c r="F519">
        <v>60498</v>
      </c>
      <c r="G519">
        <f>COUNTIF(deals_closed!D:D,Calculations!A519)</f>
        <v>15</v>
      </c>
      <c r="H519" s="2">
        <f>SUMIF(deals_closed!D:D,Calculations!A519,deals_closed!C:C)</f>
        <v>499847</v>
      </c>
      <c r="I519" s="2">
        <f>VLOOKUP(E519,'2018_commission_structure'!$A$11:$I$14,9,FALSE)</f>
        <v>600000</v>
      </c>
      <c r="J519" s="2">
        <f t="shared" si="72"/>
        <v>750000</v>
      </c>
      <c r="K519" s="2">
        <f t="shared" si="73"/>
        <v>900000</v>
      </c>
      <c r="L519" s="2">
        <f t="shared" si="74"/>
        <v>1200000</v>
      </c>
      <c r="M519" s="6">
        <f t="shared" si="75"/>
        <v>0.83307833333333337</v>
      </c>
      <c r="N519" t="str">
        <f t="shared" si="76"/>
        <v>0-100%</v>
      </c>
      <c r="O519" s="7">
        <f>MIN(I519,H519)*INDEX('2018_commission_structure'!$A$11:$I$14,MATCH(Calculations!$E519,'2018_commission_structure'!$A$11:$A$14,0),MATCH(Calculations!O$1,'2018_commission_structure'!$A$11:$I$11,0))</f>
        <v>64980.11</v>
      </c>
      <c r="P519" s="7">
        <f>IF($H519&gt;I519,MIN($H519-I519,J519-I519)*INDEX('2018_commission_structure'!$A$11:$I$14,MATCH(Calculations!$E519,'2018_commission_structure'!$A$11:$A$14,0), MATCH(Calculations!P$1,'2018_commission_structure'!$A$11:$I$11,0)),0)</f>
        <v>0</v>
      </c>
      <c r="Q519" s="7">
        <f>IF($H519&gt;J519,MIN($H519-J519,K519-J519)*INDEX('2018_commission_structure'!$A$11:$I$14,MATCH(Calculations!$E519,'2018_commission_structure'!$A$11:$A$14,0), MATCH(Calculations!Q$1,'2018_commission_structure'!$A$11:$I$11,0)),0)</f>
        <v>0</v>
      </c>
      <c r="R519" s="7">
        <f>IF($H519&gt;K519,MIN($H519-K519,L519-K519)*INDEX('2018_commission_structure'!$A$11:$I$14,MATCH(Calculations!$E519,'2018_commission_structure'!$A$11:$A$14,0), MATCH(Calculations!R$1,'2018_commission_structure'!$A$11:$I$11,0)),0)</f>
        <v>0</v>
      </c>
      <c r="S519" s="7">
        <f>IF(H519&gt;L519,(H519-L519)*INDEX('2018_commission_structure'!$A$11:$I$14,MATCH(Calculations!$E519,'2018_commission_structure'!$A$11:$A$14,0),MATCH(Calculations!S$1,'2018_commission_structure'!$A$11:$I$11,0)),0)</f>
        <v>0</v>
      </c>
      <c r="T519" s="7">
        <f t="shared" si="77"/>
        <v>64980.11</v>
      </c>
      <c r="U519" s="7">
        <f t="shared" si="78"/>
        <v>125478.11</v>
      </c>
      <c r="V519" s="7">
        <f>MIN(H519,I519)*INDEX('2018_commission_structure'!$A$5:$J$8,MATCH(Calculations!$E519,'2018_commission_structure'!$A$5:$A$8,0),MATCH(Calculations!V$1,'2018_commission_structure'!$A$5:$J$5,0))</f>
        <v>74977.05</v>
      </c>
      <c r="W519" s="2">
        <f>IF($H519&gt;I519,MIN($H519-I519,J519-I519)*INDEX('2018_commission_structure'!$A$5:$J$8,MATCH(Calculations!$E519,'2018_commission_structure'!$A$5:$A$8,0),MATCH(Calculations!W$1,'2018_commission_structure'!$A$5:$J$5,0)),0)</f>
        <v>0</v>
      </c>
      <c r="X519" s="2">
        <f>IF($H519&gt;J519,MIN($H519-J519,K519-J519)*INDEX('2018_commission_structure'!$A$5:$J$8,MATCH(Calculations!$E519,'2018_commission_structure'!$A$5:$A$8,0),MATCH(Calculations!X$1,'2018_commission_structure'!$A$5:$J$5,0)),0)</f>
        <v>0</v>
      </c>
      <c r="Y519" s="2">
        <f>IF($H519&gt;K519,MIN($H519-K519,L519-K519)*INDEX('2018_commission_structure'!$A$5:$J$8,MATCH(Calculations!$E519,'2018_commission_structure'!$A$5:$A$8,0),MATCH(Calculations!Y$1,'2018_commission_structure'!$A$5:$J$5,0)),0)</f>
        <v>0</v>
      </c>
      <c r="Z519" s="2">
        <f xml:space="preserve"> IF(H519&gt;L519,(H519-L519)*INDEX('2018_commission_structure'!$A$11:$I$14,MATCH(Calculations!$E519,'2018_commission_structure'!$A$11:$A$14,0),MATCH(Calculations!Z$1,'2018_commission_structure'!$A$11:$I$11,0)),0)</f>
        <v>0</v>
      </c>
      <c r="AA519" s="7">
        <f t="shared" si="79"/>
        <v>74977.05</v>
      </c>
      <c r="AB519" s="7">
        <f t="shared" si="80"/>
        <v>135475.04999999999</v>
      </c>
    </row>
    <row r="520" spans="1:28" x14ac:dyDescent="0.25">
      <c r="A520">
        <v>2859931651</v>
      </c>
      <c r="B520" t="s">
        <v>1570</v>
      </c>
      <c r="C520" t="s">
        <v>1571</v>
      </c>
      <c r="D520" t="str">
        <f>B520&amp;" "&amp;C520</f>
        <v>Garey Lambregts</v>
      </c>
      <c r="E520" t="s">
        <v>29</v>
      </c>
      <c r="F520">
        <v>73783</v>
      </c>
      <c r="G520">
        <f>COUNTIF(deals_closed!D:D,Calculations!A520)</f>
        <v>18</v>
      </c>
      <c r="H520" s="2">
        <f>SUMIF(deals_closed!D:D,Calculations!A520,deals_closed!C:C)</f>
        <v>561077</v>
      </c>
      <c r="I520" s="2">
        <f>VLOOKUP(E520,'2018_commission_structure'!$A$11:$I$14,9,FALSE)</f>
        <v>600000</v>
      </c>
      <c r="J520" s="2">
        <f t="shared" si="72"/>
        <v>750000</v>
      </c>
      <c r="K520" s="2">
        <f t="shared" si="73"/>
        <v>900000</v>
      </c>
      <c r="L520" s="2">
        <f t="shared" si="74"/>
        <v>1200000</v>
      </c>
      <c r="M520" s="6">
        <f t="shared" si="75"/>
        <v>0.93512833333333334</v>
      </c>
      <c r="N520" t="str">
        <f t="shared" si="76"/>
        <v>0-100%</v>
      </c>
      <c r="O520" s="7">
        <f>MIN(I520,H520)*INDEX('2018_commission_structure'!$A$11:$I$14,MATCH(Calculations!$E520,'2018_commission_structure'!$A$11:$A$14,0),MATCH(Calculations!O$1,'2018_commission_structure'!$A$11:$I$11,0))</f>
        <v>72940.010000000009</v>
      </c>
      <c r="P520" s="7">
        <f>IF($H520&gt;I520,MIN($H520-I520,J520-I520)*INDEX('2018_commission_structure'!$A$11:$I$14,MATCH(Calculations!$E520,'2018_commission_structure'!$A$11:$A$14,0), MATCH(Calculations!P$1,'2018_commission_structure'!$A$11:$I$11,0)),0)</f>
        <v>0</v>
      </c>
      <c r="Q520" s="7">
        <f>IF($H520&gt;J520,MIN($H520-J520,K520-J520)*INDEX('2018_commission_structure'!$A$11:$I$14,MATCH(Calculations!$E520,'2018_commission_structure'!$A$11:$A$14,0), MATCH(Calculations!Q$1,'2018_commission_structure'!$A$11:$I$11,0)),0)</f>
        <v>0</v>
      </c>
      <c r="R520" s="7">
        <f>IF($H520&gt;K520,MIN($H520-K520,L520-K520)*INDEX('2018_commission_structure'!$A$11:$I$14,MATCH(Calculations!$E520,'2018_commission_structure'!$A$11:$A$14,0), MATCH(Calculations!R$1,'2018_commission_structure'!$A$11:$I$11,0)),0)</f>
        <v>0</v>
      </c>
      <c r="S520" s="7">
        <f>IF(H520&gt;L520,(H520-L520)*INDEX('2018_commission_structure'!$A$11:$I$14,MATCH(Calculations!$E520,'2018_commission_structure'!$A$11:$A$14,0),MATCH(Calculations!S$1,'2018_commission_structure'!$A$11:$I$11,0)),0)</f>
        <v>0</v>
      </c>
      <c r="T520" s="7">
        <f t="shared" si="77"/>
        <v>72940.010000000009</v>
      </c>
      <c r="U520" s="7">
        <f t="shared" si="78"/>
        <v>146723.01</v>
      </c>
      <c r="V520" s="7">
        <f>MIN(H520,I520)*INDEX('2018_commission_structure'!$A$5:$J$8,MATCH(Calculations!$E520,'2018_commission_structure'!$A$5:$A$8,0),MATCH(Calculations!V$1,'2018_commission_structure'!$A$5:$J$5,0))</f>
        <v>84161.55</v>
      </c>
      <c r="W520" s="2">
        <f>IF($H520&gt;I520,MIN($H520-I520,J520-I520)*INDEX('2018_commission_structure'!$A$5:$J$8,MATCH(Calculations!$E520,'2018_commission_structure'!$A$5:$A$8,0),MATCH(Calculations!W$1,'2018_commission_structure'!$A$5:$J$5,0)),0)</f>
        <v>0</v>
      </c>
      <c r="X520" s="2">
        <f>IF($H520&gt;J520,MIN($H520-J520,K520-J520)*INDEX('2018_commission_structure'!$A$5:$J$8,MATCH(Calculations!$E520,'2018_commission_structure'!$A$5:$A$8,0),MATCH(Calculations!X$1,'2018_commission_structure'!$A$5:$J$5,0)),0)</f>
        <v>0</v>
      </c>
      <c r="Y520" s="2">
        <f>IF($H520&gt;K520,MIN($H520-K520,L520-K520)*INDEX('2018_commission_structure'!$A$5:$J$8,MATCH(Calculations!$E520,'2018_commission_structure'!$A$5:$A$8,0),MATCH(Calculations!Y$1,'2018_commission_structure'!$A$5:$J$5,0)),0)</f>
        <v>0</v>
      </c>
      <c r="Z520" s="2">
        <f xml:space="preserve"> IF(H520&gt;L520,(H520-L520)*INDEX('2018_commission_structure'!$A$11:$I$14,MATCH(Calculations!$E520,'2018_commission_structure'!$A$11:$A$14,0),MATCH(Calculations!Z$1,'2018_commission_structure'!$A$11:$I$11,0)),0)</f>
        <v>0</v>
      </c>
      <c r="AA520" s="7">
        <f t="shared" si="79"/>
        <v>84161.55</v>
      </c>
      <c r="AB520" s="7">
        <f t="shared" si="80"/>
        <v>157944.54999999999</v>
      </c>
    </row>
    <row r="521" spans="1:28" x14ac:dyDescent="0.25">
      <c r="A521">
        <v>509389570</v>
      </c>
      <c r="B521" t="s">
        <v>693</v>
      </c>
      <c r="C521" t="s">
        <v>694</v>
      </c>
      <c r="D521" t="str">
        <f>B521&amp;" "&amp;C521</f>
        <v>Pierre Lambshine</v>
      </c>
      <c r="E521" t="s">
        <v>10</v>
      </c>
      <c r="F521">
        <v>89634</v>
      </c>
      <c r="G521">
        <f>COUNTIF(deals_closed!D:D,Calculations!A521)</f>
        <v>12</v>
      </c>
      <c r="H521" s="2">
        <f>SUMIF(deals_closed!D:D,Calculations!A521,deals_closed!C:C)</f>
        <v>436501</v>
      </c>
      <c r="I521" s="2">
        <f>VLOOKUP(E521,'2018_commission_structure'!$A$11:$I$14,9,FALSE)</f>
        <v>750000</v>
      </c>
      <c r="J521" s="2">
        <f t="shared" si="72"/>
        <v>937500</v>
      </c>
      <c r="K521" s="2">
        <f t="shared" si="73"/>
        <v>1125000</v>
      </c>
      <c r="L521" s="2">
        <f t="shared" si="74"/>
        <v>1500000</v>
      </c>
      <c r="M521" s="6">
        <f t="shared" si="75"/>
        <v>0.58200133333333337</v>
      </c>
      <c r="N521" t="str">
        <f t="shared" si="76"/>
        <v>0-100%</v>
      </c>
      <c r="O521" s="7">
        <f>MIN(I521,H521)*INDEX('2018_commission_structure'!$A$11:$I$14,MATCH(Calculations!$E521,'2018_commission_structure'!$A$11:$A$14,0),MATCH(Calculations!O$1,'2018_commission_structure'!$A$11:$I$11,0))</f>
        <v>65475.149999999994</v>
      </c>
      <c r="P521" s="7">
        <f>IF($H521&gt;I521,MIN($H521-I521,J521-I521)*INDEX('2018_commission_structure'!$A$11:$I$14,MATCH(Calculations!$E521,'2018_commission_structure'!$A$11:$A$14,0), MATCH(Calculations!P$1,'2018_commission_structure'!$A$11:$I$11,0)),0)</f>
        <v>0</v>
      </c>
      <c r="Q521" s="7">
        <f>IF($H521&gt;J521,MIN($H521-J521,K521-J521)*INDEX('2018_commission_structure'!$A$11:$I$14,MATCH(Calculations!$E521,'2018_commission_structure'!$A$11:$A$14,0), MATCH(Calculations!Q$1,'2018_commission_structure'!$A$11:$I$11,0)),0)</f>
        <v>0</v>
      </c>
      <c r="R521" s="7">
        <f>IF($H521&gt;K521,MIN($H521-K521,L521-K521)*INDEX('2018_commission_structure'!$A$11:$I$14,MATCH(Calculations!$E521,'2018_commission_structure'!$A$11:$A$14,0), MATCH(Calculations!R$1,'2018_commission_structure'!$A$11:$I$11,0)),0)</f>
        <v>0</v>
      </c>
      <c r="S521" s="7">
        <f>IF(H521&gt;L521,(H521-L521)*INDEX('2018_commission_structure'!$A$11:$I$14,MATCH(Calculations!$E521,'2018_commission_structure'!$A$11:$A$14,0),MATCH(Calculations!S$1,'2018_commission_structure'!$A$11:$I$11,0)),0)</f>
        <v>0</v>
      </c>
      <c r="T521" s="7">
        <f t="shared" si="77"/>
        <v>65475.149999999994</v>
      </c>
      <c r="U521" s="7">
        <f t="shared" si="78"/>
        <v>155109.15</v>
      </c>
      <c r="V521" s="7">
        <f>MIN(H521,I521)*INDEX('2018_commission_structure'!$A$5:$J$8,MATCH(Calculations!$E521,'2018_commission_structure'!$A$5:$A$8,0),MATCH(Calculations!V$1,'2018_commission_structure'!$A$5:$J$5,0))</f>
        <v>65475.149999999994</v>
      </c>
      <c r="W521" s="2">
        <f>IF($H521&gt;I521,MIN($H521-I521,J521-I521)*INDEX('2018_commission_structure'!$A$5:$J$8,MATCH(Calculations!$E521,'2018_commission_structure'!$A$5:$A$8,0),MATCH(Calculations!W$1,'2018_commission_structure'!$A$5:$J$5,0)),0)</f>
        <v>0</v>
      </c>
      <c r="X521" s="2">
        <f>IF($H521&gt;J521,MIN($H521-J521,K521-J521)*INDEX('2018_commission_structure'!$A$5:$J$8,MATCH(Calculations!$E521,'2018_commission_structure'!$A$5:$A$8,0),MATCH(Calculations!X$1,'2018_commission_structure'!$A$5:$J$5,0)),0)</f>
        <v>0</v>
      </c>
      <c r="Y521" s="2">
        <f>IF($H521&gt;K521,MIN($H521-K521,L521-K521)*INDEX('2018_commission_structure'!$A$5:$J$8,MATCH(Calculations!$E521,'2018_commission_structure'!$A$5:$A$8,0),MATCH(Calculations!Y$1,'2018_commission_structure'!$A$5:$J$5,0)),0)</f>
        <v>0</v>
      </c>
      <c r="Z521" s="2">
        <f xml:space="preserve"> IF(H521&gt;L521,(H521-L521)*INDEX('2018_commission_structure'!$A$11:$I$14,MATCH(Calculations!$E521,'2018_commission_structure'!$A$11:$A$14,0),MATCH(Calculations!Z$1,'2018_commission_structure'!$A$11:$I$11,0)),0)</f>
        <v>0</v>
      </c>
      <c r="AA521" s="7">
        <f t="shared" si="79"/>
        <v>65475.149999999994</v>
      </c>
      <c r="AB521" s="7">
        <f t="shared" si="80"/>
        <v>155109.15</v>
      </c>
    </row>
    <row r="522" spans="1:28" x14ac:dyDescent="0.25">
      <c r="A522">
        <v>7938954179</v>
      </c>
      <c r="B522" t="s">
        <v>1272</v>
      </c>
      <c r="C522" t="s">
        <v>1273</v>
      </c>
      <c r="D522" t="str">
        <f>B522&amp;" "&amp;C522</f>
        <v>Darin Landal</v>
      </c>
      <c r="E522" t="s">
        <v>7</v>
      </c>
      <c r="F522">
        <v>44924</v>
      </c>
      <c r="G522">
        <f>COUNTIF(deals_closed!D:D,Calculations!A522)</f>
        <v>15</v>
      </c>
      <c r="H522" s="2">
        <f>SUMIF(deals_closed!D:D,Calculations!A522,deals_closed!C:C)</f>
        <v>588871</v>
      </c>
      <c r="I522" s="2">
        <f>VLOOKUP(E522,'2018_commission_structure'!$A$11:$I$14,9,FALSE)</f>
        <v>500000</v>
      </c>
      <c r="J522" s="2">
        <f t="shared" si="72"/>
        <v>625000</v>
      </c>
      <c r="K522" s="2">
        <f t="shared" si="73"/>
        <v>750000</v>
      </c>
      <c r="L522" s="2">
        <f t="shared" si="74"/>
        <v>1000000</v>
      </c>
      <c r="M522" s="6">
        <f t="shared" si="75"/>
        <v>1.1777420000000001</v>
      </c>
      <c r="N522" t="str">
        <f t="shared" si="76"/>
        <v>100-125%</v>
      </c>
      <c r="O522" s="7">
        <f>MIN(I522,H522)*INDEX('2018_commission_structure'!$A$11:$I$14,MATCH(Calculations!$E522,'2018_commission_structure'!$A$11:$A$14,0),MATCH(Calculations!O$1,'2018_commission_structure'!$A$11:$I$11,0))</f>
        <v>50000</v>
      </c>
      <c r="P522" s="7">
        <f>IF($H522&gt;I522,MIN($H522-I522,J522-I522)*INDEX('2018_commission_structure'!$A$11:$I$14,MATCH(Calculations!$E522,'2018_commission_structure'!$A$11:$A$14,0), MATCH(Calculations!P$1,'2018_commission_structure'!$A$11:$I$11,0)),0)</f>
        <v>13330.65</v>
      </c>
      <c r="Q522" s="7">
        <f>IF($H522&gt;J522,MIN($H522-J522,K522-J522)*INDEX('2018_commission_structure'!$A$11:$I$14,MATCH(Calculations!$E522,'2018_commission_structure'!$A$11:$A$14,0), MATCH(Calculations!Q$1,'2018_commission_structure'!$A$11:$I$11,0)),0)</f>
        <v>0</v>
      </c>
      <c r="R522" s="7">
        <f>IF($H522&gt;K522,MIN($H522-K522,L522-K522)*INDEX('2018_commission_structure'!$A$11:$I$14,MATCH(Calculations!$E522,'2018_commission_structure'!$A$11:$A$14,0), MATCH(Calculations!R$1,'2018_commission_structure'!$A$11:$I$11,0)),0)</f>
        <v>0</v>
      </c>
      <c r="S522" s="7">
        <f>IF(H522&gt;L522,(H522-L522)*INDEX('2018_commission_structure'!$A$11:$I$14,MATCH(Calculations!$E522,'2018_commission_structure'!$A$11:$A$14,0),MATCH(Calculations!S$1,'2018_commission_structure'!$A$11:$I$11,0)),0)</f>
        <v>0</v>
      </c>
      <c r="T522" s="7">
        <f t="shared" si="77"/>
        <v>63330.65</v>
      </c>
      <c r="U522" s="7">
        <f t="shared" si="78"/>
        <v>108254.65</v>
      </c>
      <c r="V522" s="7">
        <f>MIN(H522,I522)*INDEX('2018_commission_structure'!$A$5:$J$8,MATCH(Calculations!$E522,'2018_commission_structure'!$A$5:$A$8,0),MATCH(Calculations!V$1,'2018_commission_structure'!$A$5:$J$5,0))</f>
        <v>60000</v>
      </c>
      <c r="W522" s="2">
        <f>IF($H522&gt;I522,MIN($H522-I522,J522-I522)*INDEX('2018_commission_structure'!$A$5:$J$8,MATCH(Calculations!$E522,'2018_commission_structure'!$A$5:$A$8,0),MATCH(Calculations!W$1,'2018_commission_structure'!$A$5:$J$5,0)),0)</f>
        <v>15108.070000000002</v>
      </c>
      <c r="X522" s="2">
        <f>IF($H522&gt;J522,MIN($H522-J522,K522-J522)*INDEX('2018_commission_structure'!$A$5:$J$8,MATCH(Calculations!$E522,'2018_commission_structure'!$A$5:$A$8,0),MATCH(Calculations!X$1,'2018_commission_structure'!$A$5:$J$5,0)),0)</f>
        <v>0</v>
      </c>
      <c r="Y522" s="2">
        <f>IF($H522&gt;K522,MIN($H522-K522,L522-K522)*INDEX('2018_commission_structure'!$A$5:$J$8,MATCH(Calculations!$E522,'2018_commission_structure'!$A$5:$A$8,0),MATCH(Calculations!Y$1,'2018_commission_structure'!$A$5:$J$5,0)),0)</f>
        <v>0</v>
      </c>
      <c r="Z522" s="2">
        <f xml:space="preserve"> IF(H522&gt;L522,(H522-L522)*INDEX('2018_commission_structure'!$A$11:$I$14,MATCH(Calculations!$E522,'2018_commission_structure'!$A$11:$A$14,0),MATCH(Calculations!Z$1,'2018_commission_structure'!$A$11:$I$11,0)),0)</f>
        <v>0</v>
      </c>
      <c r="AA522" s="7">
        <f t="shared" si="79"/>
        <v>75108.070000000007</v>
      </c>
      <c r="AB522" s="7">
        <f t="shared" si="80"/>
        <v>120032.07</v>
      </c>
    </row>
    <row r="523" spans="1:28" x14ac:dyDescent="0.25">
      <c r="A523">
        <v>3779559293</v>
      </c>
      <c r="B523" t="s">
        <v>459</v>
      </c>
      <c r="C523" t="s">
        <v>460</v>
      </c>
      <c r="D523" t="str">
        <f>B523&amp;" "&amp;C523</f>
        <v>Winfield Lansdowne</v>
      </c>
      <c r="E523" t="s">
        <v>10</v>
      </c>
      <c r="F523">
        <v>95894</v>
      </c>
      <c r="G523">
        <f>COUNTIF(deals_closed!D:D,Calculations!A523)</f>
        <v>27</v>
      </c>
      <c r="H523" s="2">
        <f>SUMIF(deals_closed!D:D,Calculations!A523,deals_closed!C:C)</f>
        <v>945909</v>
      </c>
      <c r="I523" s="2">
        <f>VLOOKUP(E523,'2018_commission_structure'!$A$11:$I$14,9,FALSE)</f>
        <v>750000</v>
      </c>
      <c r="J523" s="2">
        <f t="shared" si="72"/>
        <v>937500</v>
      </c>
      <c r="K523" s="2">
        <f t="shared" si="73"/>
        <v>1125000</v>
      </c>
      <c r="L523" s="2">
        <f t="shared" si="74"/>
        <v>1500000</v>
      </c>
      <c r="M523" s="6">
        <f t="shared" si="75"/>
        <v>1.261212</v>
      </c>
      <c r="N523" t="str">
        <f t="shared" si="76"/>
        <v>125-150%</v>
      </c>
      <c r="O523" s="7">
        <f>MIN(I523,H523)*INDEX('2018_commission_structure'!$A$11:$I$14,MATCH(Calculations!$E523,'2018_commission_structure'!$A$11:$A$14,0),MATCH(Calculations!O$1,'2018_commission_structure'!$A$11:$I$11,0))</f>
        <v>112500</v>
      </c>
      <c r="P523" s="7">
        <f>IF($H523&gt;I523,MIN($H523-I523,J523-I523)*INDEX('2018_commission_structure'!$A$11:$I$14,MATCH(Calculations!$E523,'2018_commission_structure'!$A$11:$A$14,0), MATCH(Calculations!P$1,'2018_commission_structure'!$A$11:$I$11,0)),0)</f>
        <v>35625</v>
      </c>
      <c r="Q523" s="7">
        <f>IF($H523&gt;J523,MIN($H523-J523,K523-J523)*INDEX('2018_commission_structure'!$A$11:$I$14,MATCH(Calculations!$E523,'2018_commission_structure'!$A$11:$A$14,0), MATCH(Calculations!Q$1,'2018_commission_structure'!$A$11:$I$11,0)),0)</f>
        <v>1934.0700000000002</v>
      </c>
      <c r="R523" s="7">
        <f>IF($H523&gt;K523,MIN($H523-K523,L523-K523)*INDEX('2018_commission_structure'!$A$11:$I$14,MATCH(Calculations!$E523,'2018_commission_structure'!$A$11:$A$14,0), MATCH(Calculations!R$1,'2018_commission_structure'!$A$11:$I$11,0)),0)</f>
        <v>0</v>
      </c>
      <c r="S523" s="7">
        <f>IF(H523&gt;L523,(H523-L523)*INDEX('2018_commission_structure'!$A$11:$I$14,MATCH(Calculations!$E523,'2018_commission_structure'!$A$11:$A$14,0),MATCH(Calculations!S$1,'2018_commission_structure'!$A$11:$I$11,0)),0)</f>
        <v>0</v>
      </c>
      <c r="T523" s="7">
        <f t="shared" si="77"/>
        <v>150059.07</v>
      </c>
      <c r="U523" s="7">
        <f t="shared" si="78"/>
        <v>245953.07</v>
      </c>
      <c r="V523" s="7">
        <f>MIN(H523,I523)*INDEX('2018_commission_structure'!$A$5:$J$8,MATCH(Calculations!$E523,'2018_commission_structure'!$A$5:$A$8,0),MATCH(Calculations!V$1,'2018_commission_structure'!$A$5:$J$5,0))</f>
        <v>112500</v>
      </c>
      <c r="W523" s="2">
        <f>IF($H523&gt;I523,MIN($H523-I523,J523-I523)*INDEX('2018_commission_structure'!$A$5:$J$8,MATCH(Calculations!$E523,'2018_commission_structure'!$A$5:$A$8,0),MATCH(Calculations!W$1,'2018_commission_structure'!$A$5:$J$5,0)),0)</f>
        <v>41250</v>
      </c>
      <c r="X523" s="2">
        <f>IF($H523&gt;J523,MIN($H523-J523,K523-J523)*INDEX('2018_commission_structure'!$A$5:$J$8,MATCH(Calculations!$E523,'2018_commission_structure'!$A$5:$A$8,0),MATCH(Calculations!X$1,'2018_commission_structure'!$A$5:$J$5,0)),0)</f>
        <v>2102.25</v>
      </c>
      <c r="Y523" s="2">
        <f>IF($H523&gt;K523,MIN($H523-K523,L523-K523)*INDEX('2018_commission_structure'!$A$5:$J$8,MATCH(Calculations!$E523,'2018_commission_structure'!$A$5:$A$8,0),MATCH(Calculations!Y$1,'2018_commission_structure'!$A$5:$J$5,0)),0)</f>
        <v>0</v>
      </c>
      <c r="Z523" s="2">
        <f xml:space="preserve"> IF(H523&gt;L523,(H523-L523)*INDEX('2018_commission_structure'!$A$11:$I$14,MATCH(Calculations!$E523,'2018_commission_structure'!$A$11:$A$14,0),MATCH(Calculations!Z$1,'2018_commission_structure'!$A$11:$I$11,0)),0)</f>
        <v>0</v>
      </c>
      <c r="AA523" s="7">
        <f t="shared" si="79"/>
        <v>155852.25</v>
      </c>
      <c r="AB523" s="7">
        <f t="shared" si="80"/>
        <v>251746.25</v>
      </c>
    </row>
    <row r="524" spans="1:28" x14ac:dyDescent="0.25">
      <c r="A524">
        <v>7338728615</v>
      </c>
      <c r="B524" t="s">
        <v>1154</v>
      </c>
      <c r="C524" t="s">
        <v>1155</v>
      </c>
      <c r="D524" t="str">
        <f>B524&amp;" "&amp;C524</f>
        <v>Tedmund Lardeux</v>
      </c>
      <c r="E524" t="s">
        <v>7</v>
      </c>
      <c r="F524">
        <v>61730</v>
      </c>
      <c r="G524">
        <f>COUNTIF(deals_closed!D:D,Calculations!A524)</f>
        <v>27</v>
      </c>
      <c r="H524" s="2">
        <f>SUMIF(deals_closed!D:D,Calculations!A524,deals_closed!C:C)</f>
        <v>939740</v>
      </c>
      <c r="I524" s="2">
        <f>VLOOKUP(E524,'2018_commission_structure'!$A$11:$I$14,9,FALSE)</f>
        <v>500000</v>
      </c>
      <c r="J524" s="2">
        <f t="shared" si="72"/>
        <v>625000</v>
      </c>
      <c r="K524" s="2">
        <f t="shared" si="73"/>
        <v>750000</v>
      </c>
      <c r="L524" s="2">
        <f t="shared" si="74"/>
        <v>1000000</v>
      </c>
      <c r="M524" s="6">
        <f t="shared" si="75"/>
        <v>1.87948</v>
      </c>
      <c r="N524" t="str">
        <f t="shared" si="76"/>
        <v>150-200%</v>
      </c>
      <c r="O524" s="7">
        <f>MIN(I524,H524)*INDEX('2018_commission_structure'!$A$11:$I$14,MATCH(Calculations!$E524,'2018_commission_structure'!$A$11:$A$14,0),MATCH(Calculations!O$1,'2018_commission_structure'!$A$11:$I$11,0))</f>
        <v>50000</v>
      </c>
      <c r="P524" s="7">
        <f>IF($H524&gt;I524,MIN($H524-I524,J524-I524)*INDEX('2018_commission_structure'!$A$11:$I$14,MATCH(Calculations!$E524,'2018_commission_structure'!$A$11:$A$14,0), MATCH(Calculations!P$1,'2018_commission_structure'!$A$11:$I$11,0)),0)</f>
        <v>18750</v>
      </c>
      <c r="Q524" s="7">
        <f>IF($H524&gt;J524,MIN($H524-J524,K524-J524)*INDEX('2018_commission_structure'!$A$11:$I$14,MATCH(Calculations!$E524,'2018_commission_structure'!$A$11:$A$14,0), MATCH(Calculations!Q$1,'2018_commission_structure'!$A$11:$I$11,0)),0)</f>
        <v>22500</v>
      </c>
      <c r="R524" s="7">
        <f>IF($H524&gt;K524,MIN($H524-K524,L524-K524)*INDEX('2018_commission_structure'!$A$11:$I$14,MATCH(Calculations!$E524,'2018_commission_structure'!$A$11:$A$14,0), MATCH(Calculations!R$1,'2018_commission_structure'!$A$11:$I$11,0)),0)</f>
        <v>41742.800000000003</v>
      </c>
      <c r="S524" s="7">
        <f>IF(H524&gt;L524,(H524-L524)*INDEX('2018_commission_structure'!$A$11:$I$14,MATCH(Calculations!$E524,'2018_commission_structure'!$A$11:$A$14,0),MATCH(Calculations!S$1,'2018_commission_structure'!$A$11:$I$11,0)),0)</f>
        <v>0</v>
      </c>
      <c r="T524" s="7">
        <f t="shared" si="77"/>
        <v>132992.79999999999</v>
      </c>
      <c r="U524" s="7">
        <f t="shared" si="78"/>
        <v>194722.8</v>
      </c>
      <c r="V524" s="7">
        <f>MIN(H524,I524)*INDEX('2018_commission_structure'!$A$5:$J$8,MATCH(Calculations!$E524,'2018_commission_structure'!$A$5:$A$8,0),MATCH(Calculations!V$1,'2018_commission_structure'!$A$5:$J$5,0))</f>
        <v>60000</v>
      </c>
      <c r="W524" s="2">
        <f>IF($H524&gt;I524,MIN($H524-I524,J524-I524)*INDEX('2018_commission_structure'!$A$5:$J$8,MATCH(Calculations!$E524,'2018_commission_structure'!$A$5:$A$8,0),MATCH(Calculations!W$1,'2018_commission_structure'!$A$5:$J$5,0)),0)</f>
        <v>21250</v>
      </c>
      <c r="X524" s="2">
        <f>IF($H524&gt;J524,MIN($H524-J524,K524-J524)*INDEX('2018_commission_structure'!$A$5:$J$8,MATCH(Calculations!$E524,'2018_commission_structure'!$A$5:$A$8,0),MATCH(Calculations!X$1,'2018_commission_structure'!$A$5:$J$5,0)),0)</f>
        <v>25000</v>
      </c>
      <c r="Y524" s="2">
        <f>IF($H524&gt;K524,MIN($H524-K524,L524-K524)*INDEX('2018_commission_structure'!$A$5:$J$8,MATCH(Calculations!$E524,'2018_commission_structure'!$A$5:$A$8,0),MATCH(Calculations!Y$1,'2018_commission_structure'!$A$5:$J$5,0)),0)</f>
        <v>41742.800000000003</v>
      </c>
      <c r="Z524" s="2">
        <f xml:space="preserve"> IF(H524&gt;L524,(H524-L524)*INDEX('2018_commission_structure'!$A$11:$I$14,MATCH(Calculations!$E524,'2018_commission_structure'!$A$11:$A$14,0),MATCH(Calculations!Z$1,'2018_commission_structure'!$A$11:$I$11,0)),0)</f>
        <v>0</v>
      </c>
      <c r="AA524" s="7">
        <f t="shared" si="79"/>
        <v>147992.79999999999</v>
      </c>
      <c r="AB524" s="7">
        <f t="shared" si="80"/>
        <v>209722.8</v>
      </c>
    </row>
    <row r="525" spans="1:28" x14ac:dyDescent="0.25">
      <c r="A525">
        <v>6510701464</v>
      </c>
      <c r="B525" t="s">
        <v>155</v>
      </c>
      <c r="C525" t="s">
        <v>156</v>
      </c>
      <c r="D525" t="str">
        <f>B525&amp;" "&amp;C525</f>
        <v>Zachariah Lared</v>
      </c>
      <c r="E525" t="s">
        <v>7</v>
      </c>
      <c r="F525">
        <v>45866</v>
      </c>
      <c r="G525">
        <f>COUNTIF(deals_closed!D:D,Calculations!A525)</f>
        <v>19</v>
      </c>
      <c r="H525" s="2">
        <f>SUMIF(deals_closed!D:D,Calculations!A525,deals_closed!C:C)</f>
        <v>660630</v>
      </c>
      <c r="I525" s="2">
        <f>VLOOKUP(E525,'2018_commission_structure'!$A$11:$I$14,9,FALSE)</f>
        <v>500000</v>
      </c>
      <c r="J525" s="2">
        <f t="shared" si="72"/>
        <v>625000</v>
      </c>
      <c r="K525" s="2">
        <f t="shared" si="73"/>
        <v>750000</v>
      </c>
      <c r="L525" s="2">
        <f t="shared" si="74"/>
        <v>1000000</v>
      </c>
      <c r="M525" s="6">
        <f t="shared" si="75"/>
        <v>1.3212600000000001</v>
      </c>
      <c r="N525" t="str">
        <f t="shared" si="76"/>
        <v>125-150%</v>
      </c>
      <c r="O525" s="7">
        <f>MIN(I525,H525)*INDEX('2018_commission_structure'!$A$11:$I$14,MATCH(Calculations!$E525,'2018_commission_structure'!$A$11:$A$14,0),MATCH(Calculations!O$1,'2018_commission_structure'!$A$11:$I$11,0))</f>
        <v>50000</v>
      </c>
      <c r="P525" s="7">
        <f>IF($H525&gt;I525,MIN($H525-I525,J525-I525)*INDEX('2018_commission_structure'!$A$11:$I$14,MATCH(Calculations!$E525,'2018_commission_structure'!$A$11:$A$14,0), MATCH(Calculations!P$1,'2018_commission_structure'!$A$11:$I$11,0)),0)</f>
        <v>18750</v>
      </c>
      <c r="Q525" s="7">
        <f>IF($H525&gt;J525,MIN($H525-J525,K525-J525)*INDEX('2018_commission_structure'!$A$11:$I$14,MATCH(Calculations!$E525,'2018_commission_structure'!$A$11:$A$14,0), MATCH(Calculations!Q$1,'2018_commission_structure'!$A$11:$I$11,0)),0)</f>
        <v>6413.4</v>
      </c>
      <c r="R525" s="7">
        <f>IF($H525&gt;K525,MIN($H525-K525,L525-K525)*INDEX('2018_commission_structure'!$A$11:$I$14,MATCH(Calculations!$E525,'2018_commission_structure'!$A$11:$A$14,0), MATCH(Calculations!R$1,'2018_commission_structure'!$A$11:$I$11,0)),0)</f>
        <v>0</v>
      </c>
      <c r="S525" s="7">
        <f>IF(H525&gt;L525,(H525-L525)*INDEX('2018_commission_structure'!$A$11:$I$14,MATCH(Calculations!$E525,'2018_commission_structure'!$A$11:$A$14,0),MATCH(Calculations!S$1,'2018_commission_structure'!$A$11:$I$11,0)),0)</f>
        <v>0</v>
      </c>
      <c r="T525" s="7">
        <f t="shared" si="77"/>
        <v>75163.399999999994</v>
      </c>
      <c r="U525" s="7">
        <f t="shared" si="78"/>
        <v>121029.4</v>
      </c>
      <c r="V525" s="7">
        <f>MIN(H525,I525)*INDEX('2018_commission_structure'!$A$5:$J$8,MATCH(Calculations!$E525,'2018_commission_structure'!$A$5:$A$8,0),MATCH(Calculations!V$1,'2018_commission_structure'!$A$5:$J$5,0))</f>
        <v>60000</v>
      </c>
      <c r="W525" s="2">
        <f>IF($H525&gt;I525,MIN($H525-I525,J525-I525)*INDEX('2018_commission_structure'!$A$5:$J$8,MATCH(Calculations!$E525,'2018_commission_structure'!$A$5:$A$8,0),MATCH(Calculations!W$1,'2018_commission_structure'!$A$5:$J$5,0)),0)</f>
        <v>21250</v>
      </c>
      <c r="X525" s="2">
        <f>IF($H525&gt;J525,MIN($H525-J525,K525-J525)*INDEX('2018_commission_structure'!$A$5:$J$8,MATCH(Calculations!$E525,'2018_commission_structure'!$A$5:$A$8,0),MATCH(Calculations!X$1,'2018_commission_structure'!$A$5:$J$5,0)),0)</f>
        <v>7126</v>
      </c>
      <c r="Y525" s="2">
        <f>IF($H525&gt;K525,MIN($H525-K525,L525-K525)*INDEX('2018_commission_structure'!$A$5:$J$8,MATCH(Calculations!$E525,'2018_commission_structure'!$A$5:$A$8,0),MATCH(Calculations!Y$1,'2018_commission_structure'!$A$5:$J$5,0)),0)</f>
        <v>0</v>
      </c>
      <c r="Z525" s="2">
        <f xml:space="preserve"> IF(H525&gt;L525,(H525-L525)*INDEX('2018_commission_structure'!$A$11:$I$14,MATCH(Calculations!$E525,'2018_commission_structure'!$A$11:$A$14,0),MATCH(Calculations!Z$1,'2018_commission_structure'!$A$11:$I$11,0)),0)</f>
        <v>0</v>
      </c>
      <c r="AA525" s="7">
        <f t="shared" si="79"/>
        <v>88376</v>
      </c>
      <c r="AB525" s="7">
        <f t="shared" si="80"/>
        <v>134242</v>
      </c>
    </row>
    <row r="526" spans="1:28" x14ac:dyDescent="0.25">
      <c r="A526">
        <v>5975948169</v>
      </c>
      <c r="B526" t="s">
        <v>450</v>
      </c>
      <c r="C526" t="s">
        <v>451</v>
      </c>
      <c r="D526" t="str">
        <f>B526&amp;" "&amp;C526</f>
        <v>Merell Larose</v>
      </c>
      <c r="E526" t="s">
        <v>10</v>
      </c>
      <c r="F526">
        <v>122368</v>
      </c>
      <c r="G526">
        <f>COUNTIF(deals_closed!D:D,Calculations!A526)</f>
        <v>13</v>
      </c>
      <c r="H526" s="2">
        <f>SUMIF(deals_closed!D:D,Calculations!A526,deals_closed!C:C)</f>
        <v>416902</v>
      </c>
      <c r="I526" s="2">
        <f>VLOOKUP(E526,'2018_commission_structure'!$A$11:$I$14,9,FALSE)</f>
        <v>750000</v>
      </c>
      <c r="J526" s="2">
        <f t="shared" si="72"/>
        <v>937500</v>
      </c>
      <c r="K526" s="2">
        <f t="shared" si="73"/>
        <v>1125000</v>
      </c>
      <c r="L526" s="2">
        <f t="shared" si="74"/>
        <v>1500000</v>
      </c>
      <c r="M526" s="6">
        <f t="shared" si="75"/>
        <v>0.55586933333333333</v>
      </c>
      <c r="N526" t="str">
        <f t="shared" si="76"/>
        <v>0-100%</v>
      </c>
      <c r="O526" s="7">
        <f>MIN(I526,H526)*INDEX('2018_commission_structure'!$A$11:$I$14,MATCH(Calculations!$E526,'2018_commission_structure'!$A$11:$A$14,0),MATCH(Calculations!O$1,'2018_commission_structure'!$A$11:$I$11,0))</f>
        <v>62535.299999999996</v>
      </c>
      <c r="P526" s="7">
        <f>IF($H526&gt;I526,MIN($H526-I526,J526-I526)*INDEX('2018_commission_structure'!$A$11:$I$14,MATCH(Calculations!$E526,'2018_commission_structure'!$A$11:$A$14,0), MATCH(Calculations!P$1,'2018_commission_structure'!$A$11:$I$11,0)),0)</f>
        <v>0</v>
      </c>
      <c r="Q526" s="7">
        <f>IF($H526&gt;J526,MIN($H526-J526,K526-J526)*INDEX('2018_commission_structure'!$A$11:$I$14,MATCH(Calculations!$E526,'2018_commission_structure'!$A$11:$A$14,0), MATCH(Calculations!Q$1,'2018_commission_structure'!$A$11:$I$11,0)),0)</f>
        <v>0</v>
      </c>
      <c r="R526" s="7">
        <f>IF($H526&gt;K526,MIN($H526-K526,L526-K526)*INDEX('2018_commission_structure'!$A$11:$I$14,MATCH(Calculations!$E526,'2018_commission_structure'!$A$11:$A$14,0), MATCH(Calculations!R$1,'2018_commission_structure'!$A$11:$I$11,0)),0)</f>
        <v>0</v>
      </c>
      <c r="S526" s="7">
        <f>IF(H526&gt;L526,(H526-L526)*INDEX('2018_commission_structure'!$A$11:$I$14,MATCH(Calculations!$E526,'2018_commission_structure'!$A$11:$A$14,0),MATCH(Calculations!S$1,'2018_commission_structure'!$A$11:$I$11,0)),0)</f>
        <v>0</v>
      </c>
      <c r="T526" s="7">
        <f t="shared" si="77"/>
        <v>62535.299999999996</v>
      </c>
      <c r="U526" s="7">
        <f t="shared" si="78"/>
        <v>184903.3</v>
      </c>
      <c r="V526" s="7">
        <f>MIN(H526,I526)*INDEX('2018_commission_structure'!$A$5:$J$8,MATCH(Calculations!$E526,'2018_commission_structure'!$A$5:$A$8,0),MATCH(Calculations!V$1,'2018_commission_structure'!$A$5:$J$5,0))</f>
        <v>62535.299999999996</v>
      </c>
      <c r="W526" s="2">
        <f>IF($H526&gt;I526,MIN($H526-I526,J526-I526)*INDEX('2018_commission_structure'!$A$5:$J$8,MATCH(Calculations!$E526,'2018_commission_structure'!$A$5:$A$8,0),MATCH(Calculations!W$1,'2018_commission_structure'!$A$5:$J$5,0)),0)</f>
        <v>0</v>
      </c>
      <c r="X526" s="2">
        <f>IF($H526&gt;J526,MIN($H526-J526,K526-J526)*INDEX('2018_commission_structure'!$A$5:$J$8,MATCH(Calculations!$E526,'2018_commission_structure'!$A$5:$A$8,0),MATCH(Calculations!X$1,'2018_commission_structure'!$A$5:$J$5,0)),0)</f>
        <v>0</v>
      </c>
      <c r="Y526" s="2">
        <f>IF($H526&gt;K526,MIN($H526-K526,L526-K526)*INDEX('2018_commission_structure'!$A$5:$J$8,MATCH(Calculations!$E526,'2018_commission_structure'!$A$5:$A$8,0),MATCH(Calculations!Y$1,'2018_commission_structure'!$A$5:$J$5,0)),0)</f>
        <v>0</v>
      </c>
      <c r="Z526" s="2">
        <f xml:space="preserve"> IF(H526&gt;L526,(H526-L526)*INDEX('2018_commission_structure'!$A$11:$I$14,MATCH(Calculations!$E526,'2018_commission_structure'!$A$11:$A$14,0),MATCH(Calculations!Z$1,'2018_commission_structure'!$A$11:$I$11,0)),0)</f>
        <v>0</v>
      </c>
      <c r="AA526" s="7">
        <f t="shared" si="79"/>
        <v>62535.299999999996</v>
      </c>
      <c r="AB526" s="7">
        <f t="shared" si="80"/>
        <v>184903.3</v>
      </c>
    </row>
    <row r="527" spans="1:28" x14ac:dyDescent="0.25">
      <c r="A527">
        <v>9815158015</v>
      </c>
      <c r="B527" t="s">
        <v>1035</v>
      </c>
      <c r="C527" t="s">
        <v>1036</v>
      </c>
      <c r="D527" t="str">
        <f>B527&amp;" "&amp;C527</f>
        <v>Kiley Lartice</v>
      </c>
      <c r="E527" t="s">
        <v>7</v>
      </c>
      <c r="F527">
        <v>64013</v>
      </c>
      <c r="G527">
        <f>COUNTIF(deals_closed!D:D,Calculations!A527)</f>
        <v>22</v>
      </c>
      <c r="H527" s="2">
        <f>SUMIF(deals_closed!D:D,Calculations!A527,deals_closed!C:C)</f>
        <v>788832</v>
      </c>
      <c r="I527" s="2">
        <f>VLOOKUP(E527,'2018_commission_structure'!$A$11:$I$14,9,FALSE)</f>
        <v>500000</v>
      </c>
      <c r="J527" s="2">
        <f t="shared" si="72"/>
        <v>625000</v>
      </c>
      <c r="K527" s="2">
        <f t="shared" si="73"/>
        <v>750000</v>
      </c>
      <c r="L527" s="2">
        <f t="shared" si="74"/>
        <v>1000000</v>
      </c>
      <c r="M527" s="6">
        <f t="shared" si="75"/>
        <v>1.577664</v>
      </c>
      <c r="N527" t="str">
        <f t="shared" si="76"/>
        <v>150-200%</v>
      </c>
      <c r="O527" s="7">
        <f>MIN(I527,H527)*INDEX('2018_commission_structure'!$A$11:$I$14,MATCH(Calculations!$E527,'2018_commission_structure'!$A$11:$A$14,0),MATCH(Calculations!O$1,'2018_commission_structure'!$A$11:$I$11,0))</f>
        <v>50000</v>
      </c>
      <c r="P527" s="7">
        <f>IF($H527&gt;I527,MIN($H527-I527,J527-I527)*INDEX('2018_commission_structure'!$A$11:$I$14,MATCH(Calculations!$E527,'2018_commission_structure'!$A$11:$A$14,0), MATCH(Calculations!P$1,'2018_commission_structure'!$A$11:$I$11,0)),0)</f>
        <v>18750</v>
      </c>
      <c r="Q527" s="7">
        <f>IF($H527&gt;J527,MIN($H527-J527,K527-J527)*INDEX('2018_commission_structure'!$A$11:$I$14,MATCH(Calculations!$E527,'2018_commission_structure'!$A$11:$A$14,0), MATCH(Calculations!Q$1,'2018_commission_structure'!$A$11:$I$11,0)),0)</f>
        <v>22500</v>
      </c>
      <c r="R527" s="7">
        <f>IF($H527&gt;K527,MIN($H527-K527,L527-K527)*INDEX('2018_commission_structure'!$A$11:$I$14,MATCH(Calculations!$E527,'2018_commission_structure'!$A$11:$A$14,0), MATCH(Calculations!R$1,'2018_commission_structure'!$A$11:$I$11,0)),0)</f>
        <v>8543.0400000000009</v>
      </c>
      <c r="S527" s="7">
        <f>IF(H527&gt;L527,(H527-L527)*INDEX('2018_commission_structure'!$A$11:$I$14,MATCH(Calculations!$E527,'2018_commission_structure'!$A$11:$A$14,0),MATCH(Calculations!S$1,'2018_commission_structure'!$A$11:$I$11,0)),0)</f>
        <v>0</v>
      </c>
      <c r="T527" s="7">
        <f t="shared" si="77"/>
        <v>99793.040000000008</v>
      </c>
      <c r="U527" s="7">
        <f t="shared" si="78"/>
        <v>163806.04</v>
      </c>
      <c r="V527" s="7">
        <f>MIN(H527,I527)*INDEX('2018_commission_structure'!$A$5:$J$8,MATCH(Calculations!$E527,'2018_commission_structure'!$A$5:$A$8,0),MATCH(Calculations!V$1,'2018_commission_structure'!$A$5:$J$5,0))</f>
        <v>60000</v>
      </c>
      <c r="W527" s="2">
        <f>IF($H527&gt;I527,MIN($H527-I527,J527-I527)*INDEX('2018_commission_structure'!$A$5:$J$8,MATCH(Calculations!$E527,'2018_commission_structure'!$A$5:$A$8,0),MATCH(Calculations!W$1,'2018_commission_structure'!$A$5:$J$5,0)),0)</f>
        <v>21250</v>
      </c>
      <c r="X527" s="2">
        <f>IF($H527&gt;J527,MIN($H527-J527,K527-J527)*INDEX('2018_commission_structure'!$A$5:$J$8,MATCH(Calculations!$E527,'2018_commission_structure'!$A$5:$A$8,0),MATCH(Calculations!X$1,'2018_commission_structure'!$A$5:$J$5,0)),0)</f>
        <v>25000</v>
      </c>
      <c r="Y527" s="2">
        <f>IF($H527&gt;K527,MIN($H527-K527,L527-K527)*INDEX('2018_commission_structure'!$A$5:$J$8,MATCH(Calculations!$E527,'2018_commission_structure'!$A$5:$A$8,0),MATCH(Calculations!Y$1,'2018_commission_structure'!$A$5:$J$5,0)),0)</f>
        <v>8543.0400000000009</v>
      </c>
      <c r="Z527" s="2">
        <f xml:space="preserve"> IF(H527&gt;L527,(H527-L527)*INDEX('2018_commission_structure'!$A$11:$I$14,MATCH(Calculations!$E527,'2018_commission_structure'!$A$11:$A$14,0),MATCH(Calculations!Z$1,'2018_commission_structure'!$A$11:$I$11,0)),0)</f>
        <v>0</v>
      </c>
      <c r="AA527" s="7">
        <f t="shared" si="79"/>
        <v>114793.04000000001</v>
      </c>
      <c r="AB527" s="7">
        <f t="shared" si="80"/>
        <v>178806.04</v>
      </c>
    </row>
    <row r="528" spans="1:28" x14ac:dyDescent="0.25">
      <c r="A528">
        <v>5211527984</v>
      </c>
      <c r="B528" t="s">
        <v>1019</v>
      </c>
      <c r="C528" t="s">
        <v>1020</v>
      </c>
      <c r="D528" t="str">
        <f>B528&amp;" "&amp;C528</f>
        <v>Derk Latham</v>
      </c>
      <c r="E528" t="s">
        <v>7</v>
      </c>
      <c r="F528">
        <v>37869</v>
      </c>
      <c r="G528">
        <f>COUNTIF(deals_closed!D:D,Calculations!A528)</f>
        <v>26</v>
      </c>
      <c r="H528" s="2">
        <f>SUMIF(deals_closed!D:D,Calculations!A528,deals_closed!C:C)</f>
        <v>788945</v>
      </c>
      <c r="I528" s="2">
        <f>VLOOKUP(E528,'2018_commission_structure'!$A$11:$I$14,9,FALSE)</f>
        <v>500000</v>
      </c>
      <c r="J528" s="2">
        <f t="shared" si="72"/>
        <v>625000</v>
      </c>
      <c r="K528" s="2">
        <f t="shared" si="73"/>
        <v>750000</v>
      </c>
      <c r="L528" s="2">
        <f t="shared" si="74"/>
        <v>1000000</v>
      </c>
      <c r="M528" s="6">
        <f t="shared" si="75"/>
        <v>1.57789</v>
      </c>
      <c r="N528" t="str">
        <f t="shared" si="76"/>
        <v>150-200%</v>
      </c>
      <c r="O528" s="7">
        <f>MIN(I528,H528)*INDEX('2018_commission_structure'!$A$11:$I$14,MATCH(Calculations!$E528,'2018_commission_structure'!$A$11:$A$14,0),MATCH(Calculations!O$1,'2018_commission_structure'!$A$11:$I$11,0))</f>
        <v>50000</v>
      </c>
      <c r="P528" s="7">
        <f>IF($H528&gt;I528,MIN($H528-I528,J528-I528)*INDEX('2018_commission_structure'!$A$11:$I$14,MATCH(Calculations!$E528,'2018_commission_structure'!$A$11:$A$14,0), MATCH(Calculations!P$1,'2018_commission_structure'!$A$11:$I$11,0)),0)</f>
        <v>18750</v>
      </c>
      <c r="Q528" s="7">
        <f>IF($H528&gt;J528,MIN($H528-J528,K528-J528)*INDEX('2018_commission_structure'!$A$11:$I$14,MATCH(Calculations!$E528,'2018_commission_structure'!$A$11:$A$14,0), MATCH(Calculations!Q$1,'2018_commission_structure'!$A$11:$I$11,0)),0)</f>
        <v>22500</v>
      </c>
      <c r="R528" s="7">
        <f>IF($H528&gt;K528,MIN($H528-K528,L528-K528)*INDEX('2018_commission_structure'!$A$11:$I$14,MATCH(Calculations!$E528,'2018_commission_structure'!$A$11:$A$14,0), MATCH(Calculations!R$1,'2018_commission_structure'!$A$11:$I$11,0)),0)</f>
        <v>8567.9</v>
      </c>
      <c r="S528" s="7">
        <f>IF(H528&gt;L528,(H528-L528)*INDEX('2018_commission_structure'!$A$11:$I$14,MATCH(Calculations!$E528,'2018_commission_structure'!$A$11:$A$14,0),MATCH(Calculations!S$1,'2018_commission_structure'!$A$11:$I$11,0)),0)</f>
        <v>0</v>
      </c>
      <c r="T528" s="7">
        <f t="shared" si="77"/>
        <v>99817.9</v>
      </c>
      <c r="U528" s="7">
        <f t="shared" si="78"/>
        <v>137686.9</v>
      </c>
      <c r="V528" s="7">
        <f>MIN(H528,I528)*INDEX('2018_commission_structure'!$A$5:$J$8,MATCH(Calculations!$E528,'2018_commission_structure'!$A$5:$A$8,0),MATCH(Calculations!V$1,'2018_commission_structure'!$A$5:$J$5,0))</f>
        <v>60000</v>
      </c>
      <c r="W528" s="2">
        <f>IF($H528&gt;I528,MIN($H528-I528,J528-I528)*INDEX('2018_commission_structure'!$A$5:$J$8,MATCH(Calculations!$E528,'2018_commission_structure'!$A$5:$A$8,0),MATCH(Calculations!W$1,'2018_commission_structure'!$A$5:$J$5,0)),0)</f>
        <v>21250</v>
      </c>
      <c r="X528" s="2">
        <f>IF($H528&gt;J528,MIN($H528-J528,K528-J528)*INDEX('2018_commission_structure'!$A$5:$J$8,MATCH(Calculations!$E528,'2018_commission_structure'!$A$5:$A$8,0),MATCH(Calculations!X$1,'2018_commission_structure'!$A$5:$J$5,0)),0)</f>
        <v>25000</v>
      </c>
      <c r="Y528" s="2">
        <f>IF($H528&gt;K528,MIN($H528-K528,L528-K528)*INDEX('2018_commission_structure'!$A$5:$J$8,MATCH(Calculations!$E528,'2018_commission_structure'!$A$5:$A$8,0),MATCH(Calculations!Y$1,'2018_commission_structure'!$A$5:$J$5,0)),0)</f>
        <v>8567.9</v>
      </c>
      <c r="Z528" s="2">
        <f xml:space="preserve"> IF(H528&gt;L528,(H528-L528)*INDEX('2018_commission_structure'!$A$11:$I$14,MATCH(Calculations!$E528,'2018_commission_structure'!$A$11:$A$14,0),MATCH(Calculations!Z$1,'2018_commission_structure'!$A$11:$I$11,0)),0)</f>
        <v>0</v>
      </c>
      <c r="AA528" s="7">
        <f t="shared" si="79"/>
        <v>114817.9</v>
      </c>
      <c r="AB528" s="7">
        <f t="shared" si="80"/>
        <v>152686.9</v>
      </c>
    </row>
    <row r="529" spans="1:28" x14ac:dyDescent="0.25">
      <c r="A529">
        <v>6148235056</v>
      </c>
      <c r="B529" t="s">
        <v>1524</v>
      </c>
      <c r="C529" t="s">
        <v>1525</v>
      </c>
      <c r="D529" t="str">
        <f>B529&amp;" "&amp;C529</f>
        <v>Brandtr Lathwood</v>
      </c>
      <c r="E529" t="s">
        <v>10</v>
      </c>
      <c r="F529">
        <v>117912</v>
      </c>
      <c r="G529">
        <f>COUNTIF(deals_closed!D:D,Calculations!A529)</f>
        <v>21</v>
      </c>
      <c r="H529" s="2">
        <f>SUMIF(deals_closed!D:D,Calculations!A529,deals_closed!C:C)</f>
        <v>724454</v>
      </c>
      <c r="I529" s="2">
        <f>VLOOKUP(E529,'2018_commission_structure'!$A$11:$I$14,9,FALSE)</f>
        <v>750000</v>
      </c>
      <c r="J529" s="2">
        <f t="shared" si="72"/>
        <v>937500</v>
      </c>
      <c r="K529" s="2">
        <f t="shared" si="73"/>
        <v>1125000</v>
      </c>
      <c r="L529" s="2">
        <f t="shared" si="74"/>
        <v>1500000</v>
      </c>
      <c r="M529" s="6">
        <f t="shared" si="75"/>
        <v>0.96593866666666661</v>
      </c>
      <c r="N529" t="str">
        <f t="shared" si="76"/>
        <v>0-100%</v>
      </c>
      <c r="O529" s="7">
        <f>MIN(I529,H529)*INDEX('2018_commission_structure'!$A$11:$I$14,MATCH(Calculations!$E529,'2018_commission_structure'!$A$11:$A$14,0),MATCH(Calculations!O$1,'2018_commission_structure'!$A$11:$I$11,0))</f>
        <v>108668.09999999999</v>
      </c>
      <c r="P529" s="7">
        <f>IF($H529&gt;I529,MIN($H529-I529,J529-I529)*INDEX('2018_commission_structure'!$A$11:$I$14,MATCH(Calculations!$E529,'2018_commission_structure'!$A$11:$A$14,0), MATCH(Calculations!P$1,'2018_commission_structure'!$A$11:$I$11,0)),0)</f>
        <v>0</v>
      </c>
      <c r="Q529" s="7">
        <f>IF($H529&gt;J529,MIN($H529-J529,K529-J529)*INDEX('2018_commission_structure'!$A$11:$I$14,MATCH(Calculations!$E529,'2018_commission_structure'!$A$11:$A$14,0), MATCH(Calculations!Q$1,'2018_commission_structure'!$A$11:$I$11,0)),0)</f>
        <v>0</v>
      </c>
      <c r="R529" s="7">
        <f>IF($H529&gt;K529,MIN($H529-K529,L529-K529)*INDEX('2018_commission_structure'!$A$11:$I$14,MATCH(Calculations!$E529,'2018_commission_structure'!$A$11:$A$14,0), MATCH(Calculations!R$1,'2018_commission_structure'!$A$11:$I$11,0)),0)</f>
        <v>0</v>
      </c>
      <c r="S529" s="7">
        <f>IF(H529&gt;L529,(H529-L529)*INDEX('2018_commission_structure'!$A$11:$I$14,MATCH(Calculations!$E529,'2018_commission_structure'!$A$11:$A$14,0),MATCH(Calculations!S$1,'2018_commission_structure'!$A$11:$I$11,0)),0)</f>
        <v>0</v>
      </c>
      <c r="T529" s="7">
        <f t="shared" si="77"/>
        <v>108668.09999999999</v>
      </c>
      <c r="U529" s="7">
        <f t="shared" si="78"/>
        <v>226580.09999999998</v>
      </c>
      <c r="V529" s="7">
        <f>MIN(H529,I529)*INDEX('2018_commission_structure'!$A$5:$J$8,MATCH(Calculations!$E529,'2018_commission_structure'!$A$5:$A$8,0),MATCH(Calculations!V$1,'2018_commission_structure'!$A$5:$J$5,0))</f>
        <v>108668.09999999999</v>
      </c>
      <c r="W529" s="2">
        <f>IF($H529&gt;I529,MIN($H529-I529,J529-I529)*INDEX('2018_commission_structure'!$A$5:$J$8,MATCH(Calculations!$E529,'2018_commission_structure'!$A$5:$A$8,0),MATCH(Calculations!W$1,'2018_commission_structure'!$A$5:$J$5,0)),0)</f>
        <v>0</v>
      </c>
      <c r="X529" s="2">
        <f>IF($H529&gt;J529,MIN($H529-J529,K529-J529)*INDEX('2018_commission_structure'!$A$5:$J$8,MATCH(Calculations!$E529,'2018_commission_structure'!$A$5:$A$8,0),MATCH(Calculations!X$1,'2018_commission_structure'!$A$5:$J$5,0)),0)</f>
        <v>0</v>
      </c>
      <c r="Y529" s="2">
        <f>IF($H529&gt;K529,MIN($H529-K529,L529-K529)*INDEX('2018_commission_structure'!$A$5:$J$8,MATCH(Calculations!$E529,'2018_commission_structure'!$A$5:$A$8,0),MATCH(Calculations!Y$1,'2018_commission_structure'!$A$5:$J$5,0)),0)</f>
        <v>0</v>
      </c>
      <c r="Z529" s="2">
        <f xml:space="preserve"> IF(H529&gt;L529,(H529-L529)*INDEX('2018_commission_structure'!$A$11:$I$14,MATCH(Calculations!$E529,'2018_commission_structure'!$A$11:$A$14,0),MATCH(Calculations!Z$1,'2018_commission_structure'!$A$11:$I$11,0)),0)</f>
        <v>0</v>
      </c>
      <c r="AA529" s="7">
        <f t="shared" si="79"/>
        <v>108668.09999999999</v>
      </c>
      <c r="AB529" s="7">
        <f t="shared" si="80"/>
        <v>226580.09999999998</v>
      </c>
    </row>
    <row r="530" spans="1:28" x14ac:dyDescent="0.25">
      <c r="A530">
        <v>3075132195</v>
      </c>
      <c r="B530" t="s">
        <v>1732</v>
      </c>
      <c r="C530" t="s">
        <v>1733</v>
      </c>
      <c r="D530" t="str">
        <f>B530&amp;" "&amp;C530</f>
        <v>Trumaine Laundon</v>
      </c>
      <c r="E530" t="s">
        <v>7</v>
      </c>
      <c r="F530">
        <v>43870</v>
      </c>
      <c r="G530">
        <f>COUNTIF(deals_closed!D:D,Calculations!A530)</f>
        <v>15</v>
      </c>
      <c r="H530" s="2">
        <f>SUMIF(deals_closed!D:D,Calculations!A530,deals_closed!C:C)</f>
        <v>439483</v>
      </c>
      <c r="I530" s="2">
        <f>VLOOKUP(E530,'2018_commission_structure'!$A$11:$I$14,9,FALSE)</f>
        <v>500000</v>
      </c>
      <c r="J530" s="2">
        <f t="shared" si="72"/>
        <v>625000</v>
      </c>
      <c r="K530" s="2">
        <f t="shared" si="73"/>
        <v>750000</v>
      </c>
      <c r="L530" s="2">
        <f t="shared" si="74"/>
        <v>1000000</v>
      </c>
      <c r="M530" s="6">
        <f t="shared" si="75"/>
        <v>0.87896600000000003</v>
      </c>
      <c r="N530" t="str">
        <f t="shared" si="76"/>
        <v>0-100%</v>
      </c>
      <c r="O530" s="7">
        <f>MIN(I530,H530)*INDEX('2018_commission_structure'!$A$11:$I$14,MATCH(Calculations!$E530,'2018_commission_structure'!$A$11:$A$14,0),MATCH(Calculations!O$1,'2018_commission_structure'!$A$11:$I$11,0))</f>
        <v>43948.3</v>
      </c>
      <c r="P530" s="7">
        <f>IF($H530&gt;I530,MIN($H530-I530,J530-I530)*INDEX('2018_commission_structure'!$A$11:$I$14,MATCH(Calculations!$E530,'2018_commission_structure'!$A$11:$A$14,0), MATCH(Calculations!P$1,'2018_commission_structure'!$A$11:$I$11,0)),0)</f>
        <v>0</v>
      </c>
      <c r="Q530" s="7">
        <f>IF($H530&gt;J530,MIN($H530-J530,K530-J530)*INDEX('2018_commission_structure'!$A$11:$I$14,MATCH(Calculations!$E530,'2018_commission_structure'!$A$11:$A$14,0), MATCH(Calculations!Q$1,'2018_commission_structure'!$A$11:$I$11,0)),0)</f>
        <v>0</v>
      </c>
      <c r="R530" s="7">
        <f>IF($H530&gt;K530,MIN($H530-K530,L530-K530)*INDEX('2018_commission_structure'!$A$11:$I$14,MATCH(Calculations!$E530,'2018_commission_structure'!$A$11:$A$14,0), MATCH(Calculations!R$1,'2018_commission_structure'!$A$11:$I$11,0)),0)</f>
        <v>0</v>
      </c>
      <c r="S530" s="7">
        <f>IF(H530&gt;L530,(H530-L530)*INDEX('2018_commission_structure'!$A$11:$I$14,MATCH(Calculations!$E530,'2018_commission_structure'!$A$11:$A$14,0),MATCH(Calculations!S$1,'2018_commission_structure'!$A$11:$I$11,0)),0)</f>
        <v>0</v>
      </c>
      <c r="T530" s="7">
        <f t="shared" si="77"/>
        <v>43948.3</v>
      </c>
      <c r="U530" s="7">
        <f t="shared" si="78"/>
        <v>87818.3</v>
      </c>
      <c r="V530" s="7">
        <f>MIN(H530,I530)*INDEX('2018_commission_structure'!$A$5:$J$8,MATCH(Calculations!$E530,'2018_commission_structure'!$A$5:$A$8,0),MATCH(Calculations!V$1,'2018_commission_structure'!$A$5:$J$5,0))</f>
        <v>52737.96</v>
      </c>
      <c r="W530" s="2">
        <f>IF($H530&gt;I530,MIN($H530-I530,J530-I530)*INDEX('2018_commission_structure'!$A$5:$J$8,MATCH(Calculations!$E530,'2018_commission_structure'!$A$5:$A$8,0),MATCH(Calculations!W$1,'2018_commission_structure'!$A$5:$J$5,0)),0)</f>
        <v>0</v>
      </c>
      <c r="X530" s="2">
        <f>IF($H530&gt;J530,MIN($H530-J530,K530-J530)*INDEX('2018_commission_structure'!$A$5:$J$8,MATCH(Calculations!$E530,'2018_commission_structure'!$A$5:$A$8,0),MATCH(Calculations!X$1,'2018_commission_structure'!$A$5:$J$5,0)),0)</f>
        <v>0</v>
      </c>
      <c r="Y530" s="2">
        <f>IF($H530&gt;K530,MIN($H530-K530,L530-K530)*INDEX('2018_commission_structure'!$A$5:$J$8,MATCH(Calculations!$E530,'2018_commission_structure'!$A$5:$A$8,0),MATCH(Calculations!Y$1,'2018_commission_structure'!$A$5:$J$5,0)),0)</f>
        <v>0</v>
      </c>
      <c r="Z530" s="2">
        <f xml:space="preserve"> IF(H530&gt;L530,(H530-L530)*INDEX('2018_commission_structure'!$A$11:$I$14,MATCH(Calculations!$E530,'2018_commission_structure'!$A$11:$A$14,0),MATCH(Calculations!Z$1,'2018_commission_structure'!$A$11:$I$11,0)),0)</f>
        <v>0</v>
      </c>
      <c r="AA530" s="7">
        <f t="shared" si="79"/>
        <v>52737.96</v>
      </c>
      <c r="AB530" s="7">
        <f t="shared" si="80"/>
        <v>96607.959999999992</v>
      </c>
    </row>
    <row r="531" spans="1:28" x14ac:dyDescent="0.25">
      <c r="A531">
        <v>7493076952</v>
      </c>
      <c r="B531" t="s">
        <v>339</v>
      </c>
      <c r="C531" t="s">
        <v>340</v>
      </c>
      <c r="D531" t="str">
        <f>B531&amp;" "&amp;C531</f>
        <v>Jo ann Laurand</v>
      </c>
      <c r="E531" t="s">
        <v>29</v>
      </c>
      <c r="F531">
        <v>57201</v>
      </c>
      <c r="G531">
        <f>COUNTIF(deals_closed!D:D,Calculations!A531)</f>
        <v>22</v>
      </c>
      <c r="H531" s="2">
        <f>SUMIF(deals_closed!D:D,Calculations!A531,deals_closed!C:C)</f>
        <v>735952</v>
      </c>
      <c r="I531" s="2">
        <f>VLOOKUP(E531,'2018_commission_structure'!$A$11:$I$14,9,FALSE)</f>
        <v>600000</v>
      </c>
      <c r="J531" s="2">
        <f t="shared" si="72"/>
        <v>750000</v>
      </c>
      <c r="K531" s="2">
        <f t="shared" si="73"/>
        <v>900000</v>
      </c>
      <c r="L531" s="2">
        <f t="shared" si="74"/>
        <v>1200000</v>
      </c>
      <c r="M531" s="6">
        <f t="shared" si="75"/>
        <v>1.2265866666666667</v>
      </c>
      <c r="N531" t="str">
        <f t="shared" si="76"/>
        <v>100-125%</v>
      </c>
      <c r="O531" s="7">
        <f>MIN(I531,H531)*INDEX('2018_commission_structure'!$A$11:$I$14,MATCH(Calculations!$E531,'2018_commission_structure'!$A$11:$A$14,0),MATCH(Calculations!O$1,'2018_commission_structure'!$A$11:$I$11,0))</f>
        <v>78000</v>
      </c>
      <c r="P531" s="7">
        <f>IF($H531&gt;I531,MIN($H531-I531,J531-I531)*INDEX('2018_commission_structure'!$A$11:$I$14,MATCH(Calculations!$E531,'2018_commission_structure'!$A$11:$A$14,0), MATCH(Calculations!P$1,'2018_commission_structure'!$A$11:$I$11,0)),0)</f>
        <v>23111.84</v>
      </c>
      <c r="Q531" s="7">
        <f>IF($H531&gt;J531,MIN($H531-J531,K531-J531)*INDEX('2018_commission_structure'!$A$11:$I$14,MATCH(Calculations!$E531,'2018_commission_structure'!$A$11:$A$14,0), MATCH(Calculations!Q$1,'2018_commission_structure'!$A$11:$I$11,0)),0)</f>
        <v>0</v>
      </c>
      <c r="R531" s="7">
        <f>IF($H531&gt;K531,MIN($H531-K531,L531-K531)*INDEX('2018_commission_structure'!$A$11:$I$14,MATCH(Calculations!$E531,'2018_commission_structure'!$A$11:$A$14,0), MATCH(Calculations!R$1,'2018_commission_structure'!$A$11:$I$11,0)),0)</f>
        <v>0</v>
      </c>
      <c r="S531" s="7">
        <f>IF(H531&gt;L531,(H531-L531)*INDEX('2018_commission_structure'!$A$11:$I$14,MATCH(Calculations!$E531,'2018_commission_structure'!$A$11:$A$14,0),MATCH(Calculations!S$1,'2018_commission_structure'!$A$11:$I$11,0)),0)</f>
        <v>0</v>
      </c>
      <c r="T531" s="7">
        <f t="shared" si="77"/>
        <v>101111.84</v>
      </c>
      <c r="U531" s="7">
        <f t="shared" si="78"/>
        <v>158312.84</v>
      </c>
      <c r="V531" s="7">
        <f>MIN(H531,I531)*INDEX('2018_commission_structure'!$A$5:$J$8,MATCH(Calculations!$E531,'2018_commission_structure'!$A$5:$A$8,0),MATCH(Calculations!V$1,'2018_commission_structure'!$A$5:$J$5,0))</f>
        <v>90000</v>
      </c>
      <c r="W531" s="2">
        <f>IF($H531&gt;I531,MIN($H531-I531,J531-I531)*INDEX('2018_commission_structure'!$A$5:$J$8,MATCH(Calculations!$E531,'2018_commission_structure'!$A$5:$A$8,0),MATCH(Calculations!W$1,'2018_commission_structure'!$A$5:$J$5,0)),0)</f>
        <v>24471.360000000001</v>
      </c>
      <c r="X531" s="2">
        <f>IF($H531&gt;J531,MIN($H531-J531,K531-J531)*INDEX('2018_commission_structure'!$A$5:$J$8,MATCH(Calculations!$E531,'2018_commission_structure'!$A$5:$A$8,0),MATCH(Calculations!X$1,'2018_commission_structure'!$A$5:$J$5,0)),0)</f>
        <v>0</v>
      </c>
      <c r="Y531" s="2">
        <f>IF($H531&gt;K531,MIN($H531-K531,L531-K531)*INDEX('2018_commission_structure'!$A$5:$J$8,MATCH(Calculations!$E531,'2018_commission_structure'!$A$5:$A$8,0),MATCH(Calculations!Y$1,'2018_commission_structure'!$A$5:$J$5,0)),0)</f>
        <v>0</v>
      </c>
      <c r="Z531" s="2">
        <f xml:space="preserve"> IF(H531&gt;L531,(H531-L531)*INDEX('2018_commission_structure'!$A$11:$I$14,MATCH(Calculations!$E531,'2018_commission_structure'!$A$11:$A$14,0),MATCH(Calculations!Z$1,'2018_commission_structure'!$A$11:$I$11,0)),0)</f>
        <v>0</v>
      </c>
      <c r="AA531" s="7">
        <f t="shared" si="79"/>
        <v>114471.36</v>
      </c>
      <c r="AB531" s="7">
        <f t="shared" si="80"/>
        <v>171672.36</v>
      </c>
    </row>
    <row r="532" spans="1:28" x14ac:dyDescent="0.25">
      <c r="A532">
        <v>5074304008</v>
      </c>
      <c r="B532" t="s">
        <v>163</v>
      </c>
      <c r="C532" t="s">
        <v>164</v>
      </c>
      <c r="D532" t="str">
        <f>B532&amp;" "&amp;C532</f>
        <v>Constantin Laurisch</v>
      </c>
      <c r="E532" t="s">
        <v>29</v>
      </c>
      <c r="F532">
        <v>62375</v>
      </c>
      <c r="G532">
        <f>COUNTIF(deals_closed!D:D,Calculations!A532)</f>
        <v>20</v>
      </c>
      <c r="H532" s="2">
        <f>SUMIF(deals_closed!D:D,Calculations!A532,deals_closed!C:C)</f>
        <v>844242</v>
      </c>
      <c r="I532" s="2">
        <f>VLOOKUP(E532,'2018_commission_structure'!$A$11:$I$14,9,FALSE)</f>
        <v>600000</v>
      </c>
      <c r="J532" s="2">
        <f t="shared" si="72"/>
        <v>750000</v>
      </c>
      <c r="K532" s="2">
        <f t="shared" si="73"/>
        <v>900000</v>
      </c>
      <c r="L532" s="2">
        <f t="shared" si="74"/>
        <v>1200000</v>
      </c>
      <c r="M532" s="6">
        <f t="shared" si="75"/>
        <v>1.40707</v>
      </c>
      <c r="N532" t="str">
        <f t="shared" si="76"/>
        <v>125-150%</v>
      </c>
      <c r="O532" s="7">
        <f>MIN(I532,H532)*INDEX('2018_commission_structure'!$A$11:$I$14,MATCH(Calculations!$E532,'2018_commission_structure'!$A$11:$A$14,0),MATCH(Calculations!O$1,'2018_commission_structure'!$A$11:$I$11,0))</f>
        <v>78000</v>
      </c>
      <c r="P532" s="7">
        <f>IF($H532&gt;I532,MIN($H532-I532,J532-I532)*INDEX('2018_commission_structure'!$A$11:$I$14,MATCH(Calculations!$E532,'2018_commission_structure'!$A$11:$A$14,0), MATCH(Calculations!P$1,'2018_commission_structure'!$A$11:$I$11,0)),0)</f>
        <v>25500.000000000004</v>
      </c>
      <c r="Q532" s="7">
        <f>IF($H532&gt;J532,MIN($H532-J532,K532-J532)*INDEX('2018_commission_structure'!$A$11:$I$14,MATCH(Calculations!$E532,'2018_commission_structure'!$A$11:$A$14,0), MATCH(Calculations!Q$1,'2018_commission_structure'!$A$11:$I$11,0)),0)</f>
        <v>19790.82</v>
      </c>
      <c r="R532" s="7">
        <f>IF($H532&gt;K532,MIN($H532-K532,L532-K532)*INDEX('2018_commission_structure'!$A$11:$I$14,MATCH(Calculations!$E532,'2018_commission_structure'!$A$11:$A$14,0), MATCH(Calculations!R$1,'2018_commission_structure'!$A$11:$I$11,0)),0)</f>
        <v>0</v>
      </c>
      <c r="S532" s="7">
        <f>IF(H532&gt;L532,(H532-L532)*INDEX('2018_commission_structure'!$A$11:$I$14,MATCH(Calculations!$E532,'2018_commission_structure'!$A$11:$A$14,0),MATCH(Calculations!S$1,'2018_commission_structure'!$A$11:$I$11,0)),0)</f>
        <v>0</v>
      </c>
      <c r="T532" s="7">
        <f t="shared" si="77"/>
        <v>123290.82</v>
      </c>
      <c r="U532" s="7">
        <f t="shared" si="78"/>
        <v>185665.82</v>
      </c>
      <c r="V532" s="7">
        <f>MIN(H532,I532)*INDEX('2018_commission_structure'!$A$5:$J$8,MATCH(Calculations!$E532,'2018_commission_structure'!$A$5:$A$8,0),MATCH(Calculations!V$1,'2018_commission_structure'!$A$5:$J$5,0))</f>
        <v>90000</v>
      </c>
      <c r="W532" s="2">
        <f>IF($H532&gt;I532,MIN($H532-I532,J532-I532)*INDEX('2018_commission_structure'!$A$5:$J$8,MATCH(Calculations!$E532,'2018_commission_structure'!$A$5:$A$8,0),MATCH(Calculations!W$1,'2018_commission_structure'!$A$5:$J$5,0)),0)</f>
        <v>27000</v>
      </c>
      <c r="X532" s="2">
        <f>IF($H532&gt;J532,MIN($H532-J532,K532-J532)*INDEX('2018_commission_structure'!$A$5:$J$8,MATCH(Calculations!$E532,'2018_commission_structure'!$A$5:$A$8,0),MATCH(Calculations!X$1,'2018_commission_structure'!$A$5:$J$5,0)),0)</f>
        <v>23560.5</v>
      </c>
      <c r="Y532" s="2">
        <f>IF($H532&gt;K532,MIN($H532-K532,L532-K532)*INDEX('2018_commission_structure'!$A$5:$J$8,MATCH(Calculations!$E532,'2018_commission_structure'!$A$5:$A$8,0),MATCH(Calculations!Y$1,'2018_commission_structure'!$A$5:$J$5,0)),0)</f>
        <v>0</v>
      </c>
      <c r="Z532" s="2">
        <f xml:space="preserve"> IF(H532&gt;L532,(H532-L532)*INDEX('2018_commission_structure'!$A$11:$I$14,MATCH(Calculations!$E532,'2018_commission_structure'!$A$11:$A$14,0),MATCH(Calculations!Z$1,'2018_commission_structure'!$A$11:$I$11,0)),0)</f>
        <v>0</v>
      </c>
      <c r="AA532" s="7">
        <f t="shared" si="79"/>
        <v>140560.5</v>
      </c>
      <c r="AB532" s="7">
        <f t="shared" si="80"/>
        <v>202935.5</v>
      </c>
    </row>
    <row r="533" spans="1:28" x14ac:dyDescent="0.25">
      <c r="A533">
        <v>2045928187</v>
      </c>
      <c r="B533" t="s">
        <v>1881</v>
      </c>
      <c r="C533" t="s">
        <v>1882</v>
      </c>
      <c r="D533" t="str">
        <f>B533&amp;" "&amp;C533</f>
        <v>Keelby Lawie</v>
      </c>
      <c r="E533" t="s">
        <v>7</v>
      </c>
      <c r="F533">
        <v>33035</v>
      </c>
      <c r="G533">
        <f>COUNTIF(deals_closed!D:D,Calculations!A533)</f>
        <v>11</v>
      </c>
      <c r="H533" s="2">
        <f>SUMIF(deals_closed!D:D,Calculations!A533,deals_closed!C:C)</f>
        <v>423642</v>
      </c>
      <c r="I533" s="2">
        <f>VLOOKUP(E533,'2018_commission_structure'!$A$11:$I$14,9,FALSE)</f>
        <v>500000</v>
      </c>
      <c r="J533" s="2">
        <f t="shared" si="72"/>
        <v>625000</v>
      </c>
      <c r="K533" s="2">
        <f t="shared" si="73"/>
        <v>750000</v>
      </c>
      <c r="L533" s="2">
        <f t="shared" si="74"/>
        <v>1000000</v>
      </c>
      <c r="M533" s="6">
        <f t="shared" si="75"/>
        <v>0.84728400000000004</v>
      </c>
      <c r="N533" t="str">
        <f t="shared" si="76"/>
        <v>0-100%</v>
      </c>
      <c r="O533" s="7">
        <f>MIN(I533,H533)*INDEX('2018_commission_structure'!$A$11:$I$14,MATCH(Calculations!$E533,'2018_commission_structure'!$A$11:$A$14,0),MATCH(Calculations!O$1,'2018_commission_structure'!$A$11:$I$11,0))</f>
        <v>42364.200000000004</v>
      </c>
      <c r="P533" s="7">
        <f>IF($H533&gt;I533,MIN($H533-I533,J533-I533)*INDEX('2018_commission_structure'!$A$11:$I$14,MATCH(Calculations!$E533,'2018_commission_structure'!$A$11:$A$14,0), MATCH(Calculations!P$1,'2018_commission_structure'!$A$11:$I$11,0)),0)</f>
        <v>0</v>
      </c>
      <c r="Q533" s="7">
        <f>IF($H533&gt;J533,MIN($H533-J533,K533-J533)*INDEX('2018_commission_structure'!$A$11:$I$14,MATCH(Calculations!$E533,'2018_commission_structure'!$A$11:$A$14,0), MATCH(Calculations!Q$1,'2018_commission_structure'!$A$11:$I$11,0)),0)</f>
        <v>0</v>
      </c>
      <c r="R533" s="7">
        <f>IF($H533&gt;K533,MIN($H533-K533,L533-K533)*INDEX('2018_commission_structure'!$A$11:$I$14,MATCH(Calculations!$E533,'2018_commission_structure'!$A$11:$A$14,0), MATCH(Calculations!R$1,'2018_commission_structure'!$A$11:$I$11,0)),0)</f>
        <v>0</v>
      </c>
      <c r="S533" s="7">
        <f>IF(H533&gt;L533,(H533-L533)*INDEX('2018_commission_structure'!$A$11:$I$14,MATCH(Calculations!$E533,'2018_commission_structure'!$A$11:$A$14,0),MATCH(Calculations!S$1,'2018_commission_structure'!$A$11:$I$11,0)),0)</f>
        <v>0</v>
      </c>
      <c r="T533" s="7">
        <f t="shared" si="77"/>
        <v>42364.200000000004</v>
      </c>
      <c r="U533" s="7">
        <f t="shared" si="78"/>
        <v>75399.200000000012</v>
      </c>
      <c r="V533" s="7">
        <f>MIN(H533,I533)*INDEX('2018_commission_structure'!$A$5:$J$8,MATCH(Calculations!$E533,'2018_commission_structure'!$A$5:$A$8,0),MATCH(Calculations!V$1,'2018_commission_structure'!$A$5:$J$5,0))</f>
        <v>50837.04</v>
      </c>
      <c r="W533" s="2">
        <f>IF($H533&gt;I533,MIN($H533-I533,J533-I533)*INDEX('2018_commission_structure'!$A$5:$J$8,MATCH(Calculations!$E533,'2018_commission_structure'!$A$5:$A$8,0),MATCH(Calculations!W$1,'2018_commission_structure'!$A$5:$J$5,0)),0)</f>
        <v>0</v>
      </c>
      <c r="X533" s="2">
        <f>IF($H533&gt;J533,MIN($H533-J533,K533-J533)*INDEX('2018_commission_structure'!$A$5:$J$8,MATCH(Calculations!$E533,'2018_commission_structure'!$A$5:$A$8,0),MATCH(Calculations!X$1,'2018_commission_structure'!$A$5:$J$5,0)),0)</f>
        <v>0</v>
      </c>
      <c r="Y533" s="2">
        <f>IF($H533&gt;K533,MIN($H533-K533,L533-K533)*INDEX('2018_commission_structure'!$A$5:$J$8,MATCH(Calculations!$E533,'2018_commission_structure'!$A$5:$A$8,0),MATCH(Calculations!Y$1,'2018_commission_structure'!$A$5:$J$5,0)),0)</f>
        <v>0</v>
      </c>
      <c r="Z533" s="2">
        <f xml:space="preserve"> IF(H533&gt;L533,(H533-L533)*INDEX('2018_commission_structure'!$A$11:$I$14,MATCH(Calculations!$E533,'2018_commission_structure'!$A$11:$A$14,0),MATCH(Calculations!Z$1,'2018_commission_structure'!$A$11:$I$11,0)),0)</f>
        <v>0</v>
      </c>
      <c r="AA533" s="7">
        <f t="shared" si="79"/>
        <v>50837.04</v>
      </c>
      <c r="AB533" s="7">
        <f t="shared" si="80"/>
        <v>83872.040000000008</v>
      </c>
    </row>
    <row r="534" spans="1:28" x14ac:dyDescent="0.25">
      <c r="A534">
        <v>4011453366</v>
      </c>
      <c r="B534" t="s">
        <v>753</v>
      </c>
      <c r="C534" t="s">
        <v>754</v>
      </c>
      <c r="D534" t="str">
        <f>B534&amp;" "&amp;C534</f>
        <v>Maryjo Laxe</v>
      </c>
      <c r="E534" t="s">
        <v>10</v>
      </c>
      <c r="F534">
        <v>113851</v>
      </c>
      <c r="G534">
        <f>COUNTIF(deals_closed!D:D,Calculations!A534)</f>
        <v>20</v>
      </c>
      <c r="H534" s="2">
        <f>SUMIF(deals_closed!D:D,Calculations!A534,deals_closed!C:C)</f>
        <v>668997</v>
      </c>
      <c r="I534" s="2">
        <f>VLOOKUP(E534,'2018_commission_structure'!$A$11:$I$14,9,FALSE)</f>
        <v>750000</v>
      </c>
      <c r="J534" s="2">
        <f t="shared" si="72"/>
        <v>937500</v>
      </c>
      <c r="K534" s="2">
        <f t="shared" si="73"/>
        <v>1125000</v>
      </c>
      <c r="L534" s="2">
        <f t="shared" si="74"/>
        <v>1500000</v>
      </c>
      <c r="M534" s="6">
        <f t="shared" si="75"/>
        <v>0.89199600000000001</v>
      </c>
      <c r="N534" t="str">
        <f t="shared" si="76"/>
        <v>0-100%</v>
      </c>
      <c r="O534" s="7">
        <f>MIN(I534,H534)*INDEX('2018_commission_structure'!$A$11:$I$14,MATCH(Calculations!$E534,'2018_commission_structure'!$A$11:$A$14,0),MATCH(Calculations!O$1,'2018_commission_structure'!$A$11:$I$11,0))</f>
        <v>100349.55</v>
      </c>
      <c r="P534" s="7">
        <f>IF($H534&gt;I534,MIN($H534-I534,J534-I534)*INDEX('2018_commission_structure'!$A$11:$I$14,MATCH(Calculations!$E534,'2018_commission_structure'!$A$11:$A$14,0), MATCH(Calculations!P$1,'2018_commission_structure'!$A$11:$I$11,0)),0)</f>
        <v>0</v>
      </c>
      <c r="Q534" s="7">
        <f>IF($H534&gt;J534,MIN($H534-J534,K534-J534)*INDEX('2018_commission_structure'!$A$11:$I$14,MATCH(Calculations!$E534,'2018_commission_structure'!$A$11:$A$14,0), MATCH(Calculations!Q$1,'2018_commission_structure'!$A$11:$I$11,0)),0)</f>
        <v>0</v>
      </c>
      <c r="R534" s="7">
        <f>IF($H534&gt;K534,MIN($H534-K534,L534-K534)*INDEX('2018_commission_structure'!$A$11:$I$14,MATCH(Calculations!$E534,'2018_commission_structure'!$A$11:$A$14,0), MATCH(Calculations!R$1,'2018_commission_structure'!$A$11:$I$11,0)),0)</f>
        <v>0</v>
      </c>
      <c r="S534" s="7">
        <f>IF(H534&gt;L534,(H534-L534)*INDEX('2018_commission_structure'!$A$11:$I$14,MATCH(Calculations!$E534,'2018_commission_structure'!$A$11:$A$14,0),MATCH(Calculations!S$1,'2018_commission_structure'!$A$11:$I$11,0)),0)</f>
        <v>0</v>
      </c>
      <c r="T534" s="7">
        <f t="shared" si="77"/>
        <v>100349.55</v>
      </c>
      <c r="U534" s="7">
        <f t="shared" si="78"/>
        <v>214200.55</v>
      </c>
      <c r="V534" s="7">
        <f>MIN(H534,I534)*INDEX('2018_commission_structure'!$A$5:$J$8,MATCH(Calculations!$E534,'2018_commission_structure'!$A$5:$A$8,0),MATCH(Calculations!V$1,'2018_commission_structure'!$A$5:$J$5,0))</f>
        <v>100349.55</v>
      </c>
      <c r="W534" s="2">
        <f>IF($H534&gt;I534,MIN($H534-I534,J534-I534)*INDEX('2018_commission_structure'!$A$5:$J$8,MATCH(Calculations!$E534,'2018_commission_structure'!$A$5:$A$8,0),MATCH(Calculations!W$1,'2018_commission_structure'!$A$5:$J$5,0)),0)</f>
        <v>0</v>
      </c>
      <c r="X534" s="2">
        <f>IF($H534&gt;J534,MIN($H534-J534,K534-J534)*INDEX('2018_commission_structure'!$A$5:$J$8,MATCH(Calculations!$E534,'2018_commission_structure'!$A$5:$A$8,0),MATCH(Calculations!X$1,'2018_commission_structure'!$A$5:$J$5,0)),0)</f>
        <v>0</v>
      </c>
      <c r="Y534" s="2">
        <f>IF($H534&gt;K534,MIN($H534-K534,L534-K534)*INDEX('2018_commission_structure'!$A$5:$J$8,MATCH(Calculations!$E534,'2018_commission_structure'!$A$5:$A$8,0),MATCH(Calculations!Y$1,'2018_commission_structure'!$A$5:$J$5,0)),0)</f>
        <v>0</v>
      </c>
      <c r="Z534" s="2">
        <f xml:space="preserve"> IF(H534&gt;L534,(H534-L534)*INDEX('2018_commission_structure'!$A$11:$I$14,MATCH(Calculations!$E534,'2018_commission_structure'!$A$11:$A$14,0),MATCH(Calculations!Z$1,'2018_commission_structure'!$A$11:$I$11,0)),0)</f>
        <v>0</v>
      </c>
      <c r="AA534" s="7">
        <f t="shared" si="79"/>
        <v>100349.55</v>
      </c>
      <c r="AB534" s="7">
        <f t="shared" si="80"/>
        <v>214200.55</v>
      </c>
    </row>
    <row r="535" spans="1:28" x14ac:dyDescent="0.25">
      <c r="A535">
        <v>4499766028</v>
      </c>
      <c r="B535" t="s">
        <v>266</v>
      </c>
      <c r="C535" t="s">
        <v>267</v>
      </c>
      <c r="D535" t="str">
        <f>B535&amp;" "&amp;C535</f>
        <v>Augustine Layne</v>
      </c>
      <c r="E535" t="s">
        <v>7</v>
      </c>
      <c r="F535">
        <v>53063</v>
      </c>
      <c r="G535">
        <f>COUNTIF(deals_closed!D:D,Calculations!A535)</f>
        <v>17</v>
      </c>
      <c r="H535" s="2">
        <f>SUMIF(deals_closed!D:D,Calculations!A535,deals_closed!C:C)</f>
        <v>613556</v>
      </c>
      <c r="I535" s="2">
        <f>VLOOKUP(E535,'2018_commission_structure'!$A$11:$I$14,9,FALSE)</f>
        <v>500000</v>
      </c>
      <c r="J535" s="2">
        <f t="shared" si="72"/>
        <v>625000</v>
      </c>
      <c r="K535" s="2">
        <f t="shared" si="73"/>
        <v>750000</v>
      </c>
      <c r="L535" s="2">
        <f t="shared" si="74"/>
        <v>1000000</v>
      </c>
      <c r="M535" s="6">
        <f t="shared" si="75"/>
        <v>1.227112</v>
      </c>
      <c r="N535" t="str">
        <f t="shared" si="76"/>
        <v>100-125%</v>
      </c>
      <c r="O535" s="7">
        <f>MIN(I535,H535)*INDEX('2018_commission_structure'!$A$11:$I$14,MATCH(Calculations!$E535,'2018_commission_structure'!$A$11:$A$14,0),MATCH(Calculations!O$1,'2018_commission_structure'!$A$11:$I$11,0))</f>
        <v>50000</v>
      </c>
      <c r="P535" s="7">
        <f>IF($H535&gt;I535,MIN($H535-I535,J535-I535)*INDEX('2018_commission_structure'!$A$11:$I$14,MATCH(Calculations!$E535,'2018_commission_structure'!$A$11:$A$14,0), MATCH(Calculations!P$1,'2018_commission_structure'!$A$11:$I$11,0)),0)</f>
        <v>17033.399999999998</v>
      </c>
      <c r="Q535" s="7">
        <f>IF($H535&gt;J535,MIN($H535-J535,K535-J535)*INDEX('2018_commission_structure'!$A$11:$I$14,MATCH(Calculations!$E535,'2018_commission_structure'!$A$11:$A$14,0), MATCH(Calculations!Q$1,'2018_commission_structure'!$A$11:$I$11,0)),0)</f>
        <v>0</v>
      </c>
      <c r="R535" s="7">
        <f>IF($H535&gt;K535,MIN($H535-K535,L535-K535)*INDEX('2018_commission_structure'!$A$11:$I$14,MATCH(Calculations!$E535,'2018_commission_structure'!$A$11:$A$14,0), MATCH(Calculations!R$1,'2018_commission_structure'!$A$11:$I$11,0)),0)</f>
        <v>0</v>
      </c>
      <c r="S535" s="7">
        <f>IF(H535&gt;L535,(H535-L535)*INDEX('2018_commission_structure'!$A$11:$I$14,MATCH(Calculations!$E535,'2018_commission_structure'!$A$11:$A$14,0),MATCH(Calculations!S$1,'2018_commission_structure'!$A$11:$I$11,0)),0)</f>
        <v>0</v>
      </c>
      <c r="T535" s="7">
        <f t="shared" si="77"/>
        <v>67033.399999999994</v>
      </c>
      <c r="U535" s="7">
        <f t="shared" si="78"/>
        <v>120096.4</v>
      </c>
      <c r="V535" s="7">
        <f>MIN(H535,I535)*INDEX('2018_commission_structure'!$A$5:$J$8,MATCH(Calculations!$E535,'2018_commission_structure'!$A$5:$A$8,0),MATCH(Calculations!V$1,'2018_commission_structure'!$A$5:$J$5,0))</f>
        <v>60000</v>
      </c>
      <c r="W535" s="2">
        <f>IF($H535&gt;I535,MIN($H535-I535,J535-I535)*INDEX('2018_commission_structure'!$A$5:$J$8,MATCH(Calculations!$E535,'2018_commission_structure'!$A$5:$A$8,0),MATCH(Calculations!W$1,'2018_commission_structure'!$A$5:$J$5,0)),0)</f>
        <v>19304.52</v>
      </c>
      <c r="X535" s="2">
        <f>IF($H535&gt;J535,MIN($H535-J535,K535-J535)*INDEX('2018_commission_structure'!$A$5:$J$8,MATCH(Calculations!$E535,'2018_commission_structure'!$A$5:$A$8,0),MATCH(Calculations!X$1,'2018_commission_structure'!$A$5:$J$5,0)),0)</f>
        <v>0</v>
      </c>
      <c r="Y535" s="2">
        <f>IF($H535&gt;K535,MIN($H535-K535,L535-K535)*INDEX('2018_commission_structure'!$A$5:$J$8,MATCH(Calculations!$E535,'2018_commission_structure'!$A$5:$A$8,0),MATCH(Calculations!Y$1,'2018_commission_structure'!$A$5:$J$5,0)),0)</f>
        <v>0</v>
      </c>
      <c r="Z535" s="2">
        <f xml:space="preserve"> IF(H535&gt;L535,(H535-L535)*INDEX('2018_commission_structure'!$A$11:$I$14,MATCH(Calculations!$E535,'2018_commission_structure'!$A$11:$A$14,0),MATCH(Calculations!Z$1,'2018_commission_structure'!$A$11:$I$11,0)),0)</f>
        <v>0</v>
      </c>
      <c r="AA535" s="7">
        <f t="shared" si="79"/>
        <v>79304.52</v>
      </c>
      <c r="AB535" s="7">
        <f t="shared" si="80"/>
        <v>132367.52000000002</v>
      </c>
    </row>
    <row r="536" spans="1:28" x14ac:dyDescent="0.25">
      <c r="A536">
        <v>1425230725</v>
      </c>
      <c r="B536" t="s">
        <v>844</v>
      </c>
      <c r="C536" t="s">
        <v>1693</v>
      </c>
      <c r="D536" t="str">
        <f>B536&amp;" "&amp;C536</f>
        <v>Devland Le Prevost</v>
      </c>
      <c r="E536" t="s">
        <v>29</v>
      </c>
      <c r="F536">
        <v>79469</v>
      </c>
      <c r="G536">
        <f>COUNTIF(deals_closed!D:D,Calculations!A536)</f>
        <v>18</v>
      </c>
      <c r="H536" s="2">
        <f>SUMIF(deals_closed!D:D,Calculations!A536,deals_closed!C:C)</f>
        <v>646367</v>
      </c>
      <c r="I536" s="2">
        <f>VLOOKUP(E536,'2018_commission_structure'!$A$11:$I$14,9,FALSE)</f>
        <v>600000</v>
      </c>
      <c r="J536" s="2">
        <f t="shared" si="72"/>
        <v>750000</v>
      </c>
      <c r="K536" s="2">
        <f t="shared" si="73"/>
        <v>900000</v>
      </c>
      <c r="L536" s="2">
        <f t="shared" si="74"/>
        <v>1200000</v>
      </c>
      <c r="M536" s="6">
        <f t="shared" si="75"/>
        <v>1.0772783333333333</v>
      </c>
      <c r="N536" t="str">
        <f t="shared" si="76"/>
        <v>100-125%</v>
      </c>
      <c r="O536" s="7">
        <f>MIN(I536,H536)*INDEX('2018_commission_structure'!$A$11:$I$14,MATCH(Calculations!$E536,'2018_commission_structure'!$A$11:$A$14,0),MATCH(Calculations!O$1,'2018_commission_structure'!$A$11:$I$11,0))</f>
        <v>78000</v>
      </c>
      <c r="P536" s="7">
        <f>IF($H536&gt;I536,MIN($H536-I536,J536-I536)*INDEX('2018_commission_structure'!$A$11:$I$14,MATCH(Calculations!$E536,'2018_commission_structure'!$A$11:$A$14,0), MATCH(Calculations!P$1,'2018_commission_structure'!$A$11:$I$11,0)),0)</f>
        <v>7882.39</v>
      </c>
      <c r="Q536" s="7">
        <f>IF($H536&gt;J536,MIN($H536-J536,K536-J536)*INDEX('2018_commission_structure'!$A$11:$I$14,MATCH(Calculations!$E536,'2018_commission_structure'!$A$11:$A$14,0), MATCH(Calculations!Q$1,'2018_commission_structure'!$A$11:$I$11,0)),0)</f>
        <v>0</v>
      </c>
      <c r="R536" s="7">
        <f>IF($H536&gt;K536,MIN($H536-K536,L536-K536)*INDEX('2018_commission_structure'!$A$11:$I$14,MATCH(Calculations!$E536,'2018_commission_structure'!$A$11:$A$14,0), MATCH(Calculations!R$1,'2018_commission_structure'!$A$11:$I$11,0)),0)</f>
        <v>0</v>
      </c>
      <c r="S536" s="7">
        <f>IF(H536&gt;L536,(H536-L536)*INDEX('2018_commission_structure'!$A$11:$I$14,MATCH(Calculations!$E536,'2018_commission_structure'!$A$11:$A$14,0),MATCH(Calculations!S$1,'2018_commission_structure'!$A$11:$I$11,0)),0)</f>
        <v>0</v>
      </c>
      <c r="T536" s="7">
        <f t="shared" si="77"/>
        <v>85882.39</v>
      </c>
      <c r="U536" s="7">
        <f t="shared" si="78"/>
        <v>165351.39000000001</v>
      </c>
      <c r="V536" s="7">
        <f>MIN(H536,I536)*INDEX('2018_commission_structure'!$A$5:$J$8,MATCH(Calculations!$E536,'2018_commission_structure'!$A$5:$A$8,0),MATCH(Calculations!V$1,'2018_commission_structure'!$A$5:$J$5,0))</f>
        <v>90000</v>
      </c>
      <c r="W536" s="2">
        <f>IF($H536&gt;I536,MIN($H536-I536,J536-I536)*INDEX('2018_commission_structure'!$A$5:$J$8,MATCH(Calculations!$E536,'2018_commission_structure'!$A$5:$A$8,0),MATCH(Calculations!W$1,'2018_commission_structure'!$A$5:$J$5,0)),0)</f>
        <v>8346.06</v>
      </c>
      <c r="X536" s="2">
        <f>IF($H536&gt;J536,MIN($H536-J536,K536-J536)*INDEX('2018_commission_structure'!$A$5:$J$8,MATCH(Calculations!$E536,'2018_commission_structure'!$A$5:$A$8,0),MATCH(Calculations!X$1,'2018_commission_structure'!$A$5:$J$5,0)),0)</f>
        <v>0</v>
      </c>
      <c r="Y536" s="2">
        <f>IF($H536&gt;K536,MIN($H536-K536,L536-K536)*INDEX('2018_commission_structure'!$A$5:$J$8,MATCH(Calculations!$E536,'2018_commission_structure'!$A$5:$A$8,0),MATCH(Calculations!Y$1,'2018_commission_structure'!$A$5:$J$5,0)),0)</f>
        <v>0</v>
      </c>
      <c r="Z536" s="2">
        <f xml:space="preserve"> IF(H536&gt;L536,(H536-L536)*INDEX('2018_commission_structure'!$A$11:$I$14,MATCH(Calculations!$E536,'2018_commission_structure'!$A$11:$A$14,0),MATCH(Calculations!Z$1,'2018_commission_structure'!$A$11:$I$11,0)),0)</f>
        <v>0</v>
      </c>
      <c r="AA536" s="7">
        <f t="shared" si="79"/>
        <v>98346.06</v>
      </c>
      <c r="AB536" s="7">
        <f t="shared" si="80"/>
        <v>177815.06</v>
      </c>
    </row>
    <row r="537" spans="1:28" x14ac:dyDescent="0.25">
      <c r="A537">
        <v>2183763965</v>
      </c>
      <c r="B537" t="s">
        <v>860</v>
      </c>
      <c r="C537" t="s">
        <v>861</v>
      </c>
      <c r="D537" t="str">
        <f>B537&amp;" "&amp;C537</f>
        <v>Garner Leatherbarrow</v>
      </c>
      <c r="E537" t="s">
        <v>10</v>
      </c>
      <c r="F537">
        <v>90615</v>
      </c>
      <c r="G537">
        <f>COUNTIF(deals_closed!D:D,Calculations!A537)</f>
        <v>19</v>
      </c>
      <c r="H537" s="2">
        <f>SUMIF(deals_closed!D:D,Calculations!A537,deals_closed!C:C)</f>
        <v>690784</v>
      </c>
      <c r="I537" s="2">
        <f>VLOOKUP(E537,'2018_commission_structure'!$A$11:$I$14,9,FALSE)</f>
        <v>750000</v>
      </c>
      <c r="J537" s="2">
        <f t="shared" si="72"/>
        <v>937500</v>
      </c>
      <c r="K537" s="2">
        <f t="shared" si="73"/>
        <v>1125000</v>
      </c>
      <c r="L537" s="2">
        <f t="shared" si="74"/>
        <v>1500000</v>
      </c>
      <c r="M537" s="6">
        <f t="shared" si="75"/>
        <v>0.92104533333333338</v>
      </c>
      <c r="N537" t="str">
        <f t="shared" si="76"/>
        <v>0-100%</v>
      </c>
      <c r="O537" s="7">
        <f>MIN(I537,H537)*INDEX('2018_commission_structure'!$A$11:$I$14,MATCH(Calculations!$E537,'2018_commission_structure'!$A$11:$A$14,0),MATCH(Calculations!O$1,'2018_commission_structure'!$A$11:$I$11,0))</f>
        <v>103617.59999999999</v>
      </c>
      <c r="P537" s="7">
        <f>IF($H537&gt;I537,MIN($H537-I537,J537-I537)*INDEX('2018_commission_structure'!$A$11:$I$14,MATCH(Calculations!$E537,'2018_commission_structure'!$A$11:$A$14,0), MATCH(Calculations!P$1,'2018_commission_structure'!$A$11:$I$11,0)),0)</f>
        <v>0</v>
      </c>
      <c r="Q537" s="7">
        <f>IF($H537&gt;J537,MIN($H537-J537,K537-J537)*INDEX('2018_commission_structure'!$A$11:$I$14,MATCH(Calculations!$E537,'2018_commission_structure'!$A$11:$A$14,0), MATCH(Calculations!Q$1,'2018_commission_structure'!$A$11:$I$11,0)),0)</f>
        <v>0</v>
      </c>
      <c r="R537" s="7">
        <f>IF($H537&gt;K537,MIN($H537-K537,L537-K537)*INDEX('2018_commission_structure'!$A$11:$I$14,MATCH(Calculations!$E537,'2018_commission_structure'!$A$11:$A$14,0), MATCH(Calculations!R$1,'2018_commission_structure'!$A$11:$I$11,0)),0)</f>
        <v>0</v>
      </c>
      <c r="S537" s="7">
        <f>IF(H537&gt;L537,(H537-L537)*INDEX('2018_commission_structure'!$A$11:$I$14,MATCH(Calculations!$E537,'2018_commission_structure'!$A$11:$A$14,0),MATCH(Calculations!S$1,'2018_commission_structure'!$A$11:$I$11,0)),0)</f>
        <v>0</v>
      </c>
      <c r="T537" s="7">
        <f t="shared" si="77"/>
        <v>103617.59999999999</v>
      </c>
      <c r="U537" s="7">
        <f t="shared" si="78"/>
        <v>194232.59999999998</v>
      </c>
      <c r="V537" s="7">
        <f>MIN(H537,I537)*INDEX('2018_commission_structure'!$A$5:$J$8,MATCH(Calculations!$E537,'2018_commission_structure'!$A$5:$A$8,0),MATCH(Calculations!V$1,'2018_commission_structure'!$A$5:$J$5,0))</f>
        <v>103617.59999999999</v>
      </c>
      <c r="W537" s="2">
        <f>IF($H537&gt;I537,MIN($H537-I537,J537-I537)*INDEX('2018_commission_structure'!$A$5:$J$8,MATCH(Calculations!$E537,'2018_commission_structure'!$A$5:$A$8,0),MATCH(Calculations!W$1,'2018_commission_structure'!$A$5:$J$5,0)),0)</f>
        <v>0</v>
      </c>
      <c r="X537" s="2">
        <f>IF($H537&gt;J537,MIN($H537-J537,K537-J537)*INDEX('2018_commission_structure'!$A$5:$J$8,MATCH(Calculations!$E537,'2018_commission_structure'!$A$5:$A$8,0),MATCH(Calculations!X$1,'2018_commission_structure'!$A$5:$J$5,0)),0)</f>
        <v>0</v>
      </c>
      <c r="Y537" s="2">
        <f>IF($H537&gt;K537,MIN($H537-K537,L537-K537)*INDEX('2018_commission_structure'!$A$5:$J$8,MATCH(Calculations!$E537,'2018_commission_structure'!$A$5:$A$8,0),MATCH(Calculations!Y$1,'2018_commission_structure'!$A$5:$J$5,0)),0)</f>
        <v>0</v>
      </c>
      <c r="Z537" s="2">
        <f xml:space="preserve"> IF(H537&gt;L537,(H537-L537)*INDEX('2018_commission_structure'!$A$11:$I$14,MATCH(Calculations!$E537,'2018_commission_structure'!$A$11:$A$14,0),MATCH(Calculations!Z$1,'2018_commission_structure'!$A$11:$I$11,0)),0)</f>
        <v>0</v>
      </c>
      <c r="AA537" s="7">
        <f t="shared" si="79"/>
        <v>103617.59999999999</v>
      </c>
      <c r="AB537" s="7">
        <f t="shared" si="80"/>
        <v>194232.59999999998</v>
      </c>
    </row>
    <row r="538" spans="1:28" x14ac:dyDescent="0.25">
      <c r="A538">
        <v>9795921177</v>
      </c>
      <c r="B538" t="s">
        <v>571</v>
      </c>
      <c r="C538" t="s">
        <v>572</v>
      </c>
      <c r="D538" t="str">
        <f>B538&amp;" "&amp;C538</f>
        <v>Eugene Lebourn</v>
      </c>
      <c r="E538" t="s">
        <v>7</v>
      </c>
      <c r="F538">
        <v>63015</v>
      </c>
      <c r="G538">
        <f>COUNTIF(deals_closed!D:D,Calculations!A538)</f>
        <v>20</v>
      </c>
      <c r="H538" s="2">
        <f>SUMIF(deals_closed!D:D,Calculations!A538,deals_closed!C:C)</f>
        <v>603952</v>
      </c>
      <c r="I538" s="2">
        <f>VLOOKUP(E538,'2018_commission_structure'!$A$11:$I$14,9,FALSE)</f>
        <v>500000</v>
      </c>
      <c r="J538" s="2">
        <f t="shared" si="72"/>
        <v>625000</v>
      </c>
      <c r="K538" s="2">
        <f t="shared" si="73"/>
        <v>750000</v>
      </c>
      <c r="L538" s="2">
        <f t="shared" si="74"/>
        <v>1000000</v>
      </c>
      <c r="M538" s="6">
        <f t="shared" si="75"/>
        <v>1.2079040000000001</v>
      </c>
      <c r="N538" t="str">
        <f t="shared" si="76"/>
        <v>100-125%</v>
      </c>
      <c r="O538" s="7">
        <f>MIN(I538,H538)*INDEX('2018_commission_structure'!$A$11:$I$14,MATCH(Calculations!$E538,'2018_commission_structure'!$A$11:$A$14,0),MATCH(Calculations!O$1,'2018_commission_structure'!$A$11:$I$11,0))</f>
        <v>50000</v>
      </c>
      <c r="P538" s="7">
        <f>IF($H538&gt;I538,MIN($H538-I538,J538-I538)*INDEX('2018_commission_structure'!$A$11:$I$14,MATCH(Calculations!$E538,'2018_commission_structure'!$A$11:$A$14,0), MATCH(Calculations!P$1,'2018_commission_structure'!$A$11:$I$11,0)),0)</f>
        <v>15592.8</v>
      </c>
      <c r="Q538" s="7">
        <f>IF($H538&gt;J538,MIN($H538-J538,K538-J538)*INDEX('2018_commission_structure'!$A$11:$I$14,MATCH(Calculations!$E538,'2018_commission_structure'!$A$11:$A$14,0), MATCH(Calculations!Q$1,'2018_commission_structure'!$A$11:$I$11,0)),0)</f>
        <v>0</v>
      </c>
      <c r="R538" s="7">
        <f>IF($H538&gt;K538,MIN($H538-K538,L538-K538)*INDEX('2018_commission_structure'!$A$11:$I$14,MATCH(Calculations!$E538,'2018_commission_structure'!$A$11:$A$14,0), MATCH(Calculations!R$1,'2018_commission_structure'!$A$11:$I$11,0)),0)</f>
        <v>0</v>
      </c>
      <c r="S538" s="7">
        <f>IF(H538&gt;L538,(H538-L538)*INDEX('2018_commission_structure'!$A$11:$I$14,MATCH(Calculations!$E538,'2018_commission_structure'!$A$11:$A$14,0),MATCH(Calculations!S$1,'2018_commission_structure'!$A$11:$I$11,0)),0)</f>
        <v>0</v>
      </c>
      <c r="T538" s="7">
        <f t="shared" si="77"/>
        <v>65592.800000000003</v>
      </c>
      <c r="U538" s="7">
        <f t="shared" si="78"/>
        <v>128607.8</v>
      </c>
      <c r="V538" s="7">
        <f>MIN(H538,I538)*INDEX('2018_commission_structure'!$A$5:$J$8,MATCH(Calculations!$E538,'2018_commission_structure'!$A$5:$A$8,0),MATCH(Calculations!V$1,'2018_commission_structure'!$A$5:$J$5,0))</f>
        <v>60000</v>
      </c>
      <c r="W538" s="2">
        <f>IF($H538&gt;I538,MIN($H538-I538,J538-I538)*INDEX('2018_commission_structure'!$A$5:$J$8,MATCH(Calculations!$E538,'2018_commission_structure'!$A$5:$A$8,0),MATCH(Calculations!W$1,'2018_commission_structure'!$A$5:$J$5,0)),0)</f>
        <v>17671.84</v>
      </c>
      <c r="X538" s="2">
        <f>IF($H538&gt;J538,MIN($H538-J538,K538-J538)*INDEX('2018_commission_structure'!$A$5:$J$8,MATCH(Calculations!$E538,'2018_commission_structure'!$A$5:$A$8,0),MATCH(Calculations!X$1,'2018_commission_structure'!$A$5:$J$5,0)),0)</f>
        <v>0</v>
      </c>
      <c r="Y538" s="2">
        <f>IF($H538&gt;K538,MIN($H538-K538,L538-K538)*INDEX('2018_commission_structure'!$A$5:$J$8,MATCH(Calculations!$E538,'2018_commission_structure'!$A$5:$A$8,0),MATCH(Calculations!Y$1,'2018_commission_structure'!$A$5:$J$5,0)),0)</f>
        <v>0</v>
      </c>
      <c r="Z538" s="2">
        <f xml:space="preserve"> IF(H538&gt;L538,(H538-L538)*INDEX('2018_commission_structure'!$A$11:$I$14,MATCH(Calculations!$E538,'2018_commission_structure'!$A$11:$A$14,0),MATCH(Calculations!Z$1,'2018_commission_structure'!$A$11:$I$11,0)),0)</f>
        <v>0</v>
      </c>
      <c r="AA538" s="7">
        <f t="shared" si="79"/>
        <v>77671.839999999997</v>
      </c>
      <c r="AB538" s="7">
        <f t="shared" si="80"/>
        <v>140686.84</v>
      </c>
    </row>
    <row r="539" spans="1:28" x14ac:dyDescent="0.25">
      <c r="A539">
        <v>4188124377</v>
      </c>
      <c r="B539" t="s">
        <v>1146</v>
      </c>
      <c r="C539" t="s">
        <v>1147</v>
      </c>
      <c r="D539" t="str">
        <f>B539&amp;" "&amp;C539</f>
        <v>Nicko Ledington</v>
      </c>
      <c r="E539" t="s">
        <v>7</v>
      </c>
      <c r="F539">
        <v>42063</v>
      </c>
      <c r="G539">
        <f>COUNTIF(deals_closed!D:D,Calculations!A539)</f>
        <v>9</v>
      </c>
      <c r="H539" s="2">
        <f>SUMIF(deals_closed!D:D,Calculations!A539,deals_closed!C:C)</f>
        <v>283269</v>
      </c>
      <c r="I539" s="2">
        <f>VLOOKUP(E539,'2018_commission_structure'!$A$11:$I$14,9,FALSE)</f>
        <v>500000</v>
      </c>
      <c r="J539" s="2">
        <f t="shared" si="72"/>
        <v>625000</v>
      </c>
      <c r="K539" s="2">
        <f t="shared" si="73"/>
        <v>750000</v>
      </c>
      <c r="L539" s="2">
        <f t="shared" si="74"/>
        <v>1000000</v>
      </c>
      <c r="M539" s="6">
        <f t="shared" si="75"/>
        <v>0.56653799999999999</v>
      </c>
      <c r="N539" t="str">
        <f t="shared" si="76"/>
        <v>0-100%</v>
      </c>
      <c r="O539" s="7">
        <f>MIN(I539,H539)*INDEX('2018_commission_structure'!$A$11:$I$14,MATCH(Calculations!$E539,'2018_commission_structure'!$A$11:$A$14,0),MATCH(Calculations!O$1,'2018_commission_structure'!$A$11:$I$11,0))</f>
        <v>28326.9</v>
      </c>
      <c r="P539" s="7">
        <f>IF($H539&gt;I539,MIN($H539-I539,J539-I539)*INDEX('2018_commission_structure'!$A$11:$I$14,MATCH(Calculations!$E539,'2018_commission_structure'!$A$11:$A$14,0), MATCH(Calculations!P$1,'2018_commission_structure'!$A$11:$I$11,0)),0)</f>
        <v>0</v>
      </c>
      <c r="Q539" s="7">
        <f>IF($H539&gt;J539,MIN($H539-J539,K539-J539)*INDEX('2018_commission_structure'!$A$11:$I$14,MATCH(Calculations!$E539,'2018_commission_structure'!$A$11:$A$14,0), MATCH(Calculations!Q$1,'2018_commission_structure'!$A$11:$I$11,0)),0)</f>
        <v>0</v>
      </c>
      <c r="R539" s="7">
        <f>IF($H539&gt;K539,MIN($H539-K539,L539-K539)*INDEX('2018_commission_structure'!$A$11:$I$14,MATCH(Calculations!$E539,'2018_commission_structure'!$A$11:$A$14,0), MATCH(Calculations!R$1,'2018_commission_structure'!$A$11:$I$11,0)),0)</f>
        <v>0</v>
      </c>
      <c r="S539" s="7">
        <f>IF(H539&gt;L539,(H539-L539)*INDEX('2018_commission_structure'!$A$11:$I$14,MATCH(Calculations!$E539,'2018_commission_structure'!$A$11:$A$14,0),MATCH(Calculations!S$1,'2018_commission_structure'!$A$11:$I$11,0)),0)</f>
        <v>0</v>
      </c>
      <c r="T539" s="7">
        <f t="shared" si="77"/>
        <v>28326.9</v>
      </c>
      <c r="U539" s="7">
        <f t="shared" si="78"/>
        <v>70389.899999999994</v>
      </c>
      <c r="V539" s="7">
        <f>MIN(H539,I539)*INDEX('2018_commission_structure'!$A$5:$J$8,MATCH(Calculations!$E539,'2018_commission_structure'!$A$5:$A$8,0),MATCH(Calculations!V$1,'2018_commission_structure'!$A$5:$J$5,0))</f>
        <v>33992.28</v>
      </c>
      <c r="W539" s="2">
        <f>IF($H539&gt;I539,MIN($H539-I539,J539-I539)*INDEX('2018_commission_structure'!$A$5:$J$8,MATCH(Calculations!$E539,'2018_commission_structure'!$A$5:$A$8,0),MATCH(Calculations!W$1,'2018_commission_structure'!$A$5:$J$5,0)),0)</f>
        <v>0</v>
      </c>
      <c r="X539" s="2">
        <f>IF($H539&gt;J539,MIN($H539-J539,K539-J539)*INDEX('2018_commission_structure'!$A$5:$J$8,MATCH(Calculations!$E539,'2018_commission_structure'!$A$5:$A$8,0),MATCH(Calculations!X$1,'2018_commission_structure'!$A$5:$J$5,0)),0)</f>
        <v>0</v>
      </c>
      <c r="Y539" s="2">
        <f>IF($H539&gt;K539,MIN($H539-K539,L539-K539)*INDEX('2018_commission_structure'!$A$5:$J$8,MATCH(Calculations!$E539,'2018_commission_structure'!$A$5:$A$8,0),MATCH(Calculations!Y$1,'2018_commission_structure'!$A$5:$J$5,0)),0)</f>
        <v>0</v>
      </c>
      <c r="Z539" s="2">
        <f xml:space="preserve"> IF(H539&gt;L539,(H539-L539)*INDEX('2018_commission_structure'!$A$11:$I$14,MATCH(Calculations!$E539,'2018_commission_structure'!$A$11:$A$14,0),MATCH(Calculations!Z$1,'2018_commission_structure'!$A$11:$I$11,0)),0)</f>
        <v>0</v>
      </c>
      <c r="AA539" s="7">
        <f t="shared" si="79"/>
        <v>33992.28</v>
      </c>
      <c r="AB539" s="7">
        <f t="shared" si="80"/>
        <v>76055.28</v>
      </c>
    </row>
    <row r="540" spans="1:28" x14ac:dyDescent="0.25">
      <c r="A540">
        <v>1743464649</v>
      </c>
      <c r="B540" t="s">
        <v>1291</v>
      </c>
      <c r="C540" t="s">
        <v>1292</v>
      </c>
      <c r="D540" t="str">
        <f>B540&amp;" "&amp;C540</f>
        <v>Deena Leeming</v>
      </c>
      <c r="E540" t="s">
        <v>29</v>
      </c>
      <c r="F540">
        <v>62983</v>
      </c>
      <c r="G540">
        <f>COUNTIF(deals_closed!D:D,Calculations!A540)</f>
        <v>21</v>
      </c>
      <c r="H540" s="2">
        <f>SUMIF(deals_closed!D:D,Calculations!A540,deals_closed!C:C)</f>
        <v>689066</v>
      </c>
      <c r="I540" s="2">
        <f>VLOOKUP(E540,'2018_commission_structure'!$A$11:$I$14,9,FALSE)</f>
        <v>600000</v>
      </c>
      <c r="J540" s="2">
        <f t="shared" si="72"/>
        <v>750000</v>
      </c>
      <c r="K540" s="2">
        <f t="shared" si="73"/>
        <v>900000</v>
      </c>
      <c r="L540" s="2">
        <f t="shared" si="74"/>
        <v>1200000</v>
      </c>
      <c r="M540" s="6">
        <f t="shared" si="75"/>
        <v>1.1484433333333333</v>
      </c>
      <c r="N540" t="str">
        <f t="shared" si="76"/>
        <v>100-125%</v>
      </c>
      <c r="O540" s="7">
        <f>MIN(I540,H540)*INDEX('2018_commission_structure'!$A$11:$I$14,MATCH(Calculations!$E540,'2018_commission_structure'!$A$11:$A$14,0),MATCH(Calculations!O$1,'2018_commission_structure'!$A$11:$I$11,0))</f>
        <v>78000</v>
      </c>
      <c r="P540" s="7">
        <f>IF($H540&gt;I540,MIN($H540-I540,J540-I540)*INDEX('2018_commission_structure'!$A$11:$I$14,MATCH(Calculations!$E540,'2018_commission_structure'!$A$11:$A$14,0), MATCH(Calculations!P$1,'2018_commission_structure'!$A$11:$I$11,0)),0)</f>
        <v>15141.220000000001</v>
      </c>
      <c r="Q540" s="7">
        <f>IF($H540&gt;J540,MIN($H540-J540,K540-J540)*INDEX('2018_commission_structure'!$A$11:$I$14,MATCH(Calculations!$E540,'2018_commission_structure'!$A$11:$A$14,0), MATCH(Calculations!Q$1,'2018_commission_structure'!$A$11:$I$11,0)),0)</f>
        <v>0</v>
      </c>
      <c r="R540" s="7">
        <f>IF($H540&gt;K540,MIN($H540-K540,L540-K540)*INDEX('2018_commission_structure'!$A$11:$I$14,MATCH(Calculations!$E540,'2018_commission_structure'!$A$11:$A$14,0), MATCH(Calculations!R$1,'2018_commission_structure'!$A$11:$I$11,0)),0)</f>
        <v>0</v>
      </c>
      <c r="S540" s="7">
        <f>IF(H540&gt;L540,(H540-L540)*INDEX('2018_commission_structure'!$A$11:$I$14,MATCH(Calculations!$E540,'2018_commission_structure'!$A$11:$A$14,0),MATCH(Calculations!S$1,'2018_commission_structure'!$A$11:$I$11,0)),0)</f>
        <v>0</v>
      </c>
      <c r="T540" s="7">
        <f t="shared" si="77"/>
        <v>93141.22</v>
      </c>
      <c r="U540" s="7">
        <f t="shared" si="78"/>
        <v>156124.22</v>
      </c>
      <c r="V540" s="7">
        <f>MIN(H540,I540)*INDEX('2018_commission_structure'!$A$5:$J$8,MATCH(Calculations!$E540,'2018_commission_structure'!$A$5:$A$8,0),MATCH(Calculations!V$1,'2018_commission_structure'!$A$5:$J$5,0))</f>
        <v>90000</v>
      </c>
      <c r="W540" s="2">
        <f>IF($H540&gt;I540,MIN($H540-I540,J540-I540)*INDEX('2018_commission_structure'!$A$5:$J$8,MATCH(Calculations!$E540,'2018_commission_structure'!$A$5:$A$8,0),MATCH(Calculations!W$1,'2018_commission_structure'!$A$5:$J$5,0)),0)</f>
        <v>16031.88</v>
      </c>
      <c r="X540" s="2">
        <f>IF($H540&gt;J540,MIN($H540-J540,K540-J540)*INDEX('2018_commission_structure'!$A$5:$J$8,MATCH(Calculations!$E540,'2018_commission_structure'!$A$5:$A$8,0),MATCH(Calculations!X$1,'2018_commission_structure'!$A$5:$J$5,0)),0)</f>
        <v>0</v>
      </c>
      <c r="Y540" s="2">
        <f>IF($H540&gt;K540,MIN($H540-K540,L540-K540)*INDEX('2018_commission_structure'!$A$5:$J$8,MATCH(Calculations!$E540,'2018_commission_structure'!$A$5:$A$8,0),MATCH(Calculations!Y$1,'2018_commission_structure'!$A$5:$J$5,0)),0)</f>
        <v>0</v>
      </c>
      <c r="Z540" s="2">
        <f xml:space="preserve"> IF(H540&gt;L540,(H540-L540)*INDEX('2018_commission_structure'!$A$11:$I$14,MATCH(Calculations!$E540,'2018_commission_structure'!$A$11:$A$14,0),MATCH(Calculations!Z$1,'2018_commission_structure'!$A$11:$I$11,0)),0)</f>
        <v>0</v>
      </c>
      <c r="AA540" s="7">
        <f t="shared" si="79"/>
        <v>106031.88</v>
      </c>
      <c r="AB540" s="7">
        <f t="shared" si="80"/>
        <v>169014.88</v>
      </c>
    </row>
    <row r="541" spans="1:28" x14ac:dyDescent="0.25">
      <c r="A541">
        <v>1522190236</v>
      </c>
      <c r="B541" t="s">
        <v>1373</v>
      </c>
      <c r="C541" t="s">
        <v>1374</v>
      </c>
      <c r="D541" t="str">
        <f>B541&amp;" "&amp;C541</f>
        <v>Hymie LeEstut</v>
      </c>
      <c r="E541" t="s">
        <v>7</v>
      </c>
      <c r="F541">
        <v>58957</v>
      </c>
      <c r="G541">
        <f>COUNTIF(deals_closed!D:D,Calculations!A541)</f>
        <v>16</v>
      </c>
      <c r="H541" s="2">
        <f>SUMIF(deals_closed!D:D,Calculations!A541,deals_closed!C:C)</f>
        <v>627760</v>
      </c>
      <c r="I541" s="2">
        <f>VLOOKUP(E541,'2018_commission_structure'!$A$11:$I$14,9,FALSE)</f>
        <v>500000</v>
      </c>
      <c r="J541" s="2">
        <f t="shared" si="72"/>
        <v>625000</v>
      </c>
      <c r="K541" s="2">
        <f t="shared" si="73"/>
        <v>750000</v>
      </c>
      <c r="L541" s="2">
        <f t="shared" si="74"/>
        <v>1000000</v>
      </c>
      <c r="M541" s="6">
        <f t="shared" si="75"/>
        <v>1.25552</v>
      </c>
      <c r="N541" t="str">
        <f t="shared" si="76"/>
        <v>125-150%</v>
      </c>
      <c r="O541" s="7">
        <f>MIN(I541,H541)*INDEX('2018_commission_structure'!$A$11:$I$14,MATCH(Calculations!$E541,'2018_commission_structure'!$A$11:$A$14,0),MATCH(Calculations!O$1,'2018_commission_structure'!$A$11:$I$11,0))</f>
        <v>50000</v>
      </c>
      <c r="P541" s="7">
        <f>IF($H541&gt;I541,MIN($H541-I541,J541-I541)*INDEX('2018_commission_structure'!$A$11:$I$14,MATCH(Calculations!$E541,'2018_commission_structure'!$A$11:$A$14,0), MATCH(Calculations!P$1,'2018_commission_structure'!$A$11:$I$11,0)),0)</f>
        <v>18750</v>
      </c>
      <c r="Q541" s="7">
        <f>IF($H541&gt;J541,MIN($H541-J541,K541-J541)*INDEX('2018_commission_structure'!$A$11:$I$14,MATCH(Calculations!$E541,'2018_commission_structure'!$A$11:$A$14,0), MATCH(Calculations!Q$1,'2018_commission_structure'!$A$11:$I$11,0)),0)</f>
        <v>496.79999999999995</v>
      </c>
      <c r="R541" s="7">
        <f>IF($H541&gt;K541,MIN($H541-K541,L541-K541)*INDEX('2018_commission_structure'!$A$11:$I$14,MATCH(Calculations!$E541,'2018_commission_structure'!$A$11:$A$14,0), MATCH(Calculations!R$1,'2018_commission_structure'!$A$11:$I$11,0)),0)</f>
        <v>0</v>
      </c>
      <c r="S541" s="7">
        <f>IF(H541&gt;L541,(H541-L541)*INDEX('2018_commission_structure'!$A$11:$I$14,MATCH(Calculations!$E541,'2018_commission_structure'!$A$11:$A$14,0),MATCH(Calculations!S$1,'2018_commission_structure'!$A$11:$I$11,0)),0)</f>
        <v>0</v>
      </c>
      <c r="T541" s="7">
        <f t="shared" si="77"/>
        <v>69246.8</v>
      </c>
      <c r="U541" s="7">
        <f t="shared" si="78"/>
        <v>128203.8</v>
      </c>
      <c r="V541" s="7">
        <f>MIN(H541,I541)*INDEX('2018_commission_structure'!$A$5:$J$8,MATCH(Calculations!$E541,'2018_commission_structure'!$A$5:$A$8,0),MATCH(Calculations!V$1,'2018_commission_structure'!$A$5:$J$5,0))</f>
        <v>60000</v>
      </c>
      <c r="W541" s="2">
        <f>IF($H541&gt;I541,MIN($H541-I541,J541-I541)*INDEX('2018_commission_structure'!$A$5:$J$8,MATCH(Calculations!$E541,'2018_commission_structure'!$A$5:$A$8,0),MATCH(Calculations!W$1,'2018_commission_structure'!$A$5:$J$5,0)),0)</f>
        <v>21250</v>
      </c>
      <c r="X541" s="2">
        <f>IF($H541&gt;J541,MIN($H541-J541,K541-J541)*INDEX('2018_commission_structure'!$A$5:$J$8,MATCH(Calculations!$E541,'2018_commission_structure'!$A$5:$A$8,0),MATCH(Calculations!X$1,'2018_commission_structure'!$A$5:$J$5,0)),0)</f>
        <v>552</v>
      </c>
      <c r="Y541" s="2">
        <f>IF($H541&gt;K541,MIN($H541-K541,L541-K541)*INDEX('2018_commission_structure'!$A$5:$J$8,MATCH(Calculations!$E541,'2018_commission_structure'!$A$5:$A$8,0),MATCH(Calculations!Y$1,'2018_commission_structure'!$A$5:$J$5,0)),0)</f>
        <v>0</v>
      </c>
      <c r="Z541" s="2">
        <f xml:space="preserve"> IF(H541&gt;L541,(H541-L541)*INDEX('2018_commission_structure'!$A$11:$I$14,MATCH(Calculations!$E541,'2018_commission_structure'!$A$11:$A$14,0),MATCH(Calculations!Z$1,'2018_commission_structure'!$A$11:$I$11,0)),0)</f>
        <v>0</v>
      </c>
      <c r="AA541" s="7">
        <f t="shared" si="79"/>
        <v>81802</v>
      </c>
      <c r="AB541" s="7">
        <f t="shared" si="80"/>
        <v>140759</v>
      </c>
    </row>
    <row r="542" spans="1:28" x14ac:dyDescent="0.25">
      <c r="A542">
        <v>5407735911</v>
      </c>
      <c r="B542" t="s">
        <v>775</v>
      </c>
      <c r="C542" t="s">
        <v>776</v>
      </c>
      <c r="D542" t="str">
        <f>B542&amp;" "&amp;C542</f>
        <v>Bernard Lefeuvre</v>
      </c>
      <c r="E542" t="s">
        <v>7</v>
      </c>
      <c r="F542">
        <v>38807</v>
      </c>
      <c r="G542">
        <f>COUNTIF(deals_closed!D:D,Calculations!A542)</f>
        <v>24</v>
      </c>
      <c r="H542" s="2">
        <f>SUMIF(deals_closed!D:D,Calculations!A542,deals_closed!C:C)</f>
        <v>739737</v>
      </c>
      <c r="I542" s="2">
        <f>VLOOKUP(E542,'2018_commission_structure'!$A$11:$I$14,9,FALSE)</f>
        <v>500000</v>
      </c>
      <c r="J542" s="2">
        <f t="shared" si="72"/>
        <v>625000</v>
      </c>
      <c r="K542" s="2">
        <f t="shared" si="73"/>
        <v>750000</v>
      </c>
      <c r="L542" s="2">
        <f t="shared" si="74"/>
        <v>1000000</v>
      </c>
      <c r="M542" s="6">
        <f t="shared" si="75"/>
        <v>1.479474</v>
      </c>
      <c r="N542" t="str">
        <f t="shared" si="76"/>
        <v>125-150%</v>
      </c>
      <c r="O542" s="7">
        <f>MIN(I542,H542)*INDEX('2018_commission_structure'!$A$11:$I$14,MATCH(Calculations!$E542,'2018_commission_structure'!$A$11:$A$14,0),MATCH(Calculations!O$1,'2018_commission_structure'!$A$11:$I$11,0))</f>
        <v>50000</v>
      </c>
      <c r="P542" s="7">
        <f>IF($H542&gt;I542,MIN($H542-I542,J542-I542)*INDEX('2018_commission_structure'!$A$11:$I$14,MATCH(Calculations!$E542,'2018_commission_structure'!$A$11:$A$14,0), MATCH(Calculations!P$1,'2018_commission_structure'!$A$11:$I$11,0)),0)</f>
        <v>18750</v>
      </c>
      <c r="Q542" s="7">
        <f>IF($H542&gt;J542,MIN($H542-J542,K542-J542)*INDEX('2018_commission_structure'!$A$11:$I$14,MATCH(Calculations!$E542,'2018_commission_structure'!$A$11:$A$14,0), MATCH(Calculations!Q$1,'2018_commission_structure'!$A$11:$I$11,0)),0)</f>
        <v>20652.66</v>
      </c>
      <c r="R542" s="7">
        <f>IF($H542&gt;K542,MIN($H542-K542,L542-K542)*INDEX('2018_commission_structure'!$A$11:$I$14,MATCH(Calculations!$E542,'2018_commission_structure'!$A$11:$A$14,0), MATCH(Calculations!R$1,'2018_commission_structure'!$A$11:$I$11,0)),0)</f>
        <v>0</v>
      </c>
      <c r="S542" s="7">
        <f>IF(H542&gt;L542,(H542-L542)*INDEX('2018_commission_structure'!$A$11:$I$14,MATCH(Calculations!$E542,'2018_commission_structure'!$A$11:$A$14,0),MATCH(Calculations!S$1,'2018_commission_structure'!$A$11:$I$11,0)),0)</f>
        <v>0</v>
      </c>
      <c r="T542" s="7">
        <f t="shared" si="77"/>
        <v>89402.66</v>
      </c>
      <c r="U542" s="7">
        <f t="shared" si="78"/>
        <v>128209.66</v>
      </c>
      <c r="V542" s="7">
        <f>MIN(H542,I542)*INDEX('2018_commission_structure'!$A$5:$J$8,MATCH(Calculations!$E542,'2018_commission_structure'!$A$5:$A$8,0),MATCH(Calculations!V$1,'2018_commission_structure'!$A$5:$J$5,0))</f>
        <v>60000</v>
      </c>
      <c r="W542" s="2">
        <f>IF($H542&gt;I542,MIN($H542-I542,J542-I542)*INDEX('2018_commission_structure'!$A$5:$J$8,MATCH(Calculations!$E542,'2018_commission_structure'!$A$5:$A$8,0),MATCH(Calculations!W$1,'2018_commission_structure'!$A$5:$J$5,0)),0)</f>
        <v>21250</v>
      </c>
      <c r="X542" s="2">
        <f>IF($H542&gt;J542,MIN($H542-J542,K542-J542)*INDEX('2018_commission_structure'!$A$5:$J$8,MATCH(Calculations!$E542,'2018_commission_structure'!$A$5:$A$8,0),MATCH(Calculations!X$1,'2018_commission_structure'!$A$5:$J$5,0)),0)</f>
        <v>22947.4</v>
      </c>
      <c r="Y542" s="2">
        <f>IF($H542&gt;K542,MIN($H542-K542,L542-K542)*INDEX('2018_commission_structure'!$A$5:$J$8,MATCH(Calculations!$E542,'2018_commission_structure'!$A$5:$A$8,0),MATCH(Calculations!Y$1,'2018_commission_structure'!$A$5:$J$5,0)),0)</f>
        <v>0</v>
      </c>
      <c r="Z542" s="2">
        <f xml:space="preserve"> IF(H542&gt;L542,(H542-L542)*INDEX('2018_commission_structure'!$A$11:$I$14,MATCH(Calculations!$E542,'2018_commission_structure'!$A$11:$A$14,0),MATCH(Calculations!Z$1,'2018_commission_structure'!$A$11:$I$11,0)),0)</f>
        <v>0</v>
      </c>
      <c r="AA542" s="7">
        <f t="shared" si="79"/>
        <v>104197.4</v>
      </c>
      <c r="AB542" s="7">
        <f t="shared" si="80"/>
        <v>143004.4</v>
      </c>
    </row>
    <row r="543" spans="1:28" x14ac:dyDescent="0.25">
      <c r="A543">
        <v>6733929554</v>
      </c>
      <c r="B543" t="s">
        <v>91</v>
      </c>
      <c r="C543" t="s">
        <v>92</v>
      </c>
      <c r="D543" t="str">
        <f>B543&amp;" "&amp;C543</f>
        <v>Benedikt Leisk</v>
      </c>
      <c r="E543" t="s">
        <v>29</v>
      </c>
      <c r="F543">
        <v>74110</v>
      </c>
      <c r="G543">
        <f>COUNTIF(deals_closed!D:D,Calculations!A543)</f>
        <v>17</v>
      </c>
      <c r="H543" s="2">
        <f>SUMIF(deals_closed!D:D,Calculations!A543,deals_closed!C:C)</f>
        <v>580579</v>
      </c>
      <c r="I543" s="2">
        <f>VLOOKUP(E543,'2018_commission_structure'!$A$11:$I$14,9,FALSE)</f>
        <v>600000</v>
      </c>
      <c r="J543" s="2">
        <f t="shared" si="72"/>
        <v>750000</v>
      </c>
      <c r="K543" s="2">
        <f t="shared" si="73"/>
        <v>900000</v>
      </c>
      <c r="L543" s="2">
        <f t="shared" si="74"/>
        <v>1200000</v>
      </c>
      <c r="M543" s="6">
        <f t="shared" si="75"/>
        <v>0.96763166666666667</v>
      </c>
      <c r="N543" t="str">
        <f t="shared" si="76"/>
        <v>0-100%</v>
      </c>
      <c r="O543" s="7">
        <f>MIN(I543,H543)*INDEX('2018_commission_structure'!$A$11:$I$14,MATCH(Calculations!$E543,'2018_commission_structure'!$A$11:$A$14,0),MATCH(Calculations!O$1,'2018_commission_structure'!$A$11:$I$11,0))</f>
        <v>75475.27</v>
      </c>
      <c r="P543" s="7">
        <f>IF($H543&gt;I543,MIN($H543-I543,J543-I543)*INDEX('2018_commission_structure'!$A$11:$I$14,MATCH(Calculations!$E543,'2018_commission_structure'!$A$11:$A$14,0), MATCH(Calculations!P$1,'2018_commission_structure'!$A$11:$I$11,0)),0)</f>
        <v>0</v>
      </c>
      <c r="Q543" s="7">
        <f>IF($H543&gt;J543,MIN($H543-J543,K543-J543)*INDEX('2018_commission_structure'!$A$11:$I$14,MATCH(Calculations!$E543,'2018_commission_structure'!$A$11:$A$14,0), MATCH(Calculations!Q$1,'2018_commission_structure'!$A$11:$I$11,0)),0)</f>
        <v>0</v>
      </c>
      <c r="R543" s="7">
        <f>IF($H543&gt;K543,MIN($H543-K543,L543-K543)*INDEX('2018_commission_structure'!$A$11:$I$14,MATCH(Calculations!$E543,'2018_commission_structure'!$A$11:$A$14,0), MATCH(Calculations!R$1,'2018_commission_structure'!$A$11:$I$11,0)),0)</f>
        <v>0</v>
      </c>
      <c r="S543" s="7">
        <f>IF(H543&gt;L543,(H543-L543)*INDEX('2018_commission_structure'!$A$11:$I$14,MATCH(Calculations!$E543,'2018_commission_structure'!$A$11:$A$14,0),MATCH(Calculations!S$1,'2018_commission_structure'!$A$11:$I$11,0)),0)</f>
        <v>0</v>
      </c>
      <c r="T543" s="7">
        <f t="shared" si="77"/>
        <v>75475.27</v>
      </c>
      <c r="U543" s="7">
        <f t="shared" si="78"/>
        <v>149585.27000000002</v>
      </c>
      <c r="V543" s="7">
        <f>MIN(H543,I543)*INDEX('2018_commission_structure'!$A$5:$J$8,MATCH(Calculations!$E543,'2018_commission_structure'!$A$5:$A$8,0),MATCH(Calculations!V$1,'2018_commission_structure'!$A$5:$J$5,0))</f>
        <v>87086.849999999991</v>
      </c>
      <c r="W543" s="2">
        <f>IF($H543&gt;I543,MIN($H543-I543,J543-I543)*INDEX('2018_commission_structure'!$A$5:$J$8,MATCH(Calculations!$E543,'2018_commission_structure'!$A$5:$A$8,0),MATCH(Calculations!W$1,'2018_commission_structure'!$A$5:$J$5,0)),0)</f>
        <v>0</v>
      </c>
      <c r="X543" s="2">
        <f>IF($H543&gt;J543,MIN($H543-J543,K543-J543)*INDEX('2018_commission_structure'!$A$5:$J$8,MATCH(Calculations!$E543,'2018_commission_structure'!$A$5:$A$8,0),MATCH(Calculations!X$1,'2018_commission_structure'!$A$5:$J$5,0)),0)</f>
        <v>0</v>
      </c>
      <c r="Y543" s="2">
        <f>IF($H543&gt;K543,MIN($H543-K543,L543-K543)*INDEX('2018_commission_structure'!$A$5:$J$8,MATCH(Calculations!$E543,'2018_commission_structure'!$A$5:$A$8,0),MATCH(Calculations!Y$1,'2018_commission_structure'!$A$5:$J$5,0)),0)</f>
        <v>0</v>
      </c>
      <c r="Z543" s="2">
        <f xml:space="preserve"> IF(H543&gt;L543,(H543-L543)*INDEX('2018_commission_structure'!$A$11:$I$14,MATCH(Calculations!$E543,'2018_commission_structure'!$A$11:$A$14,0),MATCH(Calculations!Z$1,'2018_commission_structure'!$A$11:$I$11,0)),0)</f>
        <v>0</v>
      </c>
      <c r="AA543" s="7">
        <f t="shared" si="79"/>
        <v>87086.849999999991</v>
      </c>
      <c r="AB543" s="7">
        <f t="shared" si="80"/>
        <v>161196.84999999998</v>
      </c>
    </row>
    <row r="544" spans="1:28" x14ac:dyDescent="0.25">
      <c r="A544">
        <v>9245659313</v>
      </c>
      <c r="B544" t="s">
        <v>642</v>
      </c>
      <c r="C544" t="s">
        <v>789</v>
      </c>
      <c r="D544" t="str">
        <f>B544&amp;" "&amp;C544</f>
        <v>Rafe Leman</v>
      </c>
      <c r="E544" t="s">
        <v>29</v>
      </c>
      <c r="F544">
        <v>64732</v>
      </c>
      <c r="G544">
        <f>COUNTIF(deals_closed!D:D,Calculations!A544)</f>
        <v>9</v>
      </c>
      <c r="H544" s="2">
        <f>SUMIF(deals_closed!D:D,Calculations!A544,deals_closed!C:C)</f>
        <v>256286</v>
      </c>
      <c r="I544" s="2">
        <f>VLOOKUP(E544,'2018_commission_structure'!$A$11:$I$14,9,FALSE)</f>
        <v>600000</v>
      </c>
      <c r="J544" s="2">
        <f t="shared" si="72"/>
        <v>750000</v>
      </c>
      <c r="K544" s="2">
        <f t="shared" si="73"/>
        <v>900000</v>
      </c>
      <c r="L544" s="2">
        <f t="shared" si="74"/>
        <v>1200000</v>
      </c>
      <c r="M544" s="6">
        <f t="shared" si="75"/>
        <v>0.42714333333333332</v>
      </c>
      <c r="N544" t="str">
        <f t="shared" si="76"/>
        <v>0-100%</v>
      </c>
      <c r="O544" s="7">
        <f>MIN(I544,H544)*INDEX('2018_commission_structure'!$A$11:$I$14,MATCH(Calculations!$E544,'2018_commission_structure'!$A$11:$A$14,0),MATCH(Calculations!O$1,'2018_commission_structure'!$A$11:$I$11,0))</f>
        <v>33317.18</v>
      </c>
      <c r="P544" s="7">
        <f>IF($H544&gt;I544,MIN($H544-I544,J544-I544)*INDEX('2018_commission_structure'!$A$11:$I$14,MATCH(Calculations!$E544,'2018_commission_structure'!$A$11:$A$14,0), MATCH(Calculations!P$1,'2018_commission_structure'!$A$11:$I$11,0)),0)</f>
        <v>0</v>
      </c>
      <c r="Q544" s="7">
        <f>IF($H544&gt;J544,MIN($H544-J544,K544-J544)*INDEX('2018_commission_structure'!$A$11:$I$14,MATCH(Calculations!$E544,'2018_commission_structure'!$A$11:$A$14,0), MATCH(Calculations!Q$1,'2018_commission_structure'!$A$11:$I$11,0)),0)</f>
        <v>0</v>
      </c>
      <c r="R544" s="7">
        <f>IF($H544&gt;K544,MIN($H544-K544,L544-K544)*INDEX('2018_commission_structure'!$A$11:$I$14,MATCH(Calculations!$E544,'2018_commission_structure'!$A$11:$A$14,0), MATCH(Calculations!R$1,'2018_commission_structure'!$A$11:$I$11,0)),0)</f>
        <v>0</v>
      </c>
      <c r="S544" s="7">
        <f>IF(H544&gt;L544,(H544-L544)*INDEX('2018_commission_structure'!$A$11:$I$14,MATCH(Calculations!$E544,'2018_commission_structure'!$A$11:$A$14,0),MATCH(Calculations!S$1,'2018_commission_structure'!$A$11:$I$11,0)),0)</f>
        <v>0</v>
      </c>
      <c r="T544" s="7">
        <f t="shared" si="77"/>
        <v>33317.18</v>
      </c>
      <c r="U544" s="7">
        <f t="shared" si="78"/>
        <v>98049.18</v>
      </c>
      <c r="V544" s="7">
        <f>MIN(H544,I544)*INDEX('2018_commission_structure'!$A$5:$J$8,MATCH(Calculations!$E544,'2018_commission_structure'!$A$5:$A$8,0),MATCH(Calculations!V$1,'2018_commission_structure'!$A$5:$J$5,0))</f>
        <v>38442.9</v>
      </c>
      <c r="W544" s="2">
        <f>IF($H544&gt;I544,MIN($H544-I544,J544-I544)*INDEX('2018_commission_structure'!$A$5:$J$8,MATCH(Calculations!$E544,'2018_commission_structure'!$A$5:$A$8,0),MATCH(Calculations!W$1,'2018_commission_structure'!$A$5:$J$5,0)),0)</f>
        <v>0</v>
      </c>
      <c r="X544" s="2">
        <f>IF($H544&gt;J544,MIN($H544-J544,K544-J544)*INDEX('2018_commission_structure'!$A$5:$J$8,MATCH(Calculations!$E544,'2018_commission_structure'!$A$5:$A$8,0),MATCH(Calculations!X$1,'2018_commission_structure'!$A$5:$J$5,0)),0)</f>
        <v>0</v>
      </c>
      <c r="Y544" s="2">
        <f>IF($H544&gt;K544,MIN($H544-K544,L544-K544)*INDEX('2018_commission_structure'!$A$5:$J$8,MATCH(Calculations!$E544,'2018_commission_structure'!$A$5:$A$8,0),MATCH(Calculations!Y$1,'2018_commission_structure'!$A$5:$J$5,0)),0)</f>
        <v>0</v>
      </c>
      <c r="Z544" s="2">
        <f xml:space="preserve"> IF(H544&gt;L544,(H544-L544)*INDEX('2018_commission_structure'!$A$11:$I$14,MATCH(Calculations!$E544,'2018_commission_structure'!$A$11:$A$14,0),MATCH(Calculations!Z$1,'2018_commission_structure'!$A$11:$I$11,0)),0)</f>
        <v>0</v>
      </c>
      <c r="AA544" s="7">
        <f t="shared" si="79"/>
        <v>38442.9</v>
      </c>
      <c r="AB544" s="7">
        <f t="shared" si="80"/>
        <v>103174.9</v>
      </c>
    </row>
    <row r="545" spans="1:28" x14ac:dyDescent="0.25">
      <c r="A545">
        <v>8099854152</v>
      </c>
      <c r="B545" t="s">
        <v>925</v>
      </c>
      <c r="C545" t="s">
        <v>1100</v>
      </c>
      <c r="D545" t="str">
        <f>B545&amp;" "&amp;C545</f>
        <v>Elroy Lenaghen</v>
      </c>
      <c r="E545" t="s">
        <v>7</v>
      </c>
      <c r="F545">
        <v>33576</v>
      </c>
      <c r="G545">
        <f>COUNTIF(deals_closed!D:D,Calculations!A545)</f>
        <v>20</v>
      </c>
      <c r="H545" s="2">
        <f>SUMIF(deals_closed!D:D,Calculations!A545,deals_closed!C:C)</f>
        <v>729765</v>
      </c>
      <c r="I545" s="2">
        <f>VLOOKUP(E545,'2018_commission_structure'!$A$11:$I$14,9,FALSE)</f>
        <v>500000</v>
      </c>
      <c r="J545" s="2">
        <f t="shared" si="72"/>
        <v>625000</v>
      </c>
      <c r="K545" s="2">
        <f t="shared" si="73"/>
        <v>750000</v>
      </c>
      <c r="L545" s="2">
        <f t="shared" si="74"/>
        <v>1000000</v>
      </c>
      <c r="M545" s="6">
        <f t="shared" si="75"/>
        <v>1.45953</v>
      </c>
      <c r="N545" t="str">
        <f t="shared" si="76"/>
        <v>125-150%</v>
      </c>
      <c r="O545" s="7">
        <f>MIN(I545,H545)*INDEX('2018_commission_structure'!$A$11:$I$14,MATCH(Calculations!$E545,'2018_commission_structure'!$A$11:$A$14,0),MATCH(Calculations!O$1,'2018_commission_structure'!$A$11:$I$11,0))</f>
        <v>50000</v>
      </c>
      <c r="P545" s="7">
        <f>IF($H545&gt;I545,MIN($H545-I545,J545-I545)*INDEX('2018_commission_structure'!$A$11:$I$14,MATCH(Calculations!$E545,'2018_commission_structure'!$A$11:$A$14,0), MATCH(Calculations!P$1,'2018_commission_structure'!$A$11:$I$11,0)),0)</f>
        <v>18750</v>
      </c>
      <c r="Q545" s="7">
        <f>IF($H545&gt;J545,MIN($H545-J545,K545-J545)*INDEX('2018_commission_structure'!$A$11:$I$14,MATCH(Calculations!$E545,'2018_commission_structure'!$A$11:$A$14,0), MATCH(Calculations!Q$1,'2018_commission_structure'!$A$11:$I$11,0)),0)</f>
        <v>18857.7</v>
      </c>
      <c r="R545" s="7">
        <f>IF($H545&gt;K545,MIN($H545-K545,L545-K545)*INDEX('2018_commission_structure'!$A$11:$I$14,MATCH(Calculations!$E545,'2018_commission_structure'!$A$11:$A$14,0), MATCH(Calculations!R$1,'2018_commission_structure'!$A$11:$I$11,0)),0)</f>
        <v>0</v>
      </c>
      <c r="S545" s="7">
        <f>IF(H545&gt;L545,(H545-L545)*INDEX('2018_commission_structure'!$A$11:$I$14,MATCH(Calculations!$E545,'2018_commission_structure'!$A$11:$A$14,0),MATCH(Calculations!S$1,'2018_commission_structure'!$A$11:$I$11,0)),0)</f>
        <v>0</v>
      </c>
      <c r="T545" s="7">
        <f t="shared" si="77"/>
        <v>87607.7</v>
      </c>
      <c r="U545" s="7">
        <f t="shared" si="78"/>
        <v>121183.7</v>
      </c>
      <c r="V545" s="7">
        <f>MIN(H545,I545)*INDEX('2018_commission_structure'!$A$5:$J$8,MATCH(Calculations!$E545,'2018_commission_structure'!$A$5:$A$8,0),MATCH(Calculations!V$1,'2018_commission_structure'!$A$5:$J$5,0))</f>
        <v>60000</v>
      </c>
      <c r="W545" s="2">
        <f>IF($H545&gt;I545,MIN($H545-I545,J545-I545)*INDEX('2018_commission_structure'!$A$5:$J$8,MATCH(Calculations!$E545,'2018_commission_structure'!$A$5:$A$8,0),MATCH(Calculations!W$1,'2018_commission_structure'!$A$5:$J$5,0)),0)</f>
        <v>21250</v>
      </c>
      <c r="X545" s="2">
        <f>IF($H545&gt;J545,MIN($H545-J545,K545-J545)*INDEX('2018_commission_structure'!$A$5:$J$8,MATCH(Calculations!$E545,'2018_commission_structure'!$A$5:$A$8,0),MATCH(Calculations!X$1,'2018_commission_structure'!$A$5:$J$5,0)),0)</f>
        <v>20953</v>
      </c>
      <c r="Y545" s="2">
        <f>IF($H545&gt;K545,MIN($H545-K545,L545-K545)*INDEX('2018_commission_structure'!$A$5:$J$8,MATCH(Calculations!$E545,'2018_commission_structure'!$A$5:$A$8,0),MATCH(Calculations!Y$1,'2018_commission_structure'!$A$5:$J$5,0)),0)</f>
        <v>0</v>
      </c>
      <c r="Z545" s="2">
        <f xml:space="preserve"> IF(H545&gt;L545,(H545-L545)*INDEX('2018_commission_structure'!$A$11:$I$14,MATCH(Calculations!$E545,'2018_commission_structure'!$A$11:$A$14,0),MATCH(Calculations!Z$1,'2018_commission_structure'!$A$11:$I$11,0)),0)</f>
        <v>0</v>
      </c>
      <c r="AA545" s="7">
        <f t="shared" si="79"/>
        <v>102203</v>
      </c>
      <c r="AB545" s="7">
        <f t="shared" si="80"/>
        <v>135779</v>
      </c>
    </row>
    <row r="546" spans="1:28" x14ac:dyDescent="0.25">
      <c r="A546">
        <v>9561367408</v>
      </c>
      <c r="B546" t="s">
        <v>1001</v>
      </c>
      <c r="C546" t="s">
        <v>1002</v>
      </c>
      <c r="D546" t="str">
        <f>B546&amp;" "&amp;C546</f>
        <v>Tammy Lenden</v>
      </c>
      <c r="E546" t="s">
        <v>29</v>
      </c>
      <c r="F546">
        <v>62798</v>
      </c>
      <c r="G546">
        <f>COUNTIF(deals_closed!D:D,Calculations!A546)</f>
        <v>18</v>
      </c>
      <c r="H546" s="2">
        <f>SUMIF(deals_closed!D:D,Calculations!A546,deals_closed!C:C)</f>
        <v>621016</v>
      </c>
      <c r="I546" s="2">
        <f>VLOOKUP(E546,'2018_commission_structure'!$A$11:$I$14,9,FALSE)</f>
        <v>600000</v>
      </c>
      <c r="J546" s="2">
        <f t="shared" si="72"/>
        <v>750000</v>
      </c>
      <c r="K546" s="2">
        <f t="shared" si="73"/>
        <v>900000</v>
      </c>
      <c r="L546" s="2">
        <f t="shared" si="74"/>
        <v>1200000</v>
      </c>
      <c r="M546" s="6">
        <f t="shared" si="75"/>
        <v>1.0350266666666668</v>
      </c>
      <c r="N546" t="str">
        <f t="shared" si="76"/>
        <v>100-125%</v>
      </c>
      <c r="O546" s="7">
        <f>MIN(I546,H546)*INDEX('2018_commission_structure'!$A$11:$I$14,MATCH(Calculations!$E546,'2018_commission_structure'!$A$11:$A$14,0),MATCH(Calculations!O$1,'2018_commission_structure'!$A$11:$I$11,0))</f>
        <v>78000</v>
      </c>
      <c r="P546" s="7">
        <f>IF($H546&gt;I546,MIN($H546-I546,J546-I546)*INDEX('2018_commission_structure'!$A$11:$I$14,MATCH(Calculations!$E546,'2018_commission_structure'!$A$11:$A$14,0), MATCH(Calculations!P$1,'2018_commission_structure'!$A$11:$I$11,0)),0)</f>
        <v>3572.7200000000003</v>
      </c>
      <c r="Q546" s="7">
        <f>IF($H546&gt;J546,MIN($H546-J546,K546-J546)*INDEX('2018_commission_structure'!$A$11:$I$14,MATCH(Calculations!$E546,'2018_commission_structure'!$A$11:$A$14,0), MATCH(Calculations!Q$1,'2018_commission_structure'!$A$11:$I$11,0)),0)</f>
        <v>0</v>
      </c>
      <c r="R546" s="7">
        <f>IF($H546&gt;K546,MIN($H546-K546,L546-K546)*INDEX('2018_commission_structure'!$A$11:$I$14,MATCH(Calculations!$E546,'2018_commission_structure'!$A$11:$A$14,0), MATCH(Calculations!R$1,'2018_commission_structure'!$A$11:$I$11,0)),0)</f>
        <v>0</v>
      </c>
      <c r="S546" s="7">
        <f>IF(H546&gt;L546,(H546-L546)*INDEX('2018_commission_structure'!$A$11:$I$14,MATCH(Calculations!$E546,'2018_commission_structure'!$A$11:$A$14,0),MATCH(Calculations!S$1,'2018_commission_structure'!$A$11:$I$11,0)),0)</f>
        <v>0</v>
      </c>
      <c r="T546" s="7">
        <f t="shared" si="77"/>
        <v>81572.72</v>
      </c>
      <c r="U546" s="7">
        <f t="shared" si="78"/>
        <v>144370.72</v>
      </c>
      <c r="V546" s="7">
        <f>MIN(H546,I546)*INDEX('2018_commission_structure'!$A$5:$J$8,MATCH(Calculations!$E546,'2018_commission_structure'!$A$5:$A$8,0),MATCH(Calculations!V$1,'2018_commission_structure'!$A$5:$J$5,0))</f>
        <v>90000</v>
      </c>
      <c r="W546" s="2">
        <f>IF($H546&gt;I546,MIN($H546-I546,J546-I546)*INDEX('2018_commission_structure'!$A$5:$J$8,MATCH(Calculations!$E546,'2018_commission_structure'!$A$5:$A$8,0),MATCH(Calculations!W$1,'2018_commission_structure'!$A$5:$J$5,0)),0)</f>
        <v>3782.8799999999997</v>
      </c>
      <c r="X546" s="2">
        <f>IF($H546&gt;J546,MIN($H546-J546,K546-J546)*INDEX('2018_commission_structure'!$A$5:$J$8,MATCH(Calculations!$E546,'2018_commission_structure'!$A$5:$A$8,0),MATCH(Calculations!X$1,'2018_commission_structure'!$A$5:$J$5,0)),0)</f>
        <v>0</v>
      </c>
      <c r="Y546" s="2">
        <f>IF($H546&gt;K546,MIN($H546-K546,L546-K546)*INDEX('2018_commission_structure'!$A$5:$J$8,MATCH(Calculations!$E546,'2018_commission_structure'!$A$5:$A$8,0),MATCH(Calculations!Y$1,'2018_commission_structure'!$A$5:$J$5,0)),0)</f>
        <v>0</v>
      </c>
      <c r="Z546" s="2">
        <f xml:space="preserve"> IF(H546&gt;L546,(H546-L546)*INDEX('2018_commission_structure'!$A$11:$I$14,MATCH(Calculations!$E546,'2018_commission_structure'!$A$11:$A$14,0),MATCH(Calculations!Z$1,'2018_commission_structure'!$A$11:$I$11,0)),0)</f>
        <v>0</v>
      </c>
      <c r="AA546" s="7">
        <f t="shared" si="79"/>
        <v>93782.88</v>
      </c>
      <c r="AB546" s="7">
        <f t="shared" si="80"/>
        <v>156580.88</v>
      </c>
    </row>
    <row r="547" spans="1:28" x14ac:dyDescent="0.25">
      <c r="A547">
        <v>6358114417</v>
      </c>
      <c r="B547" t="s">
        <v>676</v>
      </c>
      <c r="C547" t="s">
        <v>677</v>
      </c>
      <c r="D547" t="str">
        <f>B547&amp;" "&amp;C547</f>
        <v>Abra Lenney</v>
      </c>
      <c r="E547" t="s">
        <v>29</v>
      </c>
      <c r="F547">
        <v>51000</v>
      </c>
      <c r="G547">
        <f>COUNTIF(deals_closed!D:D,Calculations!A547)</f>
        <v>16</v>
      </c>
      <c r="H547" s="2">
        <f>SUMIF(deals_closed!D:D,Calculations!A547,deals_closed!C:C)</f>
        <v>495156</v>
      </c>
      <c r="I547" s="2">
        <f>VLOOKUP(E547,'2018_commission_structure'!$A$11:$I$14,9,FALSE)</f>
        <v>600000</v>
      </c>
      <c r="J547" s="2">
        <f t="shared" si="72"/>
        <v>750000</v>
      </c>
      <c r="K547" s="2">
        <f t="shared" si="73"/>
        <v>900000</v>
      </c>
      <c r="L547" s="2">
        <f t="shared" si="74"/>
        <v>1200000</v>
      </c>
      <c r="M547" s="6">
        <f t="shared" si="75"/>
        <v>0.82525999999999999</v>
      </c>
      <c r="N547" t="str">
        <f t="shared" si="76"/>
        <v>0-100%</v>
      </c>
      <c r="O547" s="7">
        <f>MIN(I547,H547)*INDEX('2018_commission_structure'!$A$11:$I$14,MATCH(Calculations!$E547,'2018_commission_structure'!$A$11:$A$14,0),MATCH(Calculations!O$1,'2018_commission_structure'!$A$11:$I$11,0))</f>
        <v>64370.28</v>
      </c>
      <c r="P547" s="7">
        <f>IF($H547&gt;I547,MIN($H547-I547,J547-I547)*INDEX('2018_commission_structure'!$A$11:$I$14,MATCH(Calculations!$E547,'2018_commission_structure'!$A$11:$A$14,0), MATCH(Calculations!P$1,'2018_commission_structure'!$A$11:$I$11,0)),0)</f>
        <v>0</v>
      </c>
      <c r="Q547" s="7">
        <f>IF($H547&gt;J547,MIN($H547-J547,K547-J547)*INDEX('2018_commission_structure'!$A$11:$I$14,MATCH(Calculations!$E547,'2018_commission_structure'!$A$11:$A$14,0), MATCH(Calculations!Q$1,'2018_commission_structure'!$A$11:$I$11,0)),0)</f>
        <v>0</v>
      </c>
      <c r="R547" s="7">
        <f>IF($H547&gt;K547,MIN($H547-K547,L547-K547)*INDEX('2018_commission_structure'!$A$11:$I$14,MATCH(Calculations!$E547,'2018_commission_structure'!$A$11:$A$14,0), MATCH(Calculations!R$1,'2018_commission_structure'!$A$11:$I$11,0)),0)</f>
        <v>0</v>
      </c>
      <c r="S547" s="7">
        <f>IF(H547&gt;L547,(H547-L547)*INDEX('2018_commission_structure'!$A$11:$I$14,MATCH(Calculations!$E547,'2018_commission_structure'!$A$11:$A$14,0),MATCH(Calculations!S$1,'2018_commission_structure'!$A$11:$I$11,0)),0)</f>
        <v>0</v>
      </c>
      <c r="T547" s="7">
        <f t="shared" si="77"/>
        <v>64370.28</v>
      </c>
      <c r="U547" s="7">
        <f t="shared" si="78"/>
        <v>115370.28</v>
      </c>
      <c r="V547" s="7">
        <f>MIN(H547,I547)*INDEX('2018_commission_structure'!$A$5:$J$8,MATCH(Calculations!$E547,'2018_commission_structure'!$A$5:$A$8,0),MATCH(Calculations!V$1,'2018_commission_structure'!$A$5:$J$5,0))</f>
        <v>74273.399999999994</v>
      </c>
      <c r="W547" s="2">
        <f>IF($H547&gt;I547,MIN($H547-I547,J547-I547)*INDEX('2018_commission_structure'!$A$5:$J$8,MATCH(Calculations!$E547,'2018_commission_structure'!$A$5:$A$8,0),MATCH(Calculations!W$1,'2018_commission_structure'!$A$5:$J$5,0)),0)</f>
        <v>0</v>
      </c>
      <c r="X547" s="2">
        <f>IF($H547&gt;J547,MIN($H547-J547,K547-J547)*INDEX('2018_commission_structure'!$A$5:$J$8,MATCH(Calculations!$E547,'2018_commission_structure'!$A$5:$A$8,0),MATCH(Calculations!X$1,'2018_commission_structure'!$A$5:$J$5,0)),0)</f>
        <v>0</v>
      </c>
      <c r="Y547" s="2">
        <f>IF($H547&gt;K547,MIN($H547-K547,L547-K547)*INDEX('2018_commission_structure'!$A$5:$J$8,MATCH(Calculations!$E547,'2018_commission_structure'!$A$5:$A$8,0),MATCH(Calculations!Y$1,'2018_commission_structure'!$A$5:$J$5,0)),0)</f>
        <v>0</v>
      </c>
      <c r="Z547" s="2">
        <f xml:space="preserve"> IF(H547&gt;L547,(H547-L547)*INDEX('2018_commission_structure'!$A$11:$I$14,MATCH(Calculations!$E547,'2018_commission_structure'!$A$11:$A$14,0),MATCH(Calculations!Z$1,'2018_commission_structure'!$A$11:$I$11,0)),0)</f>
        <v>0</v>
      </c>
      <c r="AA547" s="7">
        <f t="shared" si="79"/>
        <v>74273.399999999994</v>
      </c>
      <c r="AB547" s="7">
        <f t="shared" si="80"/>
        <v>125273.4</v>
      </c>
    </row>
    <row r="548" spans="1:28" x14ac:dyDescent="0.25">
      <c r="A548">
        <v>4795089876</v>
      </c>
      <c r="B548" t="s">
        <v>393</v>
      </c>
      <c r="C548" t="s">
        <v>394</v>
      </c>
      <c r="D548" t="str">
        <f>B548&amp;" "&amp;C548</f>
        <v>Vale Lesek</v>
      </c>
      <c r="E548" t="s">
        <v>29</v>
      </c>
      <c r="F548">
        <v>74505</v>
      </c>
      <c r="G548">
        <f>COUNTIF(deals_closed!D:D,Calculations!A548)</f>
        <v>21</v>
      </c>
      <c r="H548" s="2">
        <f>SUMIF(deals_closed!D:D,Calculations!A548,deals_closed!C:C)</f>
        <v>808131</v>
      </c>
      <c r="I548" s="2">
        <f>VLOOKUP(E548,'2018_commission_structure'!$A$11:$I$14,9,FALSE)</f>
        <v>600000</v>
      </c>
      <c r="J548" s="2">
        <f t="shared" si="72"/>
        <v>750000</v>
      </c>
      <c r="K548" s="2">
        <f t="shared" si="73"/>
        <v>900000</v>
      </c>
      <c r="L548" s="2">
        <f t="shared" si="74"/>
        <v>1200000</v>
      </c>
      <c r="M548" s="6">
        <f t="shared" si="75"/>
        <v>1.3468850000000001</v>
      </c>
      <c r="N548" t="str">
        <f t="shared" si="76"/>
        <v>125-150%</v>
      </c>
      <c r="O548" s="7">
        <f>MIN(I548,H548)*INDEX('2018_commission_structure'!$A$11:$I$14,MATCH(Calculations!$E548,'2018_commission_structure'!$A$11:$A$14,0),MATCH(Calculations!O$1,'2018_commission_structure'!$A$11:$I$11,0))</f>
        <v>78000</v>
      </c>
      <c r="P548" s="7">
        <f>IF($H548&gt;I548,MIN($H548-I548,J548-I548)*INDEX('2018_commission_structure'!$A$11:$I$14,MATCH(Calculations!$E548,'2018_commission_structure'!$A$11:$A$14,0), MATCH(Calculations!P$1,'2018_commission_structure'!$A$11:$I$11,0)),0)</f>
        <v>25500.000000000004</v>
      </c>
      <c r="Q548" s="7">
        <f>IF($H548&gt;J548,MIN($H548-J548,K548-J548)*INDEX('2018_commission_structure'!$A$11:$I$14,MATCH(Calculations!$E548,'2018_commission_structure'!$A$11:$A$14,0), MATCH(Calculations!Q$1,'2018_commission_structure'!$A$11:$I$11,0)),0)</f>
        <v>12207.51</v>
      </c>
      <c r="R548" s="7">
        <f>IF($H548&gt;K548,MIN($H548-K548,L548-K548)*INDEX('2018_commission_structure'!$A$11:$I$14,MATCH(Calculations!$E548,'2018_commission_structure'!$A$11:$A$14,0), MATCH(Calculations!R$1,'2018_commission_structure'!$A$11:$I$11,0)),0)</f>
        <v>0</v>
      </c>
      <c r="S548" s="7">
        <f>IF(H548&gt;L548,(H548-L548)*INDEX('2018_commission_structure'!$A$11:$I$14,MATCH(Calculations!$E548,'2018_commission_structure'!$A$11:$A$14,0),MATCH(Calculations!S$1,'2018_commission_structure'!$A$11:$I$11,0)),0)</f>
        <v>0</v>
      </c>
      <c r="T548" s="7">
        <f t="shared" si="77"/>
        <v>115707.51</v>
      </c>
      <c r="U548" s="7">
        <f t="shared" si="78"/>
        <v>190212.51</v>
      </c>
      <c r="V548" s="7">
        <f>MIN(H548,I548)*INDEX('2018_commission_structure'!$A$5:$J$8,MATCH(Calculations!$E548,'2018_commission_structure'!$A$5:$A$8,0),MATCH(Calculations!V$1,'2018_commission_structure'!$A$5:$J$5,0))</f>
        <v>90000</v>
      </c>
      <c r="W548" s="2">
        <f>IF($H548&gt;I548,MIN($H548-I548,J548-I548)*INDEX('2018_commission_structure'!$A$5:$J$8,MATCH(Calculations!$E548,'2018_commission_structure'!$A$5:$A$8,0),MATCH(Calculations!W$1,'2018_commission_structure'!$A$5:$J$5,0)),0)</f>
        <v>27000</v>
      </c>
      <c r="X548" s="2">
        <f>IF($H548&gt;J548,MIN($H548-J548,K548-J548)*INDEX('2018_commission_structure'!$A$5:$J$8,MATCH(Calculations!$E548,'2018_commission_structure'!$A$5:$A$8,0),MATCH(Calculations!X$1,'2018_commission_structure'!$A$5:$J$5,0)),0)</f>
        <v>14532.75</v>
      </c>
      <c r="Y548" s="2">
        <f>IF($H548&gt;K548,MIN($H548-K548,L548-K548)*INDEX('2018_commission_structure'!$A$5:$J$8,MATCH(Calculations!$E548,'2018_commission_structure'!$A$5:$A$8,0),MATCH(Calculations!Y$1,'2018_commission_structure'!$A$5:$J$5,0)),0)</f>
        <v>0</v>
      </c>
      <c r="Z548" s="2">
        <f xml:space="preserve"> IF(H548&gt;L548,(H548-L548)*INDEX('2018_commission_structure'!$A$11:$I$14,MATCH(Calculations!$E548,'2018_commission_structure'!$A$11:$A$14,0),MATCH(Calculations!Z$1,'2018_commission_structure'!$A$11:$I$11,0)),0)</f>
        <v>0</v>
      </c>
      <c r="AA548" s="7">
        <f t="shared" si="79"/>
        <v>131532.75</v>
      </c>
      <c r="AB548" s="7">
        <f t="shared" si="80"/>
        <v>206037.75</v>
      </c>
    </row>
    <row r="549" spans="1:28" x14ac:dyDescent="0.25">
      <c r="A549">
        <v>9305168396</v>
      </c>
      <c r="B549" t="s">
        <v>1294</v>
      </c>
      <c r="C549" t="s">
        <v>1295</v>
      </c>
      <c r="D549" t="str">
        <f>B549&amp;" "&amp;C549</f>
        <v>Lesley Letford</v>
      </c>
      <c r="E549" t="s">
        <v>7</v>
      </c>
      <c r="F549">
        <v>56397</v>
      </c>
      <c r="G549">
        <f>COUNTIF(deals_closed!D:D,Calculations!A549)</f>
        <v>19</v>
      </c>
      <c r="H549" s="2">
        <f>SUMIF(deals_closed!D:D,Calculations!A549,deals_closed!C:C)</f>
        <v>749195</v>
      </c>
      <c r="I549" s="2">
        <f>VLOOKUP(E549,'2018_commission_structure'!$A$11:$I$14,9,FALSE)</f>
        <v>500000</v>
      </c>
      <c r="J549" s="2">
        <f t="shared" si="72"/>
        <v>625000</v>
      </c>
      <c r="K549" s="2">
        <f t="shared" si="73"/>
        <v>750000</v>
      </c>
      <c r="L549" s="2">
        <f t="shared" si="74"/>
        <v>1000000</v>
      </c>
      <c r="M549" s="6">
        <f t="shared" si="75"/>
        <v>1.4983900000000001</v>
      </c>
      <c r="N549" t="str">
        <f t="shared" si="76"/>
        <v>125-150%</v>
      </c>
      <c r="O549" s="7">
        <f>MIN(I549,H549)*INDEX('2018_commission_structure'!$A$11:$I$14,MATCH(Calculations!$E549,'2018_commission_structure'!$A$11:$A$14,0),MATCH(Calculations!O$1,'2018_commission_structure'!$A$11:$I$11,0))</f>
        <v>50000</v>
      </c>
      <c r="P549" s="7">
        <f>IF($H549&gt;I549,MIN($H549-I549,J549-I549)*INDEX('2018_commission_structure'!$A$11:$I$14,MATCH(Calculations!$E549,'2018_commission_structure'!$A$11:$A$14,0), MATCH(Calculations!P$1,'2018_commission_structure'!$A$11:$I$11,0)),0)</f>
        <v>18750</v>
      </c>
      <c r="Q549" s="7">
        <f>IF($H549&gt;J549,MIN($H549-J549,K549-J549)*INDEX('2018_commission_structure'!$A$11:$I$14,MATCH(Calculations!$E549,'2018_commission_structure'!$A$11:$A$14,0), MATCH(Calculations!Q$1,'2018_commission_structure'!$A$11:$I$11,0)),0)</f>
        <v>22355.1</v>
      </c>
      <c r="R549" s="7">
        <f>IF($H549&gt;K549,MIN($H549-K549,L549-K549)*INDEX('2018_commission_structure'!$A$11:$I$14,MATCH(Calculations!$E549,'2018_commission_structure'!$A$11:$A$14,0), MATCH(Calculations!R$1,'2018_commission_structure'!$A$11:$I$11,0)),0)</f>
        <v>0</v>
      </c>
      <c r="S549" s="7">
        <f>IF(H549&gt;L549,(H549-L549)*INDEX('2018_commission_structure'!$A$11:$I$14,MATCH(Calculations!$E549,'2018_commission_structure'!$A$11:$A$14,0),MATCH(Calculations!S$1,'2018_commission_structure'!$A$11:$I$11,0)),0)</f>
        <v>0</v>
      </c>
      <c r="T549" s="7">
        <f t="shared" si="77"/>
        <v>91105.1</v>
      </c>
      <c r="U549" s="7">
        <f t="shared" si="78"/>
        <v>147502.1</v>
      </c>
      <c r="V549" s="7">
        <f>MIN(H549,I549)*INDEX('2018_commission_structure'!$A$5:$J$8,MATCH(Calculations!$E549,'2018_commission_structure'!$A$5:$A$8,0),MATCH(Calculations!V$1,'2018_commission_structure'!$A$5:$J$5,0))</f>
        <v>60000</v>
      </c>
      <c r="W549" s="2">
        <f>IF($H549&gt;I549,MIN($H549-I549,J549-I549)*INDEX('2018_commission_structure'!$A$5:$J$8,MATCH(Calculations!$E549,'2018_commission_structure'!$A$5:$A$8,0),MATCH(Calculations!W$1,'2018_commission_structure'!$A$5:$J$5,0)),0)</f>
        <v>21250</v>
      </c>
      <c r="X549" s="2">
        <f>IF($H549&gt;J549,MIN($H549-J549,K549-J549)*INDEX('2018_commission_structure'!$A$5:$J$8,MATCH(Calculations!$E549,'2018_commission_structure'!$A$5:$A$8,0),MATCH(Calculations!X$1,'2018_commission_structure'!$A$5:$J$5,0)),0)</f>
        <v>24839</v>
      </c>
      <c r="Y549" s="2">
        <f>IF($H549&gt;K549,MIN($H549-K549,L549-K549)*INDEX('2018_commission_structure'!$A$5:$J$8,MATCH(Calculations!$E549,'2018_commission_structure'!$A$5:$A$8,0),MATCH(Calculations!Y$1,'2018_commission_structure'!$A$5:$J$5,0)),0)</f>
        <v>0</v>
      </c>
      <c r="Z549" s="2">
        <f xml:space="preserve"> IF(H549&gt;L549,(H549-L549)*INDEX('2018_commission_structure'!$A$11:$I$14,MATCH(Calculations!$E549,'2018_commission_structure'!$A$11:$A$14,0),MATCH(Calculations!Z$1,'2018_commission_structure'!$A$11:$I$11,0)),0)</f>
        <v>0</v>
      </c>
      <c r="AA549" s="7">
        <f t="shared" si="79"/>
        <v>106089</v>
      </c>
      <c r="AB549" s="7">
        <f t="shared" si="80"/>
        <v>162486</v>
      </c>
    </row>
    <row r="550" spans="1:28" x14ac:dyDescent="0.25">
      <c r="A550">
        <v>3463222345</v>
      </c>
      <c r="B550" t="s">
        <v>1582</v>
      </c>
      <c r="C550" t="s">
        <v>1583</v>
      </c>
      <c r="D550" t="str">
        <f>B550&amp;" "&amp;C550</f>
        <v>Currie Lethbury</v>
      </c>
      <c r="E550" t="s">
        <v>7</v>
      </c>
      <c r="F550">
        <v>50537</v>
      </c>
      <c r="G550">
        <f>COUNTIF(deals_closed!D:D,Calculations!A550)</f>
        <v>20</v>
      </c>
      <c r="H550" s="2">
        <f>SUMIF(deals_closed!D:D,Calculations!A550,deals_closed!C:C)</f>
        <v>596017</v>
      </c>
      <c r="I550" s="2">
        <f>VLOOKUP(E550,'2018_commission_structure'!$A$11:$I$14,9,FALSE)</f>
        <v>500000</v>
      </c>
      <c r="J550" s="2">
        <f t="shared" si="72"/>
        <v>625000</v>
      </c>
      <c r="K550" s="2">
        <f t="shared" si="73"/>
        <v>750000</v>
      </c>
      <c r="L550" s="2">
        <f t="shared" si="74"/>
        <v>1000000</v>
      </c>
      <c r="M550" s="6">
        <f t="shared" si="75"/>
        <v>1.192034</v>
      </c>
      <c r="N550" t="str">
        <f t="shared" si="76"/>
        <v>100-125%</v>
      </c>
      <c r="O550" s="7">
        <f>MIN(I550,H550)*INDEX('2018_commission_structure'!$A$11:$I$14,MATCH(Calculations!$E550,'2018_commission_structure'!$A$11:$A$14,0),MATCH(Calculations!O$1,'2018_commission_structure'!$A$11:$I$11,0))</f>
        <v>50000</v>
      </c>
      <c r="P550" s="7">
        <f>IF($H550&gt;I550,MIN($H550-I550,J550-I550)*INDEX('2018_commission_structure'!$A$11:$I$14,MATCH(Calculations!$E550,'2018_commission_structure'!$A$11:$A$14,0), MATCH(Calculations!P$1,'2018_commission_structure'!$A$11:$I$11,0)),0)</f>
        <v>14402.55</v>
      </c>
      <c r="Q550" s="7">
        <f>IF($H550&gt;J550,MIN($H550-J550,K550-J550)*INDEX('2018_commission_structure'!$A$11:$I$14,MATCH(Calculations!$E550,'2018_commission_structure'!$A$11:$A$14,0), MATCH(Calculations!Q$1,'2018_commission_structure'!$A$11:$I$11,0)),0)</f>
        <v>0</v>
      </c>
      <c r="R550" s="7">
        <f>IF($H550&gt;K550,MIN($H550-K550,L550-K550)*INDEX('2018_commission_structure'!$A$11:$I$14,MATCH(Calculations!$E550,'2018_commission_structure'!$A$11:$A$14,0), MATCH(Calculations!R$1,'2018_commission_structure'!$A$11:$I$11,0)),0)</f>
        <v>0</v>
      </c>
      <c r="S550" s="7">
        <f>IF(H550&gt;L550,(H550-L550)*INDEX('2018_commission_structure'!$A$11:$I$14,MATCH(Calculations!$E550,'2018_commission_structure'!$A$11:$A$14,0),MATCH(Calculations!S$1,'2018_commission_structure'!$A$11:$I$11,0)),0)</f>
        <v>0</v>
      </c>
      <c r="T550" s="7">
        <f t="shared" si="77"/>
        <v>64402.55</v>
      </c>
      <c r="U550" s="7">
        <f t="shared" si="78"/>
        <v>114939.55</v>
      </c>
      <c r="V550" s="7">
        <f>MIN(H550,I550)*INDEX('2018_commission_structure'!$A$5:$J$8,MATCH(Calculations!$E550,'2018_commission_structure'!$A$5:$A$8,0),MATCH(Calculations!V$1,'2018_commission_structure'!$A$5:$J$5,0))</f>
        <v>60000</v>
      </c>
      <c r="W550" s="2">
        <f>IF($H550&gt;I550,MIN($H550-I550,J550-I550)*INDEX('2018_commission_structure'!$A$5:$J$8,MATCH(Calculations!$E550,'2018_commission_structure'!$A$5:$A$8,0),MATCH(Calculations!W$1,'2018_commission_structure'!$A$5:$J$5,0)),0)</f>
        <v>16322.890000000001</v>
      </c>
      <c r="X550" s="2">
        <f>IF($H550&gt;J550,MIN($H550-J550,K550-J550)*INDEX('2018_commission_structure'!$A$5:$J$8,MATCH(Calculations!$E550,'2018_commission_structure'!$A$5:$A$8,0),MATCH(Calculations!X$1,'2018_commission_structure'!$A$5:$J$5,0)),0)</f>
        <v>0</v>
      </c>
      <c r="Y550" s="2">
        <f>IF($H550&gt;K550,MIN($H550-K550,L550-K550)*INDEX('2018_commission_structure'!$A$5:$J$8,MATCH(Calculations!$E550,'2018_commission_structure'!$A$5:$A$8,0),MATCH(Calculations!Y$1,'2018_commission_structure'!$A$5:$J$5,0)),0)</f>
        <v>0</v>
      </c>
      <c r="Z550" s="2">
        <f xml:space="preserve"> IF(H550&gt;L550,(H550-L550)*INDEX('2018_commission_structure'!$A$11:$I$14,MATCH(Calculations!$E550,'2018_commission_structure'!$A$11:$A$14,0),MATCH(Calculations!Z$1,'2018_commission_structure'!$A$11:$I$11,0)),0)</f>
        <v>0</v>
      </c>
      <c r="AA550" s="7">
        <f t="shared" si="79"/>
        <v>76322.89</v>
      </c>
      <c r="AB550" s="7">
        <f t="shared" si="80"/>
        <v>126859.89</v>
      </c>
    </row>
    <row r="551" spans="1:28" x14ac:dyDescent="0.25">
      <c r="A551">
        <v>8256403403</v>
      </c>
      <c r="B551" t="s">
        <v>1605</v>
      </c>
      <c r="C551" t="s">
        <v>1909</v>
      </c>
      <c r="D551" t="str">
        <f>B551&amp;" "&amp;C551</f>
        <v>Scot Lethem</v>
      </c>
      <c r="E551" t="s">
        <v>10</v>
      </c>
      <c r="F551">
        <v>116569</v>
      </c>
      <c r="G551">
        <f>COUNTIF(deals_closed!D:D,Calculations!A551)</f>
        <v>31</v>
      </c>
      <c r="H551" s="2">
        <f>SUMIF(deals_closed!D:D,Calculations!A551,deals_closed!C:C)</f>
        <v>1224207</v>
      </c>
      <c r="I551" s="2">
        <f>VLOOKUP(E551,'2018_commission_structure'!$A$11:$I$14,9,FALSE)</f>
        <v>750000</v>
      </c>
      <c r="J551" s="2">
        <f t="shared" si="72"/>
        <v>937500</v>
      </c>
      <c r="K551" s="2">
        <f t="shared" si="73"/>
        <v>1125000</v>
      </c>
      <c r="L551" s="2">
        <f t="shared" si="74"/>
        <v>1500000</v>
      </c>
      <c r="M551" s="6">
        <f t="shared" si="75"/>
        <v>1.6322760000000001</v>
      </c>
      <c r="N551" t="str">
        <f t="shared" si="76"/>
        <v>150-200%</v>
      </c>
      <c r="O551" s="7">
        <f>MIN(I551,H551)*INDEX('2018_commission_structure'!$A$11:$I$14,MATCH(Calculations!$E551,'2018_commission_structure'!$A$11:$A$14,0),MATCH(Calculations!O$1,'2018_commission_structure'!$A$11:$I$11,0))</f>
        <v>112500</v>
      </c>
      <c r="P551" s="7">
        <f>IF($H551&gt;I551,MIN($H551-I551,J551-I551)*INDEX('2018_commission_structure'!$A$11:$I$14,MATCH(Calculations!$E551,'2018_commission_structure'!$A$11:$A$14,0), MATCH(Calculations!P$1,'2018_commission_structure'!$A$11:$I$11,0)),0)</f>
        <v>35625</v>
      </c>
      <c r="Q551" s="7">
        <f>IF($H551&gt;J551,MIN($H551-J551,K551-J551)*INDEX('2018_commission_structure'!$A$11:$I$14,MATCH(Calculations!$E551,'2018_commission_structure'!$A$11:$A$14,0), MATCH(Calculations!Q$1,'2018_commission_structure'!$A$11:$I$11,0)),0)</f>
        <v>43125</v>
      </c>
      <c r="R551" s="7">
        <f>IF($H551&gt;K551,MIN($H551-K551,L551-K551)*INDEX('2018_commission_structure'!$A$11:$I$14,MATCH(Calculations!$E551,'2018_commission_structure'!$A$11:$A$14,0), MATCH(Calculations!R$1,'2018_commission_structure'!$A$11:$I$11,0)),0)</f>
        <v>29762.1</v>
      </c>
      <c r="S551" s="7">
        <f>IF(H551&gt;L551,(H551-L551)*INDEX('2018_commission_structure'!$A$11:$I$14,MATCH(Calculations!$E551,'2018_commission_structure'!$A$11:$A$14,0),MATCH(Calculations!S$1,'2018_commission_structure'!$A$11:$I$11,0)),0)</f>
        <v>0</v>
      </c>
      <c r="T551" s="7">
        <f t="shared" si="77"/>
        <v>221012.1</v>
      </c>
      <c r="U551" s="7">
        <f t="shared" si="78"/>
        <v>337581.1</v>
      </c>
      <c r="V551" s="7">
        <f>MIN(H551,I551)*INDEX('2018_commission_structure'!$A$5:$J$8,MATCH(Calculations!$E551,'2018_commission_structure'!$A$5:$A$8,0),MATCH(Calculations!V$1,'2018_commission_structure'!$A$5:$J$5,0))</f>
        <v>112500</v>
      </c>
      <c r="W551" s="2">
        <f>IF($H551&gt;I551,MIN($H551-I551,J551-I551)*INDEX('2018_commission_structure'!$A$5:$J$8,MATCH(Calculations!$E551,'2018_commission_structure'!$A$5:$A$8,0),MATCH(Calculations!W$1,'2018_commission_structure'!$A$5:$J$5,0)),0)</f>
        <v>41250</v>
      </c>
      <c r="X551" s="2">
        <f>IF($H551&gt;J551,MIN($H551-J551,K551-J551)*INDEX('2018_commission_structure'!$A$5:$J$8,MATCH(Calculations!$E551,'2018_commission_structure'!$A$5:$A$8,0),MATCH(Calculations!X$1,'2018_commission_structure'!$A$5:$J$5,0)),0)</f>
        <v>46875</v>
      </c>
      <c r="Y551" s="2">
        <f>IF($H551&gt;K551,MIN($H551-K551,L551-K551)*INDEX('2018_commission_structure'!$A$5:$J$8,MATCH(Calculations!$E551,'2018_commission_structure'!$A$5:$A$8,0),MATCH(Calculations!Y$1,'2018_commission_structure'!$A$5:$J$5,0)),0)</f>
        <v>32738.31</v>
      </c>
      <c r="Z551" s="2">
        <f xml:space="preserve"> IF(H551&gt;L551,(H551-L551)*INDEX('2018_commission_structure'!$A$11:$I$14,MATCH(Calculations!$E551,'2018_commission_structure'!$A$11:$A$14,0),MATCH(Calculations!Z$1,'2018_commission_structure'!$A$11:$I$11,0)),0)</f>
        <v>0</v>
      </c>
      <c r="AA551" s="7">
        <f t="shared" si="79"/>
        <v>233363.31</v>
      </c>
      <c r="AB551" s="7">
        <f t="shared" si="80"/>
        <v>349932.31</v>
      </c>
    </row>
    <row r="552" spans="1:28" x14ac:dyDescent="0.25">
      <c r="A552">
        <v>5603002824</v>
      </c>
      <c r="B552" t="s">
        <v>1664</v>
      </c>
      <c r="C552" t="s">
        <v>1665</v>
      </c>
      <c r="D552" t="str">
        <f>B552&amp;" "&amp;C552</f>
        <v>Friederike Leve</v>
      </c>
      <c r="E552" t="s">
        <v>29</v>
      </c>
      <c r="F552">
        <v>71120</v>
      </c>
      <c r="G552">
        <f>COUNTIF(deals_closed!D:D,Calculations!A552)</f>
        <v>19</v>
      </c>
      <c r="H552" s="2">
        <f>SUMIF(deals_closed!D:D,Calculations!A552,deals_closed!C:C)</f>
        <v>737953</v>
      </c>
      <c r="I552" s="2">
        <f>VLOOKUP(E552,'2018_commission_structure'!$A$11:$I$14,9,FALSE)</f>
        <v>600000</v>
      </c>
      <c r="J552" s="2">
        <f t="shared" si="72"/>
        <v>750000</v>
      </c>
      <c r="K552" s="2">
        <f t="shared" si="73"/>
        <v>900000</v>
      </c>
      <c r="L552" s="2">
        <f t="shared" si="74"/>
        <v>1200000</v>
      </c>
      <c r="M552" s="6">
        <f t="shared" si="75"/>
        <v>1.2299216666666666</v>
      </c>
      <c r="N552" t="str">
        <f t="shared" si="76"/>
        <v>100-125%</v>
      </c>
      <c r="O552" s="7">
        <f>MIN(I552,H552)*INDEX('2018_commission_structure'!$A$11:$I$14,MATCH(Calculations!$E552,'2018_commission_structure'!$A$11:$A$14,0),MATCH(Calculations!O$1,'2018_commission_structure'!$A$11:$I$11,0))</f>
        <v>78000</v>
      </c>
      <c r="P552" s="7">
        <f>IF($H552&gt;I552,MIN($H552-I552,J552-I552)*INDEX('2018_commission_structure'!$A$11:$I$14,MATCH(Calculations!$E552,'2018_commission_structure'!$A$11:$A$14,0), MATCH(Calculations!P$1,'2018_commission_structure'!$A$11:$I$11,0)),0)</f>
        <v>23452.010000000002</v>
      </c>
      <c r="Q552" s="7">
        <f>IF($H552&gt;J552,MIN($H552-J552,K552-J552)*INDEX('2018_commission_structure'!$A$11:$I$14,MATCH(Calculations!$E552,'2018_commission_structure'!$A$11:$A$14,0), MATCH(Calculations!Q$1,'2018_commission_structure'!$A$11:$I$11,0)),0)</f>
        <v>0</v>
      </c>
      <c r="R552" s="7">
        <f>IF($H552&gt;K552,MIN($H552-K552,L552-K552)*INDEX('2018_commission_structure'!$A$11:$I$14,MATCH(Calculations!$E552,'2018_commission_structure'!$A$11:$A$14,0), MATCH(Calculations!R$1,'2018_commission_structure'!$A$11:$I$11,0)),0)</f>
        <v>0</v>
      </c>
      <c r="S552" s="7">
        <f>IF(H552&gt;L552,(H552-L552)*INDEX('2018_commission_structure'!$A$11:$I$14,MATCH(Calculations!$E552,'2018_commission_structure'!$A$11:$A$14,0),MATCH(Calculations!S$1,'2018_commission_structure'!$A$11:$I$11,0)),0)</f>
        <v>0</v>
      </c>
      <c r="T552" s="7">
        <f t="shared" si="77"/>
        <v>101452.01000000001</v>
      </c>
      <c r="U552" s="7">
        <f t="shared" si="78"/>
        <v>172572.01</v>
      </c>
      <c r="V552" s="7">
        <f>MIN(H552,I552)*INDEX('2018_commission_structure'!$A$5:$J$8,MATCH(Calculations!$E552,'2018_commission_structure'!$A$5:$A$8,0),MATCH(Calculations!V$1,'2018_commission_structure'!$A$5:$J$5,0))</f>
        <v>90000</v>
      </c>
      <c r="W552" s="2">
        <f>IF($H552&gt;I552,MIN($H552-I552,J552-I552)*INDEX('2018_commission_structure'!$A$5:$J$8,MATCH(Calculations!$E552,'2018_commission_structure'!$A$5:$A$8,0),MATCH(Calculations!W$1,'2018_commission_structure'!$A$5:$J$5,0)),0)</f>
        <v>24831.54</v>
      </c>
      <c r="X552" s="2">
        <f>IF($H552&gt;J552,MIN($H552-J552,K552-J552)*INDEX('2018_commission_structure'!$A$5:$J$8,MATCH(Calculations!$E552,'2018_commission_structure'!$A$5:$A$8,0),MATCH(Calculations!X$1,'2018_commission_structure'!$A$5:$J$5,0)),0)</f>
        <v>0</v>
      </c>
      <c r="Y552" s="2">
        <f>IF($H552&gt;K552,MIN($H552-K552,L552-K552)*INDEX('2018_commission_structure'!$A$5:$J$8,MATCH(Calculations!$E552,'2018_commission_structure'!$A$5:$A$8,0),MATCH(Calculations!Y$1,'2018_commission_structure'!$A$5:$J$5,0)),0)</f>
        <v>0</v>
      </c>
      <c r="Z552" s="2">
        <f xml:space="preserve"> IF(H552&gt;L552,(H552-L552)*INDEX('2018_commission_structure'!$A$11:$I$14,MATCH(Calculations!$E552,'2018_commission_structure'!$A$11:$A$14,0),MATCH(Calculations!Z$1,'2018_commission_structure'!$A$11:$I$11,0)),0)</f>
        <v>0</v>
      </c>
      <c r="AA552" s="7">
        <f t="shared" si="79"/>
        <v>114831.54000000001</v>
      </c>
      <c r="AB552" s="7">
        <f t="shared" si="80"/>
        <v>185951.54</v>
      </c>
    </row>
    <row r="553" spans="1:28" x14ac:dyDescent="0.25">
      <c r="A553">
        <v>1279282711</v>
      </c>
      <c r="B553" t="s">
        <v>779</v>
      </c>
      <c r="C553" t="s">
        <v>780</v>
      </c>
      <c r="D553" t="str">
        <f>B553&amp;" "&amp;C553</f>
        <v>Merilee Leverich</v>
      </c>
      <c r="E553" t="s">
        <v>29</v>
      </c>
      <c r="F553">
        <v>64256</v>
      </c>
      <c r="G553">
        <f>COUNTIF(deals_closed!D:D,Calculations!A553)</f>
        <v>9</v>
      </c>
      <c r="H553" s="2">
        <f>SUMIF(deals_closed!D:D,Calculations!A553,deals_closed!C:C)</f>
        <v>347519</v>
      </c>
      <c r="I553" s="2">
        <f>VLOOKUP(E553,'2018_commission_structure'!$A$11:$I$14,9,FALSE)</f>
        <v>600000</v>
      </c>
      <c r="J553" s="2">
        <f t="shared" si="72"/>
        <v>750000</v>
      </c>
      <c r="K553" s="2">
        <f t="shared" si="73"/>
        <v>900000</v>
      </c>
      <c r="L553" s="2">
        <f t="shared" si="74"/>
        <v>1200000</v>
      </c>
      <c r="M553" s="6">
        <f t="shared" si="75"/>
        <v>0.57919833333333337</v>
      </c>
      <c r="N553" t="str">
        <f t="shared" si="76"/>
        <v>0-100%</v>
      </c>
      <c r="O553" s="7">
        <f>MIN(I553,H553)*INDEX('2018_commission_structure'!$A$11:$I$14,MATCH(Calculations!$E553,'2018_commission_structure'!$A$11:$A$14,0),MATCH(Calculations!O$1,'2018_commission_structure'!$A$11:$I$11,0))</f>
        <v>45177.47</v>
      </c>
      <c r="P553" s="7">
        <f>IF($H553&gt;I553,MIN($H553-I553,J553-I553)*INDEX('2018_commission_structure'!$A$11:$I$14,MATCH(Calculations!$E553,'2018_commission_structure'!$A$11:$A$14,0), MATCH(Calculations!P$1,'2018_commission_structure'!$A$11:$I$11,0)),0)</f>
        <v>0</v>
      </c>
      <c r="Q553" s="7">
        <f>IF($H553&gt;J553,MIN($H553-J553,K553-J553)*INDEX('2018_commission_structure'!$A$11:$I$14,MATCH(Calculations!$E553,'2018_commission_structure'!$A$11:$A$14,0), MATCH(Calculations!Q$1,'2018_commission_structure'!$A$11:$I$11,0)),0)</f>
        <v>0</v>
      </c>
      <c r="R553" s="7">
        <f>IF($H553&gt;K553,MIN($H553-K553,L553-K553)*INDEX('2018_commission_structure'!$A$11:$I$14,MATCH(Calculations!$E553,'2018_commission_structure'!$A$11:$A$14,0), MATCH(Calculations!R$1,'2018_commission_structure'!$A$11:$I$11,0)),0)</f>
        <v>0</v>
      </c>
      <c r="S553" s="7">
        <f>IF(H553&gt;L553,(H553-L553)*INDEX('2018_commission_structure'!$A$11:$I$14,MATCH(Calculations!$E553,'2018_commission_structure'!$A$11:$A$14,0),MATCH(Calculations!S$1,'2018_commission_structure'!$A$11:$I$11,0)),0)</f>
        <v>0</v>
      </c>
      <c r="T553" s="7">
        <f t="shared" si="77"/>
        <v>45177.47</v>
      </c>
      <c r="U553" s="7">
        <f t="shared" si="78"/>
        <v>109433.47</v>
      </c>
      <c r="V553" s="7">
        <f>MIN(H553,I553)*INDEX('2018_commission_structure'!$A$5:$J$8,MATCH(Calculations!$E553,'2018_commission_structure'!$A$5:$A$8,0),MATCH(Calculations!V$1,'2018_commission_structure'!$A$5:$J$5,0))</f>
        <v>52127.85</v>
      </c>
      <c r="W553" s="2">
        <f>IF($H553&gt;I553,MIN($H553-I553,J553-I553)*INDEX('2018_commission_structure'!$A$5:$J$8,MATCH(Calculations!$E553,'2018_commission_structure'!$A$5:$A$8,0),MATCH(Calculations!W$1,'2018_commission_structure'!$A$5:$J$5,0)),0)</f>
        <v>0</v>
      </c>
      <c r="X553" s="2">
        <f>IF($H553&gt;J553,MIN($H553-J553,K553-J553)*INDEX('2018_commission_structure'!$A$5:$J$8,MATCH(Calculations!$E553,'2018_commission_structure'!$A$5:$A$8,0),MATCH(Calculations!X$1,'2018_commission_structure'!$A$5:$J$5,0)),0)</f>
        <v>0</v>
      </c>
      <c r="Y553" s="2">
        <f>IF($H553&gt;K553,MIN($H553-K553,L553-K553)*INDEX('2018_commission_structure'!$A$5:$J$8,MATCH(Calculations!$E553,'2018_commission_structure'!$A$5:$A$8,0),MATCH(Calculations!Y$1,'2018_commission_structure'!$A$5:$J$5,0)),0)</f>
        <v>0</v>
      </c>
      <c r="Z553" s="2">
        <f xml:space="preserve"> IF(H553&gt;L553,(H553-L553)*INDEX('2018_commission_structure'!$A$11:$I$14,MATCH(Calculations!$E553,'2018_commission_structure'!$A$11:$A$14,0),MATCH(Calculations!Z$1,'2018_commission_structure'!$A$11:$I$11,0)),0)</f>
        <v>0</v>
      </c>
      <c r="AA553" s="7">
        <f t="shared" si="79"/>
        <v>52127.85</v>
      </c>
      <c r="AB553" s="7">
        <f t="shared" si="80"/>
        <v>116383.85</v>
      </c>
    </row>
    <row r="554" spans="1:28" x14ac:dyDescent="0.25">
      <c r="A554">
        <v>3145010581</v>
      </c>
      <c r="B554" t="s">
        <v>30</v>
      </c>
      <c r="C554" t="s">
        <v>1810</v>
      </c>
      <c r="D554" t="str">
        <f>B554&amp;" "&amp;C554</f>
        <v>Granger Lewin</v>
      </c>
      <c r="E554" t="s">
        <v>29</v>
      </c>
      <c r="F554">
        <v>65220</v>
      </c>
      <c r="G554">
        <f>COUNTIF(deals_closed!D:D,Calculations!A554)</f>
        <v>18</v>
      </c>
      <c r="H554" s="2">
        <f>SUMIF(deals_closed!D:D,Calculations!A554,deals_closed!C:C)</f>
        <v>660133</v>
      </c>
      <c r="I554" s="2">
        <f>VLOOKUP(E554,'2018_commission_structure'!$A$11:$I$14,9,FALSE)</f>
        <v>600000</v>
      </c>
      <c r="J554" s="2">
        <f t="shared" si="72"/>
        <v>750000</v>
      </c>
      <c r="K554" s="2">
        <f t="shared" si="73"/>
        <v>900000</v>
      </c>
      <c r="L554" s="2">
        <f t="shared" si="74"/>
        <v>1200000</v>
      </c>
      <c r="M554" s="6">
        <f t="shared" si="75"/>
        <v>1.1002216666666667</v>
      </c>
      <c r="N554" t="str">
        <f t="shared" si="76"/>
        <v>100-125%</v>
      </c>
      <c r="O554" s="7">
        <f>MIN(I554,H554)*INDEX('2018_commission_structure'!$A$11:$I$14,MATCH(Calculations!$E554,'2018_commission_structure'!$A$11:$A$14,0),MATCH(Calculations!O$1,'2018_commission_structure'!$A$11:$I$11,0))</f>
        <v>78000</v>
      </c>
      <c r="P554" s="7">
        <f>IF($H554&gt;I554,MIN($H554-I554,J554-I554)*INDEX('2018_commission_structure'!$A$11:$I$14,MATCH(Calculations!$E554,'2018_commission_structure'!$A$11:$A$14,0), MATCH(Calculations!P$1,'2018_commission_structure'!$A$11:$I$11,0)),0)</f>
        <v>10222.61</v>
      </c>
      <c r="Q554" s="7">
        <f>IF($H554&gt;J554,MIN($H554-J554,K554-J554)*INDEX('2018_commission_structure'!$A$11:$I$14,MATCH(Calculations!$E554,'2018_commission_structure'!$A$11:$A$14,0), MATCH(Calculations!Q$1,'2018_commission_structure'!$A$11:$I$11,0)),0)</f>
        <v>0</v>
      </c>
      <c r="R554" s="7">
        <f>IF($H554&gt;K554,MIN($H554-K554,L554-K554)*INDEX('2018_commission_structure'!$A$11:$I$14,MATCH(Calculations!$E554,'2018_commission_structure'!$A$11:$A$14,0), MATCH(Calculations!R$1,'2018_commission_structure'!$A$11:$I$11,0)),0)</f>
        <v>0</v>
      </c>
      <c r="S554" s="7">
        <f>IF(H554&gt;L554,(H554-L554)*INDEX('2018_commission_structure'!$A$11:$I$14,MATCH(Calculations!$E554,'2018_commission_structure'!$A$11:$A$14,0),MATCH(Calculations!S$1,'2018_commission_structure'!$A$11:$I$11,0)),0)</f>
        <v>0</v>
      </c>
      <c r="T554" s="7">
        <f t="shared" si="77"/>
        <v>88222.61</v>
      </c>
      <c r="U554" s="7">
        <f t="shared" si="78"/>
        <v>153442.60999999999</v>
      </c>
      <c r="V554" s="7">
        <f>MIN(H554,I554)*INDEX('2018_commission_structure'!$A$5:$J$8,MATCH(Calculations!$E554,'2018_commission_structure'!$A$5:$A$8,0),MATCH(Calculations!V$1,'2018_commission_structure'!$A$5:$J$5,0))</f>
        <v>90000</v>
      </c>
      <c r="W554" s="2">
        <f>IF($H554&gt;I554,MIN($H554-I554,J554-I554)*INDEX('2018_commission_structure'!$A$5:$J$8,MATCH(Calculations!$E554,'2018_commission_structure'!$A$5:$A$8,0),MATCH(Calculations!W$1,'2018_commission_structure'!$A$5:$J$5,0)),0)</f>
        <v>10823.939999999999</v>
      </c>
      <c r="X554" s="2">
        <f>IF($H554&gt;J554,MIN($H554-J554,K554-J554)*INDEX('2018_commission_structure'!$A$5:$J$8,MATCH(Calculations!$E554,'2018_commission_structure'!$A$5:$A$8,0),MATCH(Calculations!X$1,'2018_commission_structure'!$A$5:$J$5,0)),0)</f>
        <v>0</v>
      </c>
      <c r="Y554" s="2">
        <f>IF($H554&gt;K554,MIN($H554-K554,L554-K554)*INDEX('2018_commission_structure'!$A$5:$J$8,MATCH(Calculations!$E554,'2018_commission_structure'!$A$5:$A$8,0),MATCH(Calculations!Y$1,'2018_commission_structure'!$A$5:$J$5,0)),0)</f>
        <v>0</v>
      </c>
      <c r="Z554" s="2">
        <f xml:space="preserve"> IF(H554&gt;L554,(H554-L554)*INDEX('2018_commission_structure'!$A$11:$I$14,MATCH(Calculations!$E554,'2018_commission_structure'!$A$11:$A$14,0),MATCH(Calculations!Z$1,'2018_commission_structure'!$A$11:$I$11,0)),0)</f>
        <v>0</v>
      </c>
      <c r="AA554" s="7">
        <f t="shared" si="79"/>
        <v>100823.94</v>
      </c>
      <c r="AB554" s="7">
        <f t="shared" si="80"/>
        <v>166043.94</v>
      </c>
    </row>
    <row r="555" spans="1:28" x14ac:dyDescent="0.25">
      <c r="A555">
        <v>5623178685</v>
      </c>
      <c r="B555" t="s">
        <v>1015</v>
      </c>
      <c r="C555" t="s">
        <v>1016</v>
      </c>
      <c r="D555" t="str">
        <f>B555&amp;" "&amp;C555</f>
        <v>Zebedee Lewzey</v>
      </c>
      <c r="E555" t="s">
        <v>29</v>
      </c>
      <c r="F555">
        <v>51223</v>
      </c>
      <c r="G555">
        <f>COUNTIF(deals_closed!D:D,Calculations!A555)</f>
        <v>21</v>
      </c>
      <c r="H555" s="2">
        <f>SUMIF(deals_closed!D:D,Calculations!A555,deals_closed!C:C)</f>
        <v>662174</v>
      </c>
      <c r="I555" s="2">
        <f>VLOOKUP(E555,'2018_commission_structure'!$A$11:$I$14,9,FALSE)</f>
        <v>600000</v>
      </c>
      <c r="J555" s="2">
        <f t="shared" si="72"/>
        <v>750000</v>
      </c>
      <c r="K555" s="2">
        <f t="shared" si="73"/>
        <v>900000</v>
      </c>
      <c r="L555" s="2">
        <f t="shared" si="74"/>
        <v>1200000</v>
      </c>
      <c r="M555" s="6">
        <f t="shared" si="75"/>
        <v>1.1036233333333334</v>
      </c>
      <c r="N555" t="str">
        <f t="shared" si="76"/>
        <v>100-125%</v>
      </c>
      <c r="O555" s="7">
        <f>MIN(I555,H555)*INDEX('2018_commission_structure'!$A$11:$I$14,MATCH(Calculations!$E555,'2018_commission_structure'!$A$11:$A$14,0),MATCH(Calculations!O$1,'2018_commission_structure'!$A$11:$I$11,0))</f>
        <v>78000</v>
      </c>
      <c r="P555" s="7">
        <f>IF($H555&gt;I555,MIN($H555-I555,J555-I555)*INDEX('2018_commission_structure'!$A$11:$I$14,MATCH(Calculations!$E555,'2018_commission_structure'!$A$11:$A$14,0), MATCH(Calculations!P$1,'2018_commission_structure'!$A$11:$I$11,0)),0)</f>
        <v>10569.58</v>
      </c>
      <c r="Q555" s="7">
        <f>IF($H555&gt;J555,MIN($H555-J555,K555-J555)*INDEX('2018_commission_structure'!$A$11:$I$14,MATCH(Calculations!$E555,'2018_commission_structure'!$A$11:$A$14,0), MATCH(Calculations!Q$1,'2018_commission_structure'!$A$11:$I$11,0)),0)</f>
        <v>0</v>
      </c>
      <c r="R555" s="7">
        <f>IF($H555&gt;K555,MIN($H555-K555,L555-K555)*INDEX('2018_commission_structure'!$A$11:$I$14,MATCH(Calculations!$E555,'2018_commission_structure'!$A$11:$A$14,0), MATCH(Calculations!R$1,'2018_commission_structure'!$A$11:$I$11,0)),0)</f>
        <v>0</v>
      </c>
      <c r="S555" s="7">
        <f>IF(H555&gt;L555,(H555-L555)*INDEX('2018_commission_structure'!$A$11:$I$14,MATCH(Calculations!$E555,'2018_commission_structure'!$A$11:$A$14,0),MATCH(Calculations!S$1,'2018_commission_structure'!$A$11:$I$11,0)),0)</f>
        <v>0</v>
      </c>
      <c r="T555" s="7">
        <f t="shared" si="77"/>
        <v>88569.58</v>
      </c>
      <c r="U555" s="7">
        <f t="shared" si="78"/>
        <v>139792.58000000002</v>
      </c>
      <c r="V555" s="7">
        <f>MIN(H555,I555)*INDEX('2018_commission_structure'!$A$5:$J$8,MATCH(Calculations!$E555,'2018_commission_structure'!$A$5:$A$8,0),MATCH(Calculations!V$1,'2018_commission_structure'!$A$5:$J$5,0))</f>
        <v>90000</v>
      </c>
      <c r="W555" s="2">
        <f>IF($H555&gt;I555,MIN($H555-I555,J555-I555)*INDEX('2018_commission_structure'!$A$5:$J$8,MATCH(Calculations!$E555,'2018_commission_structure'!$A$5:$A$8,0),MATCH(Calculations!W$1,'2018_commission_structure'!$A$5:$J$5,0)),0)</f>
        <v>11191.32</v>
      </c>
      <c r="X555" s="2">
        <f>IF($H555&gt;J555,MIN($H555-J555,K555-J555)*INDEX('2018_commission_structure'!$A$5:$J$8,MATCH(Calculations!$E555,'2018_commission_structure'!$A$5:$A$8,0),MATCH(Calculations!X$1,'2018_commission_structure'!$A$5:$J$5,0)),0)</f>
        <v>0</v>
      </c>
      <c r="Y555" s="2">
        <f>IF($H555&gt;K555,MIN($H555-K555,L555-K555)*INDEX('2018_commission_structure'!$A$5:$J$8,MATCH(Calculations!$E555,'2018_commission_structure'!$A$5:$A$8,0),MATCH(Calculations!Y$1,'2018_commission_structure'!$A$5:$J$5,0)),0)</f>
        <v>0</v>
      </c>
      <c r="Z555" s="2">
        <f xml:space="preserve"> IF(H555&gt;L555,(H555-L555)*INDEX('2018_commission_structure'!$A$11:$I$14,MATCH(Calculations!$E555,'2018_commission_structure'!$A$11:$A$14,0),MATCH(Calculations!Z$1,'2018_commission_structure'!$A$11:$I$11,0)),0)</f>
        <v>0</v>
      </c>
      <c r="AA555" s="7">
        <f t="shared" si="79"/>
        <v>101191.32</v>
      </c>
      <c r="AB555" s="7">
        <f t="shared" si="80"/>
        <v>152414.32</v>
      </c>
    </row>
    <row r="556" spans="1:28" x14ac:dyDescent="0.25">
      <c r="A556">
        <v>3381164996</v>
      </c>
      <c r="B556" t="s">
        <v>32</v>
      </c>
      <c r="C556" t="s">
        <v>33</v>
      </c>
      <c r="D556" t="str">
        <f>B556&amp;" "&amp;C556</f>
        <v>Doralynne Lexa</v>
      </c>
      <c r="E556" t="s">
        <v>10</v>
      </c>
      <c r="F556">
        <v>75882</v>
      </c>
      <c r="G556">
        <f>COUNTIF(deals_closed!D:D,Calculations!A556)</f>
        <v>22</v>
      </c>
      <c r="H556" s="2">
        <f>SUMIF(deals_closed!D:D,Calculations!A556,deals_closed!C:C)</f>
        <v>734144</v>
      </c>
      <c r="I556" s="2">
        <f>VLOOKUP(E556,'2018_commission_structure'!$A$11:$I$14,9,FALSE)</f>
        <v>750000</v>
      </c>
      <c r="J556" s="2">
        <f t="shared" si="72"/>
        <v>937500</v>
      </c>
      <c r="K556" s="2">
        <f t="shared" si="73"/>
        <v>1125000</v>
      </c>
      <c r="L556" s="2">
        <f t="shared" si="74"/>
        <v>1500000</v>
      </c>
      <c r="M556" s="6">
        <f t="shared" si="75"/>
        <v>0.97885866666666665</v>
      </c>
      <c r="N556" t="str">
        <f t="shared" si="76"/>
        <v>0-100%</v>
      </c>
      <c r="O556" s="7">
        <f>MIN(I556,H556)*INDEX('2018_commission_structure'!$A$11:$I$14,MATCH(Calculations!$E556,'2018_commission_structure'!$A$11:$A$14,0),MATCH(Calculations!O$1,'2018_commission_structure'!$A$11:$I$11,0))</f>
        <v>110121.59999999999</v>
      </c>
      <c r="P556" s="7">
        <f>IF($H556&gt;I556,MIN($H556-I556,J556-I556)*INDEX('2018_commission_structure'!$A$11:$I$14,MATCH(Calculations!$E556,'2018_commission_structure'!$A$11:$A$14,0), MATCH(Calculations!P$1,'2018_commission_structure'!$A$11:$I$11,0)),0)</f>
        <v>0</v>
      </c>
      <c r="Q556" s="7">
        <f>IF($H556&gt;J556,MIN($H556-J556,K556-J556)*INDEX('2018_commission_structure'!$A$11:$I$14,MATCH(Calculations!$E556,'2018_commission_structure'!$A$11:$A$14,0), MATCH(Calculations!Q$1,'2018_commission_structure'!$A$11:$I$11,0)),0)</f>
        <v>0</v>
      </c>
      <c r="R556" s="7">
        <f>IF($H556&gt;K556,MIN($H556-K556,L556-K556)*INDEX('2018_commission_structure'!$A$11:$I$14,MATCH(Calculations!$E556,'2018_commission_structure'!$A$11:$A$14,0), MATCH(Calculations!R$1,'2018_commission_structure'!$A$11:$I$11,0)),0)</f>
        <v>0</v>
      </c>
      <c r="S556" s="7">
        <f>IF(H556&gt;L556,(H556-L556)*INDEX('2018_commission_structure'!$A$11:$I$14,MATCH(Calculations!$E556,'2018_commission_structure'!$A$11:$A$14,0),MATCH(Calculations!S$1,'2018_commission_structure'!$A$11:$I$11,0)),0)</f>
        <v>0</v>
      </c>
      <c r="T556" s="7">
        <f t="shared" si="77"/>
        <v>110121.59999999999</v>
      </c>
      <c r="U556" s="7">
        <f t="shared" si="78"/>
        <v>186003.59999999998</v>
      </c>
      <c r="V556" s="7">
        <f>MIN(H556,I556)*INDEX('2018_commission_structure'!$A$5:$J$8,MATCH(Calculations!$E556,'2018_commission_structure'!$A$5:$A$8,0),MATCH(Calculations!V$1,'2018_commission_structure'!$A$5:$J$5,0))</f>
        <v>110121.59999999999</v>
      </c>
      <c r="W556" s="2">
        <f>IF($H556&gt;I556,MIN($H556-I556,J556-I556)*INDEX('2018_commission_structure'!$A$5:$J$8,MATCH(Calculations!$E556,'2018_commission_structure'!$A$5:$A$8,0),MATCH(Calculations!W$1,'2018_commission_structure'!$A$5:$J$5,0)),0)</f>
        <v>0</v>
      </c>
      <c r="X556" s="2">
        <f>IF($H556&gt;J556,MIN($H556-J556,K556-J556)*INDEX('2018_commission_structure'!$A$5:$J$8,MATCH(Calculations!$E556,'2018_commission_structure'!$A$5:$A$8,0),MATCH(Calculations!X$1,'2018_commission_structure'!$A$5:$J$5,0)),0)</f>
        <v>0</v>
      </c>
      <c r="Y556" s="2">
        <f>IF($H556&gt;K556,MIN($H556-K556,L556-K556)*INDEX('2018_commission_structure'!$A$5:$J$8,MATCH(Calculations!$E556,'2018_commission_structure'!$A$5:$A$8,0),MATCH(Calculations!Y$1,'2018_commission_structure'!$A$5:$J$5,0)),0)</f>
        <v>0</v>
      </c>
      <c r="Z556" s="2">
        <f xml:space="preserve"> IF(H556&gt;L556,(H556-L556)*INDEX('2018_commission_structure'!$A$11:$I$14,MATCH(Calculations!$E556,'2018_commission_structure'!$A$11:$A$14,0),MATCH(Calculations!Z$1,'2018_commission_structure'!$A$11:$I$11,0)),0)</f>
        <v>0</v>
      </c>
      <c r="AA556" s="7">
        <f t="shared" si="79"/>
        <v>110121.59999999999</v>
      </c>
      <c r="AB556" s="7">
        <f t="shared" si="80"/>
        <v>186003.59999999998</v>
      </c>
    </row>
    <row r="557" spans="1:28" x14ac:dyDescent="0.25">
      <c r="A557">
        <v>8705788102</v>
      </c>
      <c r="B557" t="s">
        <v>1615</v>
      </c>
      <c r="C557" t="s">
        <v>1616</v>
      </c>
      <c r="D557" t="str">
        <f>B557&amp;" "&amp;C557</f>
        <v>Dion Liccardi</v>
      </c>
      <c r="E557" t="s">
        <v>7</v>
      </c>
      <c r="F557">
        <v>61019</v>
      </c>
      <c r="G557">
        <f>COUNTIF(deals_closed!D:D,Calculations!A557)</f>
        <v>18</v>
      </c>
      <c r="H557" s="2">
        <f>SUMIF(deals_closed!D:D,Calculations!A557,deals_closed!C:C)</f>
        <v>637903</v>
      </c>
      <c r="I557" s="2">
        <f>VLOOKUP(E557,'2018_commission_structure'!$A$11:$I$14,9,FALSE)</f>
        <v>500000</v>
      </c>
      <c r="J557" s="2">
        <f t="shared" si="72"/>
        <v>625000</v>
      </c>
      <c r="K557" s="2">
        <f t="shared" si="73"/>
        <v>750000</v>
      </c>
      <c r="L557" s="2">
        <f t="shared" si="74"/>
        <v>1000000</v>
      </c>
      <c r="M557" s="6">
        <f t="shared" si="75"/>
        <v>1.275806</v>
      </c>
      <c r="N557" t="str">
        <f t="shared" si="76"/>
        <v>125-150%</v>
      </c>
      <c r="O557" s="7">
        <f>MIN(I557,H557)*INDEX('2018_commission_structure'!$A$11:$I$14,MATCH(Calculations!$E557,'2018_commission_structure'!$A$11:$A$14,0),MATCH(Calculations!O$1,'2018_commission_structure'!$A$11:$I$11,0))</f>
        <v>50000</v>
      </c>
      <c r="P557" s="7">
        <f>IF($H557&gt;I557,MIN($H557-I557,J557-I557)*INDEX('2018_commission_structure'!$A$11:$I$14,MATCH(Calculations!$E557,'2018_commission_structure'!$A$11:$A$14,0), MATCH(Calculations!P$1,'2018_commission_structure'!$A$11:$I$11,0)),0)</f>
        <v>18750</v>
      </c>
      <c r="Q557" s="7">
        <f>IF($H557&gt;J557,MIN($H557-J557,K557-J557)*INDEX('2018_commission_structure'!$A$11:$I$14,MATCH(Calculations!$E557,'2018_commission_structure'!$A$11:$A$14,0), MATCH(Calculations!Q$1,'2018_commission_structure'!$A$11:$I$11,0)),0)</f>
        <v>2322.54</v>
      </c>
      <c r="R557" s="7">
        <f>IF($H557&gt;K557,MIN($H557-K557,L557-K557)*INDEX('2018_commission_structure'!$A$11:$I$14,MATCH(Calculations!$E557,'2018_commission_structure'!$A$11:$A$14,0), MATCH(Calculations!R$1,'2018_commission_structure'!$A$11:$I$11,0)),0)</f>
        <v>0</v>
      </c>
      <c r="S557" s="7">
        <f>IF(H557&gt;L557,(H557-L557)*INDEX('2018_commission_structure'!$A$11:$I$14,MATCH(Calculations!$E557,'2018_commission_structure'!$A$11:$A$14,0),MATCH(Calculations!S$1,'2018_commission_structure'!$A$11:$I$11,0)),0)</f>
        <v>0</v>
      </c>
      <c r="T557" s="7">
        <f t="shared" si="77"/>
        <v>71072.539999999994</v>
      </c>
      <c r="U557" s="7">
        <f t="shared" si="78"/>
        <v>132091.53999999998</v>
      </c>
      <c r="V557" s="7">
        <f>MIN(H557,I557)*INDEX('2018_commission_structure'!$A$5:$J$8,MATCH(Calculations!$E557,'2018_commission_structure'!$A$5:$A$8,0),MATCH(Calculations!V$1,'2018_commission_structure'!$A$5:$J$5,0))</f>
        <v>60000</v>
      </c>
      <c r="W557" s="2">
        <f>IF($H557&gt;I557,MIN($H557-I557,J557-I557)*INDEX('2018_commission_structure'!$A$5:$J$8,MATCH(Calculations!$E557,'2018_commission_structure'!$A$5:$A$8,0),MATCH(Calculations!W$1,'2018_commission_structure'!$A$5:$J$5,0)),0)</f>
        <v>21250</v>
      </c>
      <c r="X557" s="2">
        <f>IF($H557&gt;J557,MIN($H557-J557,K557-J557)*INDEX('2018_commission_structure'!$A$5:$J$8,MATCH(Calculations!$E557,'2018_commission_structure'!$A$5:$A$8,0),MATCH(Calculations!X$1,'2018_commission_structure'!$A$5:$J$5,0)),0)</f>
        <v>2580.6000000000004</v>
      </c>
      <c r="Y557" s="2">
        <f>IF($H557&gt;K557,MIN($H557-K557,L557-K557)*INDEX('2018_commission_structure'!$A$5:$J$8,MATCH(Calculations!$E557,'2018_commission_structure'!$A$5:$A$8,0),MATCH(Calculations!Y$1,'2018_commission_structure'!$A$5:$J$5,0)),0)</f>
        <v>0</v>
      </c>
      <c r="Z557" s="2">
        <f xml:space="preserve"> IF(H557&gt;L557,(H557-L557)*INDEX('2018_commission_structure'!$A$11:$I$14,MATCH(Calculations!$E557,'2018_commission_structure'!$A$11:$A$14,0),MATCH(Calculations!Z$1,'2018_commission_structure'!$A$11:$I$11,0)),0)</f>
        <v>0</v>
      </c>
      <c r="AA557" s="7">
        <f t="shared" si="79"/>
        <v>83830.600000000006</v>
      </c>
      <c r="AB557" s="7">
        <f t="shared" si="80"/>
        <v>144849.60000000001</v>
      </c>
    </row>
    <row r="558" spans="1:28" x14ac:dyDescent="0.25">
      <c r="A558">
        <v>7837437543</v>
      </c>
      <c r="B558" t="s">
        <v>1455</v>
      </c>
      <c r="C558" t="s">
        <v>1456</v>
      </c>
      <c r="D558" t="str">
        <f>B558&amp;" "&amp;C558</f>
        <v>Doria Lidgertwood</v>
      </c>
      <c r="E558" t="s">
        <v>7</v>
      </c>
      <c r="F558">
        <v>60633</v>
      </c>
      <c r="G558">
        <f>COUNTIF(deals_closed!D:D,Calculations!A558)</f>
        <v>17</v>
      </c>
      <c r="H558" s="2">
        <f>SUMIF(deals_closed!D:D,Calculations!A558,deals_closed!C:C)</f>
        <v>496536</v>
      </c>
      <c r="I558" s="2">
        <f>VLOOKUP(E558,'2018_commission_structure'!$A$11:$I$14,9,FALSE)</f>
        <v>500000</v>
      </c>
      <c r="J558" s="2">
        <f t="shared" si="72"/>
        <v>625000</v>
      </c>
      <c r="K558" s="2">
        <f t="shared" si="73"/>
        <v>750000</v>
      </c>
      <c r="L558" s="2">
        <f t="shared" si="74"/>
        <v>1000000</v>
      </c>
      <c r="M558" s="6">
        <f t="shared" si="75"/>
        <v>0.99307199999999995</v>
      </c>
      <c r="N558" t="str">
        <f t="shared" si="76"/>
        <v>0-100%</v>
      </c>
      <c r="O558" s="7">
        <f>MIN(I558,H558)*INDEX('2018_commission_structure'!$A$11:$I$14,MATCH(Calculations!$E558,'2018_commission_structure'!$A$11:$A$14,0),MATCH(Calculations!O$1,'2018_commission_structure'!$A$11:$I$11,0))</f>
        <v>49653.600000000006</v>
      </c>
      <c r="P558" s="7">
        <f>IF($H558&gt;I558,MIN($H558-I558,J558-I558)*INDEX('2018_commission_structure'!$A$11:$I$14,MATCH(Calculations!$E558,'2018_commission_structure'!$A$11:$A$14,0), MATCH(Calculations!P$1,'2018_commission_structure'!$A$11:$I$11,0)),0)</f>
        <v>0</v>
      </c>
      <c r="Q558" s="7">
        <f>IF($H558&gt;J558,MIN($H558-J558,K558-J558)*INDEX('2018_commission_structure'!$A$11:$I$14,MATCH(Calculations!$E558,'2018_commission_structure'!$A$11:$A$14,0), MATCH(Calculations!Q$1,'2018_commission_structure'!$A$11:$I$11,0)),0)</f>
        <v>0</v>
      </c>
      <c r="R558" s="7">
        <f>IF($H558&gt;K558,MIN($H558-K558,L558-K558)*INDEX('2018_commission_structure'!$A$11:$I$14,MATCH(Calculations!$E558,'2018_commission_structure'!$A$11:$A$14,0), MATCH(Calculations!R$1,'2018_commission_structure'!$A$11:$I$11,0)),0)</f>
        <v>0</v>
      </c>
      <c r="S558" s="7">
        <f>IF(H558&gt;L558,(H558-L558)*INDEX('2018_commission_structure'!$A$11:$I$14,MATCH(Calculations!$E558,'2018_commission_structure'!$A$11:$A$14,0),MATCH(Calculations!S$1,'2018_commission_structure'!$A$11:$I$11,0)),0)</f>
        <v>0</v>
      </c>
      <c r="T558" s="7">
        <f t="shared" si="77"/>
        <v>49653.600000000006</v>
      </c>
      <c r="U558" s="7">
        <f t="shared" si="78"/>
        <v>110286.6</v>
      </c>
      <c r="V558" s="7">
        <f>MIN(H558,I558)*INDEX('2018_commission_structure'!$A$5:$J$8,MATCH(Calculations!$E558,'2018_commission_structure'!$A$5:$A$8,0),MATCH(Calculations!V$1,'2018_commission_structure'!$A$5:$J$5,0))</f>
        <v>59584.32</v>
      </c>
      <c r="W558" s="2">
        <f>IF($H558&gt;I558,MIN($H558-I558,J558-I558)*INDEX('2018_commission_structure'!$A$5:$J$8,MATCH(Calculations!$E558,'2018_commission_structure'!$A$5:$A$8,0),MATCH(Calculations!W$1,'2018_commission_structure'!$A$5:$J$5,0)),0)</f>
        <v>0</v>
      </c>
      <c r="X558" s="2">
        <f>IF($H558&gt;J558,MIN($H558-J558,K558-J558)*INDEX('2018_commission_structure'!$A$5:$J$8,MATCH(Calculations!$E558,'2018_commission_structure'!$A$5:$A$8,0),MATCH(Calculations!X$1,'2018_commission_structure'!$A$5:$J$5,0)),0)</f>
        <v>0</v>
      </c>
      <c r="Y558" s="2">
        <f>IF($H558&gt;K558,MIN($H558-K558,L558-K558)*INDEX('2018_commission_structure'!$A$5:$J$8,MATCH(Calculations!$E558,'2018_commission_structure'!$A$5:$A$8,0),MATCH(Calculations!Y$1,'2018_commission_structure'!$A$5:$J$5,0)),0)</f>
        <v>0</v>
      </c>
      <c r="Z558" s="2">
        <f xml:space="preserve"> IF(H558&gt;L558,(H558-L558)*INDEX('2018_commission_structure'!$A$11:$I$14,MATCH(Calculations!$E558,'2018_commission_structure'!$A$11:$A$14,0),MATCH(Calculations!Z$1,'2018_commission_structure'!$A$11:$I$11,0)),0)</f>
        <v>0</v>
      </c>
      <c r="AA558" s="7">
        <f t="shared" si="79"/>
        <v>59584.32</v>
      </c>
      <c r="AB558" s="7">
        <f t="shared" si="80"/>
        <v>120217.32</v>
      </c>
    </row>
    <row r="559" spans="1:28" x14ac:dyDescent="0.25">
      <c r="A559">
        <v>4958503722</v>
      </c>
      <c r="B559" t="s">
        <v>1757</v>
      </c>
      <c r="C559" t="s">
        <v>1758</v>
      </c>
      <c r="D559" t="str">
        <f>B559&amp;" "&amp;C559</f>
        <v>Vincenz Lillford</v>
      </c>
      <c r="E559" t="s">
        <v>29</v>
      </c>
      <c r="F559">
        <v>65536</v>
      </c>
      <c r="G559">
        <f>COUNTIF(deals_closed!D:D,Calculations!A559)</f>
        <v>14</v>
      </c>
      <c r="H559" s="2">
        <f>SUMIF(deals_closed!D:D,Calculations!A559,deals_closed!C:C)</f>
        <v>551500</v>
      </c>
      <c r="I559" s="2">
        <f>VLOOKUP(E559,'2018_commission_structure'!$A$11:$I$14,9,FALSE)</f>
        <v>600000</v>
      </c>
      <c r="J559" s="2">
        <f t="shared" si="72"/>
        <v>750000</v>
      </c>
      <c r="K559" s="2">
        <f t="shared" si="73"/>
        <v>900000</v>
      </c>
      <c r="L559" s="2">
        <f t="shared" si="74"/>
        <v>1200000</v>
      </c>
      <c r="M559" s="6">
        <f t="shared" si="75"/>
        <v>0.91916666666666669</v>
      </c>
      <c r="N559" t="str">
        <f t="shared" si="76"/>
        <v>0-100%</v>
      </c>
      <c r="O559" s="7">
        <f>MIN(I559,H559)*INDEX('2018_commission_structure'!$A$11:$I$14,MATCH(Calculations!$E559,'2018_commission_structure'!$A$11:$A$14,0),MATCH(Calculations!O$1,'2018_commission_structure'!$A$11:$I$11,0))</f>
        <v>71695</v>
      </c>
      <c r="P559" s="7">
        <f>IF($H559&gt;I559,MIN($H559-I559,J559-I559)*INDEX('2018_commission_structure'!$A$11:$I$14,MATCH(Calculations!$E559,'2018_commission_structure'!$A$11:$A$14,0), MATCH(Calculations!P$1,'2018_commission_structure'!$A$11:$I$11,0)),0)</f>
        <v>0</v>
      </c>
      <c r="Q559" s="7">
        <f>IF($H559&gt;J559,MIN($H559-J559,K559-J559)*INDEX('2018_commission_structure'!$A$11:$I$14,MATCH(Calculations!$E559,'2018_commission_structure'!$A$11:$A$14,0), MATCH(Calculations!Q$1,'2018_commission_structure'!$A$11:$I$11,0)),0)</f>
        <v>0</v>
      </c>
      <c r="R559" s="7">
        <f>IF($H559&gt;K559,MIN($H559-K559,L559-K559)*INDEX('2018_commission_structure'!$A$11:$I$14,MATCH(Calculations!$E559,'2018_commission_structure'!$A$11:$A$14,0), MATCH(Calculations!R$1,'2018_commission_structure'!$A$11:$I$11,0)),0)</f>
        <v>0</v>
      </c>
      <c r="S559" s="7">
        <f>IF(H559&gt;L559,(H559-L559)*INDEX('2018_commission_structure'!$A$11:$I$14,MATCH(Calculations!$E559,'2018_commission_structure'!$A$11:$A$14,0),MATCH(Calculations!S$1,'2018_commission_structure'!$A$11:$I$11,0)),0)</f>
        <v>0</v>
      </c>
      <c r="T559" s="7">
        <f t="shared" si="77"/>
        <v>71695</v>
      </c>
      <c r="U559" s="7">
        <f t="shared" si="78"/>
        <v>137231</v>
      </c>
      <c r="V559" s="7">
        <f>MIN(H559,I559)*INDEX('2018_commission_structure'!$A$5:$J$8,MATCH(Calculations!$E559,'2018_commission_structure'!$A$5:$A$8,0),MATCH(Calculations!V$1,'2018_commission_structure'!$A$5:$J$5,0))</f>
        <v>82725</v>
      </c>
      <c r="W559" s="2">
        <f>IF($H559&gt;I559,MIN($H559-I559,J559-I559)*INDEX('2018_commission_structure'!$A$5:$J$8,MATCH(Calculations!$E559,'2018_commission_structure'!$A$5:$A$8,0),MATCH(Calculations!W$1,'2018_commission_structure'!$A$5:$J$5,0)),0)</f>
        <v>0</v>
      </c>
      <c r="X559" s="2">
        <f>IF($H559&gt;J559,MIN($H559-J559,K559-J559)*INDEX('2018_commission_structure'!$A$5:$J$8,MATCH(Calculations!$E559,'2018_commission_structure'!$A$5:$A$8,0),MATCH(Calculations!X$1,'2018_commission_structure'!$A$5:$J$5,0)),0)</f>
        <v>0</v>
      </c>
      <c r="Y559" s="2">
        <f>IF($H559&gt;K559,MIN($H559-K559,L559-K559)*INDEX('2018_commission_structure'!$A$5:$J$8,MATCH(Calculations!$E559,'2018_commission_structure'!$A$5:$A$8,0),MATCH(Calculations!Y$1,'2018_commission_structure'!$A$5:$J$5,0)),0)</f>
        <v>0</v>
      </c>
      <c r="Z559" s="2">
        <f xml:space="preserve"> IF(H559&gt;L559,(H559-L559)*INDEX('2018_commission_structure'!$A$11:$I$14,MATCH(Calculations!$E559,'2018_commission_structure'!$A$11:$A$14,0),MATCH(Calculations!Z$1,'2018_commission_structure'!$A$11:$I$11,0)),0)</f>
        <v>0</v>
      </c>
      <c r="AA559" s="7">
        <f t="shared" si="79"/>
        <v>82725</v>
      </c>
      <c r="AB559" s="7">
        <f t="shared" si="80"/>
        <v>148261</v>
      </c>
    </row>
    <row r="560" spans="1:28" x14ac:dyDescent="0.25">
      <c r="A560">
        <v>9128677390</v>
      </c>
      <c r="B560" t="s">
        <v>966</v>
      </c>
      <c r="C560" t="s">
        <v>967</v>
      </c>
      <c r="D560" t="str">
        <f>B560&amp;" "&amp;C560</f>
        <v>Trude Lindenbluth</v>
      </c>
      <c r="E560" t="s">
        <v>10</v>
      </c>
      <c r="F560">
        <v>87419</v>
      </c>
      <c r="G560">
        <f>COUNTIF(deals_closed!D:D,Calculations!A560)</f>
        <v>23</v>
      </c>
      <c r="H560" s="2">
        <f>SUMIF(deals_closed!D:D,Calculations!A560,deals_closed!C:C)</f>
        <v>814416</v>
      </c>
      <c r="I560" s="2">
        <f>VLOOKUP(E560,'2018_commission_structure'!$A$11:$I$14,9,FALSE)</f>
        <v>750000</v>
      </c>
      <c r="J560" s="2">
        <f t="shared" si="72"/>
        <v>937500</v>
      </c>
      <c r="K560" s="2">
        <f t="shared" si="73"/>
        <v>1125000</v>
      </c>
      <c r="L560" s="2">
        <f t="shared" si="74"/>
        <v>1500000</v>
      </c>
      <c r="M560" s="6">
        <f t="shared" si="75"/>
        <v>1.085888</v>
      </c>
      <c r="N560" t="str">
        <f t="shared" si="76"/>
        <v>100-125%</v>
      </c>
      <c r="O560" s="7">
        <f>MIN(I560,H560)*INDEX('2018_commission_structure'!$A$11:$I$14,MATCH(Calculations!$E560,'2018_commission_structure'!$A$11:$A$14,0),MATCH(Calculations!O$1,'2018_commission_structure'!$A$11:$I$11,0))</f>
        <v>112500</v>
      </c>
      <c r="P560" s="7">
        <f>IF($H560&gt;I560,MIN($H560-I560,J560-I560)*INDEX('2018_commission_structure'!$A$11:$I$14,MATCH(Calculations!$E560,'2018_commission_structure'!$A$11:$A$14,0), MATCH(Calculations!P$1,'2018_commission_structure'!$A$11:$I$11,0)),0)</f>
        <v>12239.04</v>
      </c>
      <c r="Q560" s="7">
        <f>IF($H560&gt;J560,MIN($H560-J560,K560-J560)*INDEX('2018_commission_structure'!$A$11:$I$14,MATCH(Calculations!$E560,'2018_commission_structure'!$A$11:$A$14,0), MATCH(Calculations!Q$1,'2018_commission_structure'!$A$11:$I$11,0)),0)</f>
        <v>0</v>
      </c>
      <c r="R560" s="7">
        <f>IF($H560&gt;K560,MIN($H560-K560,L560-K560)*INDEX('2018_commission_structure'!$A$11:$I$14,MATCH(Calculations!$E560,'2018_commission_structure'!$A$11:$A$14,0), MATCH(Calculations!R$1,'2018_commission_structure'!$A$11:$I$11,0)),0)</f>
        <v>0</v>
      </c>
      <c r="S560" s="7">
        <f>IF(H560&gt;L560,(H560-L560)*INDEX('2018_commission_structure'!$A$11:$I$14,MATCH(Calculations!$E560,'2018_commission_structure'!$A$11:$A$14,0),MATCH(Calculations!S$1,'2018_commission_structure'!$A$11:$I$11,0)),0)</f>
        <v>0</v>
      </c>
      <c r="T560" s="7">
        <f t="shared" si="77"/>
        <v>124739.04000000001</v>
      </c>
      <c r="U560" s="7">
        <f t="shared" si="78"/>
        <v>212158.04</v>
      </c>
      <c r="V560" s="7">
        <f>MIN(H560,I560)*INDEX('2018_commission_structure'!$A$5:$J$8,MATCH(Calculations!$E560,'2018_commission_structure'!$A$5:$A$8,0),MATCH(Calculations!V$1,'2018_commission_structure'!$A$5:$J$5,0))</f>
        <v>112500</v>
      </c>
      <c r="W560" s="2">
        <f>IF($H560&gt;I560,MIN($H560-I560,J560-I560)*INDEX('2018_commission_structure'!$A$5:$J$8,MATCH(Calculations!$E560,'2018_commission_structure'!$A$5:$A$8,0),MATCH(Calculations!W$1,'2018_commission_structure'!$A$5:$J$5,0)),0)</f>
        <v>14171.52</v>
      </c>
      <c r="X560" s="2">
        <f>IF($H560&gt;J560,MIN($H560-J560,K560-J560)*INDEX('2018_commission_structure'!$A$5:$J$8,MATCH(Calculations!$E560,'2018_commission_structure'!$A$5:$A$8,0),MATCH(Calculations!X$1,'2018_commission_structure'!$A$5:$J$5,0)),0)</f>
        <v>0</v>
      </c>
      <c r="Y560" s="2">
        <f>IF($H560&gt;K560,MIN($H560-K560,L560-K560)*INDEX('2018_commission_structure'!$A$5:$J$8,MATCH(Calculations!$E560,'2018_commission_structure'!$A$5:$A$8,0),MATCH(Calculations!Y$1,'2018_commission_structure'!$A$5:$J$5,0)),0)</f>
        <v>0</v>
      </c>
      <c r="Z560" s="2">
        <f xml:space="preserve"> IF(H560&gt;L560,(H560-L560)*INDEX('2018_commission_structure'!$A$11:$I$14,MATCH(Calculations!$E560,'2018_commission_structure'!$A$11:$A$14,0),MATCH(Calculations!Z$1,'2018_commission_structure'!$A$11:$I$11,0)),0)</f>
        <v>0</v>
      </c>
      <c r="AA560" s="7">
        <f t="shared" si="79"/>
        <v>126671.52</v>
      </c>
      <c r="AB560" s="7">
        <f t="shared" si="80"/>
        <v>214090.52000000002</v>
      </c>
    </row>
    <row r="561" spans="1:28" x14ac:dyDescent="0.25">
      <c r="A561">
        <v>7866715386</v>
      </c>
      <c r="B561" t="s">
        <v>1274</v>
      </c>
      <c r="C561" t="s">
        <v>1275</v>
      </c>
      <c r="D561" t="str">
        <f>B561&amp;" "&amp;C561</f>
        <v>Marjory Lindman</v>
      </c>
      <c r="E561" t="s">
        <v>29</v>
      </c>
      <c r="F561">
        <v>62143</v>
      </c>
      <c r="G561">
        <f>COUNTIF(deals_closed!D:D,Calculations!A561)</f>
        <v>27</v>
      </c>
      <c r="H561" s="2">
        <f>SUMIF(deals_closed!D:D,Calculations!A561,deals_closed!C:C)</f>
        <v>981577</v>
      </c>
      <c r="I561" s="2">
        <f>VLOOKUP(E561,'2018_commission_structure'!$A$11:$I$14,9,FALSE)</f>
        <v>600000</v>
      </c>
      <c r="J561" s="2">
        <f t="shared" si="72"/>
        <v>750000</v>
      </c>
      <c r="K561" s="2">
        <f t="shared" si="73"/>
        <v>900000</v>
      </c>
      <c r="L561" s="2">
        <f t="shared" si="74"/>
        <v>1200000</v>
      </c>
      <c r="M561" s="6">
        <f t="shared" si="75"/>
        <v>1.6359616666666668</v>
      </c>
      <c r="N561" t="str">
        <f t="shared" si="76"/>
        <v>150-200%</v>
      </c>
      <c r="O561" s="7">
        <f>MIN(I561,H561)*INDEX('2018_commission_structure'!$A$11:$I$14,MATCH(Calculations!$E561,'2018_commission_structure'!$A$11:$A$14,0),MATCH(Calculations!O$1,'2018_commission_structure'!$A$11:$I$11,0))</f>
        <v>78000</v>
      </c>
      <c r="P561" s="7">
        <f>IF($H561&gt;I561,MIN($H561-I561,J561-I561)*INDEX('2018_commission_structure'!$A$11:$I$14,MATCH(Calculations!$E561,'2018_commission_structure'!$A$11:$A$14,0), MATCH(Calculations!P$1,'2018_commission_structure'!$A$11:$I$11,0)),0)</f>
        <v>25500.000000000004</v>
      </c>
      <c r="Q561" s="7">
        <f>IF($H561&gt;J561,MIN($H561-J561,K561-J561)*INDEX('2018_commission_structure'!$A$11:$I$14,MATCH(Calculations!$E561,'2018_commission_structure'!$A$11:$A$14,0), MATCH(Calculations!Q$1,'2018_commission_structure'!$A$11:$I$11,0)),0)</f>
        <v>31500</v>
      </c>
      <c r="R561" s="7">
        <f>IF($H561&gt;K561,MIN($H561-K561,L561-K561)*INDEX('2018_commission_structure'!$A$11:$I$14,MATCH(Calculations!$E561,'2018_commission_structure'!$A$11:$A$14,0), MATCH(Calculations!R$1,'2018_commission_structure'!$A$11:$I$11,0)),0)</f>
        <v>21210.02</v>
      </c>
      <c r="S561" s="7">
        <f>IF(H561&gt;L561,(H561-L561)*INDEX('2018_commission_structure'!$A$11:$I$14,MATCH(Calculations!$E561,'2018_commission_structure'!$A$11:$A$14,0),MATCH(Calculations!S$1,'2018_commission_structure'!$A$11:$I$11,0)),0)</f>
        <v>0</v>
      </c>
      <c r="T561" s="7">
        <f t="shared" si="77"/>
        <v>156210.01999999999</v>
      </c>
      <c r="U561" s="7">
        <f t="shared" si="78"/>
        <v>218353.02</v>
      </c>
      <c r="V561" s="7">
        <f>MIN(H561,I561)*INDEX('2018_commission_structure'!$A$5:$J$8,MATCH(Calculations!$E561,'2018_commission_structure'!$A$5:$A$8,0),MATCH(Calculations!V$1,'2018_commission_structure'!$A$5:$J$5,0))</f>
        <v>90000</v>
      </c>
      <c r="W561" s="2">
        <f>IF($H561&gt;I561,MIN($H561-I561,J561-I561)*INDEX('2018_commission_structure'!$A$5:$J$8,MATCH(Calculations!$E561,'2018_commission_structure'!$A$5:$A$8,0),MATCH(Calculations!W$1,'2018_commission_structure'!$A$5:$J$5,0)),0)</f>
        <v>27000</v>
      </c>
      <c r="X561" s="2">
        <f>IF($H561&gt;J561,MIN($H561-J561,K561-J561)*INDEX('2018_commission_structure'!$A$5:$J$8,MATCH(Calculations!$E561,'2018_commission_structure'!$A$5:$A$8,0),MATCH(Calculations!X$1,'2018_commission_structure'!$A$5:$J$5,0)),0)</f>
        <v>37500</v>
      </c>
      <c r="Y561" s="2">
        <f>IF($H561&gt;K561,MIN($H561-K561,L561-K561)*INDEX('2018_commission_structure'!$A$5:$J$8,MATCH(Calculations!$E561,'2018_commission_structure'!$A$5:$A$8,0),MATCH(Calculations!Y$1,'2018_commission_structure'!$A$5:$J$5,0)),0)</f>
        <v>24473.1</v>
      </c>
      <c r="Z561" s="2">
        <f xml:space="preserve"> IF(H561&gt;L561,(H561-L561)*INDEX('2018_commission_structure'!$A$11:$I$14,MATCH(Calculations!$E561,'2018_commission_structure'!$A$11:$A$14,0),MATCH(Calculations!Z$1,'2018_commission_structure'!$A$11:$I$11,0)),0)</f>
        <v>0</v>
      </c>
      <c r="AA561" s="7">
        <f t="shared" si="79"/>
        <v>178973.1</v>
      </c>
      <c r="AB561" s="7">
        <f t="shared" si="80"/>
        <v>241116.1</v>
      </c>
    </row>
    <row r="562" spans="1:28" x14ac:dyDescent="0.25">
      <c r="A562">
        <v>1549399640</v>
      </c>
      <c r="B562" t="s">
        <v>978</v>
      </c>
      <c r="C562" t="s">
        <v>979</v>
      </c>
      <c r="D562" t="str">
        <f>B562&amp;" "&amp;C562</f>
        <v>Pansie Lingley</v>
      </c>
      <c r="E562" t="s">
        <v>7</v>
      </c>
      <c r="F562">
        <v>31856</v>
      </c>
      <c r="G562">
        <f>COUNTIF(deals_closed!D:D,Calculations!A562)</f>
        <v>28</v>
      </c>
      <c r="H562" s="2">
        <f>SUMIF(deals_closed!D:D,Calculations!A562,deals_closed!C:C)</f>
        <v>988078</v>
      </c>
      <c r="I562" s="2">
        <f>VLOOKUP(E562,'2018_commission_structure'!$A$11:$I$14,9,FALSE)</f>
        <v>500000</v>
      </c>
      <c r="J562" s="2">
        <f t="shared" si="72"/>
        <v>625000</v>
      </c>
      <c r="K562" s="2">
        <f t="shared" si="73"/>
        <v>750000</v>
      </c>
      <c r="L562" s="2">
        <f t="shared" si="74"/>
        <v>1000000</v>
      </c>
      <c r="M562" s="6">
        <f t="shared" si="75"/>
        <v>1.976156</v>
      </c>
      <c r="N562" t="str">
        <f t="shared" si="76"/>
        <v>150-200%</v>
      </c>
      <c r="O562" s="7">
        <f>MIN(I562,H562)*INDEX('2018_commission_structure'!$A$11:$I$14,MATCH(Calculations!$E562,'2018_commission_structure'!$A$11:$A$14,0),MATCH(Calculations!O$1,'2018_commission_structure'!$A$11:$I$11,0))</f>
        <v>50000</v>
      </c>
      <c r="P562" s="7">
        <f>IF($H562&gt;I562,MIN($H562-I562,J562-I562)*INDEX('2018_commission_structure'!$A$11:$I$14,MATCH(Calculations!$E562,'2018_commission_structure'!$A$11:$A$14,0), MATCH(Calculations!P$1,'2018_commission_structure'!$A$11:$I$11,0)),0)</f>
        <v>18750</v>
      </c>
      <c r="Q562" s="7">
        <f>IF($H562&gt;J562,MIN($H562-J562,K562-J562)*INDEX('2018_commission_structure'!$A$11:$I$14,MATCH(Calculations!$E562,'2018_commission_structure'!$A$11:$A$14,0), MATCH(Calculations!Q$1,'2018_commission_structure'!$A$11:$I$11,0)),0)</f>
        <v>22500</v>
      </c>
      <c r="R562" s="7">
        <f>IF($H562&gt;K562,MIN($H562-K562,L562-K562)*INDEX('2018_commission_structure'!$A$11:$I$14,MATCH(Calculations!$E562,'2018_commission_structure'!$A$11:$A$14,0), MATCH(Calculations!R$1,'2018_commission_structure'!$A$11:$I$11,0)),0)</f>
        <v>52377.16</v>
      </c>
      <c r="S562" s="7">
        <f>IF(H562&gt;L562,(H562-L562)*INDEX('2018_commission_structure'!$A$11:$I$14,MATCH(Calculations!$E562,'2018_commission_structure'!$A$11:$A$14,0),MATCH(Calculations!S$1,'2018_commission_structure'!$A$11:$I$11,0)),0)</f>
        <v>0</v>
      </c>
      <c r="T562" s="7">
        <f t="shared" si="77"/>
        <v>143627.16</v>
      </c>
      <c r="U562" s="7">
        <f t="shared" si="78"/>
        <v>175483.16</v>
      </c>
      <c r="V562" s="7">
        <f>MIN(H562,I562)*INDEX('2018_commission_structure'!$A$5:$J$8,MATCH(Calculations!$E562,'2018_commission_structure'!$A$5:$A$8,0),MATCH(Calculations!V$1,'2018_commission_structure'!$A$5:$J$5,0))</f>
        <v>60000</v>
      </c>
      <c r="W562" s="2">
        <f>IF($H562&gt;I562,MIN($H562-I562,J562-I562)*INDEX('2018_commission_structure'!$A$5:$J$8,MATCH(Calculations!$E562,'2018_commission_structure'!$A$5:$A$8,0),MATCH(Calculations!W$1,'2018_commission_structure'!$A$5:$J$5,0)),0)</f>
        <v>21250</v>
      </c>
      <c r="X562" s="2">
        <f>IF($H562&gt;J562,MIN($H562-J562,K562-J562)*INDEX('2018_commission_structure'!$A$5:$J$8,MATCH(Calculations!$E562,'2018_commission_structure'!$A$5:$A$8,0),MATCH(Calculations!X$1,'2018_commission_structure'!$A$5:$J$5,0)),0)</f>
        <v>25000</v>
      </c>
      <c r="Y562" s="2">
        <f>IF($H562&gt;K562,MIN($H562-K562,L562-K562)*INDEX('2018_commission_structure'!$A$5:$J$8,MATCH(Calculations!$E562,'2018_commission_structure'!$A$5:$A$8,0),MATCH(Calculations!Y$1,'2018_commission_structure'!$A$5:$J$5,0)),0)</f>
        <v>52377.16</v>
      </c>
      <c r="Z562" s="2">
        <f xml:space="preserve"> IF(H562&gt;L562,(H562-L562)*INDEX('2018_commission_structure'!$A$11:$I$14,MATCH(Calculations!$E562,'2018_commission_structure'!$A$11:$A$14,0),MATCH(Calculations!Z$1,'2018_commission_structure'!$A$11:$I$11,0)),0)</f>
        <v>0</v>
      </c>
      <c r="AA562" s="7">
        <f t="shared" si="79"/>
        <v>158627.16</v>
      </c>
      <c r="AB562" s="7">
        <f t="shared" si="80"/>
        <v>190483.16</v>
      </c>
    </row>
    <row r="563" spans="1:28" x14ac:dyDescent="0.25">
      <c r="A563">
        <v>4191160419</v>
      </c>
      <c r="B563" t="s">
        <v>1643</v>
      </c>
      <c r="C563" t="s">
        <v>1644</v>
      </c>
      <c r="D563" t="str">
        <f>B563&amp;" "&amp;C563</f>
        <v>Marleah Lingner</v>
      </c>
      <c r="E563" t="s">
        <v>7</v>
      </c>
      <c r="F563">
        <v>39616</v>
      </c>
      <c r="G563">
        <f>COUNTIF(deals_closed!D:D,Calculations!A563)</f>
        <v>15</v>
      </c>
      <c r="H563" s="2">
        <f>SUMIF(deals_closed!D:D,Calculations!A563,deals_closed!C:C)</f>
        <v>641056</v>
      </c>
      <c r="I563" s="2">
        <f>VLOOKUP(E563,'2018_commission_structure'!$A$11:$I$14,9,FALSE)</f>
        <v>500000</v>
      </c>
      <c r="J563" s="2">
        <f t="shared" si="72"/>
        <v>625000</v>
      </c>
      <c r="K563" s="2">
        <f t="shared" si="73"/>
        <v>750000</v>
      </c>
      <c r="L563" s="2">
        <f t="shared" si="74"/>
        <v>1000000</v>
      </c>
      <c r="M563" s="6">
        <f t="shared" si="75"/>
        <v>1.2821119999999999</v>
      </c>
      <c r="N563" t="str">
        <f t="shared" si="76"/>
        <v>125-150%</v>
      </c>
      <c r="O563" s="7">
        <f>MIN(I563,H563)*INDEX('2018_commission_structure'!$A$11:$I$14,MATCH(Calculations!$E563,'2018_commission_structure'!$A$11:$A$14,0),MATCH(Calculations!O$1,'2018_commission_structure'!$A$11:$I$11,0))</f>
        <v>50000</v>
      </c>
      <c r="P563" s="7">
        <f>IF($H563&gt;I563,MIN($H563-I563,J563-I563)*INDEX('2018_commission_structure'!$A$11:$I$14,MATCH(Calculations!$E563,'2018_commission_structure'!$A$11:$A$14,0), MATCH(Calculations!P$1,'2018_commission_structure'!$A$11:$I$11,0)),0)</f>
        <v>18750</v>
      </c>
      <c r="Q563" s="7">
        <f>IF($H563&gt;J563,MIN($H563-J563,K563-J563)*INDEX('2018_commission_structure'!$A$11:$I$14,MATCH(Calculations!$E563,'2018_commission_structure'!$A$11:$A$14,0), MATCH(Calculations!Q$1,'2018_commission_structure'!$A$11:$I$11,0)),0)</f>
        <v>2890.08</v>
      </c>
      <c r="R563" s="7">
        <f>IF($H563&gt;K563,MIN($H563-K563,L563-K563)*INDEX('2018_commission_structure'!$A$11:$I$14,MATCH(Calculations!$E563,'2018_commission_structure'!$A$11:$A$14,0), MATCH(Calculations!R$1,'2018_commission_structure'!$A$11:$I$11,0)),0)</f>
        <v>0</v>
      </c>
      <c r="S563" s="7">
        <f>IF(H563&gt;L563,(H563-L563)*INDEX('2018_commission_structure'!$A$11:$I$14,MATCH(Calculations!$E563,'2018_commission_structure'!$A$11:$A$14,0),MATCH(Calculations!S$1,'2018_commission_structure'!$A$11:$I$11,0)),0)</f>
        <v>0</v>
      </c>
      <c r="T563" s="7">
        <f t="shared" si="77"/>
        <v>71640.08</v>
      </c>
      <c r="U563" s="7">
        <f t="shared" si="78"/>
        <v>111256.08</v>
      </c>
      <c r="V563" s="7">
        <f>MIN(H563,I563)*INDEX('2018_commission_structure'!$A$5:$J$8,MATCH(Calculations!$E563,'2018_commission_structure'!$A$5:$A$8,0),MATCH(Calculations!V$1,'2018_commission_structure'!$A$5:$J$5,0))</f>
        <v>60000</v>
      </c>
      <c r="W563" s="2">
        <f>IF($H563&gt;I563,MIN($H563-I563,J563-I563)*INDEX('2018_commission_structure'!$A$5:$J$8,MATCH(Calculations!$E563,'2018_commission_structure'!$A$5:$A$8,0),MATCH(Calculations!W$1,'2018_commission_structure'!$A$5:$J$5,0)),0)</f>
        <v>21250</v>
      </c>
      <c r="X563" s="2">
        <f>IF($H563&gt;J563,MIN($H563-J563,K563-J563)*INDEX('2018_commission_structure'!$A$5:$J$8,MATCH(Calculations!$E563,'2018_commission_structure'!$A$5:$A$8,0),MATCH(Calculations!X$1,'2018_commission_structure'!$A$5:$J$5,0)),0)</f>
        <v>3211.2000000000003</v>
      </c>
      <c r="Y563" s="2">
        <f>IF($H563&gt;K563,MIN($H563-K563,L563-K563)*INDEX('2018_commission_structure'!$A$5:$J$8,MATCH(Calculations!$E563,'2018_commission_structure'!$A$5:$A$8,0),MATCH(Calculations!Y$1,'2018_commission_structure'!$A$5:$J$5,0)),0)</f>
        <v>0</v>
      </c>
      <c r="Z563" s="2">
        <f xml:space="preserve"> IF(H563&gt;L563,(H563-L563)*INDEX('2018_commission_structure'!$A$11:$I$14,MATCH(Calculations!$E563,'2018_commission_structure'!$A$11:$A$14,0),MATCH(Calculations!Z$1,'2018_commission_structure'!$A$11:$I$11,0)),0)</f>
        <v>0</v>
      </c>
      <c r="AA563" s="7">
        <f t="shared" si="79"/>
        <v>84461.2</v>
      </c>
      <c r="AB563" s="7">
        <f t="shared" si="80"/>
        <v>124077.2</v>
      </c>
    </row>
    <row r="564" spans="1:28" x14ac:dyDescent="0.25">
      <c r="A564">
        <v>3145039288</v>
      </c>
      <c r="B564" t="s">
        <v>208</v>
      </c>
      <c r="C564" t="s">
        <v>209</v>
      </c>
      <c r="D564" t="str">
        <f>B564&amp;" "&amp;C564</f>
        <v>Jaimie Lisimore</v>
      </c>
      <c r="E564" t="s">
        <v>7</v>
      </c>
      <c r="F564">
        <v>43162</v>
      </c>
      <c r="G564">
        <f>COUNTIF(deals_closed!D:D,Calculations!A564)</f>
        <v>21</v>
      </c>
      <c r="H564" s="2">
        <f>SUMIF(deals_closed!D:D,Calculations!A564,deals_closed!C:C)</f>
        <v>729900</v>
      </c>
      <c r="I564" s="2">
        <f>VLOOKUP(E564,'2018_commission_structure'!$A$11:$I$14,9,FALSE)</f>
        <v>500000</v>
      </c>
      <c r="J564" s="2">
        <f t="shared" si="72"/>
        <v>625000</v>
      </c>
      <c r="K564" s="2">
        <f t="shared" si="73"/>
        <v>750000</v>
      </c>
      <c r="L564" s="2">
        <f t="shared" si="74"/>
        <v>1000000</v>
      </c>
      <c r="M564" s="6">
        <f t="shared" si="75"/>
        <v>1.4598</v>
      </c>
      <c r="N564" t="str">
        <f t="shared" si="76"/>
        <v>125-150%</v>
      </c>
      <c r="O564" s="7">
        <f>MIN(I564,H564)*INDEX('2018_commission_structure'!$A$11:$I$14,MATCH(Calculations!$E564,'2018_commission_structure'!$A$11:$A$14,0),MATCH(Calculations!O$1,'2018_commission_structure'!$A$11:$I$11,0))</f>
        <v>50000</v>
      </c>
      <c r="P564" s="7">
        <f>IF($H564&gt;I564,MIN($H564-I564,J564-I564)*INDEX('2018_commission_structure'!$A$11:$I$14,MATCH(Calculations!$E564,'2018_commission_structure'!$A$11:$A$14,0), MATCH(Calculations!P$1,'2018_commission_structure'!$A$11:$I$11,0)),0)</f>
        <v>18750</v>
      </c>
      <c r="Q564" s="7">
        <f>IF($H564&gt;J564,MIN($H564-J564,K564-J564)*INDEX('2018_commission_structure'!$A$11:$I$14,MATCH(Calculations!$E564,'2018_commission_structure'!$A$11:$A$14,0), MATCH(Calculations!Q$1,'2018_commission_structure'!$A$11:$I$11,0)),0)</f>
        <v>18882</v>
      </c>
      <c r="R564" s="7">
        <f>IF($H564&gt;K564,MIN($H564-K564,L564-K564)*INDEX('2018_commission_structure'!$A$11:$I$14,MATCH(Calculations!$E564,'2018_commission_structure'!$A$11:$A$14,0), MATCH(Calculations!R$1,'2018_commission_structure'!$A$11:$I$11,0)),0)</f>
        <v>0</v>
      </c>
      <c r="S564" s="7">
        <f>IF(H564&gt;L564,(H564-L564)*INDEX('2018_commission_structure'!$A$11:$I$14,MATCH(Calculations!$E564,'2018_commission_structure'!$A$11:$A$14,0),MATCH(Calculations!S$1,'2018_commission_structure'!$A$11:$I$11,0)),0)</f>
        <v>0</v>
      </c>
      <c r="T564" s="7">
        <f t="shared" si="77"/>
        <v>87632</v>
      </c>
      <c r="U564" s="7">
        <f t="shared" si="78"/>
        <v>130794</v>
      </c>
      <c r="V564" s="7">
        <f>MIN(H564,I564)*INDEX('2018_commission_structure'!$A$5:$J$8,MATCH(Calculations!$E564,'2018_commission_structure'!$A$5:$A$8,0),MATCH(Calculations!V$1,'2018_commission_structure'!$A$5:$J$5,0))</f>
        <v>60000</v>
      </c>
      <c r="W564" s="2">
        <f>IF($H564&gt;I564,MIN($H564-I564,J564-I564)*INDEX('2018_commission_structure'!$A$5:$J$8,MATCH(Calculations!$E564,'2018_commission_structure'!$A$5:$A$8,0),MATCH(Calculations!W$1,'2018_commission_structure'!$A$5:$J$5,0)),0)</f>
        <v>21250</v>
      </c>
      <c r="X564" s="2">
        <f>IF($H564&gt;J564,MIN($H564-J564,K564-J564)*INDEX('2018_commission_structure'!$A$5:$J$8,MATCH(Calculations!$E564,'2018_commission_structure'!$A$5:$A$8,0),MATCH(Calculations!X$1,'2018_commission_structure'!$A$5:$J$5,0)),0)</f>
        <v>20980</v>
      </c>
      <c r="Y564" s="2">
        <f>IF($H564&gt;K564,MIN($H564-K564,L564-K564)*INDEX('2018_commission_structure'!$A$5:$J$8,MATCH(Calculations!$E564,'2018_commission_structure'!$A$5:$A$8,0),MATCH(Calculations!Y$1,'2018_commission_structure'!$A$5:$J$5,0)),0)</f>
        <v>0</v>
      </c>
      <c r="Z564" s="2">
        <f xml:space="preserve"> IF(H564&gt;L564,(H564-L564)*INDEX('2018_commission_structure'!$A$11:$I$14,MATCH(Calculations!$E564,'2018_commission_structure'!$A$11:$A$14,0),MATCH(Calculations!Z$1,'2018_commission_structure'!$A$11:$I$11,0)),0)</f>
        <v>0</v>
      </c>
      <c r="AA564" s="7">
        <f t="shared" si="79"/>
        <v>102230</v>
      </c>
      <c r="AB564" s="7">
        <f t="shared" si="80"/>
        <v>145392</v>
      </c>
    </row>
    <row r="565" spans="1:28" x14ac:dyDescent="0.25">
      <c r="A565">
        <v>4969679754</v>
      </c>
      <c r="B565" t="s">
        <v>1361</v>
      </c>
      <c r="C565" t="s">
        <v>1362</v>
      </c>
      <c r="D565" t="str">
        <f>B565&amp;" "&amp;C565</f>
        <v>Cecilia Livingstone</v>
      </c>
      <c r="E565" t="s">
        <v>29</v>
      </c>
      <c r="F565">
        <v>54602</v>
      </c>
      <c r="G565">
        <f>COUNTIF(deals_closed!D:D,Calculations!A565)</f>
        <v>28</v>
      </c>
      <c r="H565" s="2">
        <f>SUMIF(deals_closed!D:D,Calculations!A565,deals_closed!C:C)</f>
        <v>1057474</v>
      </c>
      <c r="I565" s="2">
        <f>VLOOKUP(E565,'2018_commission_structure'!$A$11:$I$14,9,FALSE)</f>
        <v>600000</v>
      </c>
      <c r="J565" s="2">
        <f t="shared" si="72"/>
        <v>750000</v>
      </c>
      <c r="K565" s="2">
        <f t="shared" si="73"/>
        <v>900000</v>
      </c>
      <c r="L565" s="2">
        <f t="shared" si="74"/>
        <v>1200000</v>
      </c>
      <c r="M565" s="6">
        <f t="shared" si="75"/>
        <v>1.7624566666666666</v>
      </c>
      <c r="N565" t="str">
        <f t="shared" si="76"/>
        <v>150-200%</v>
      </c>
      <c r="O565" s="7">
        <f>MIN(I565,H565)*INDEX('2018_commission_structure'!$A$11:$I$14,MATCH(Calculations!$E565,'2018_commission_structure'!$A$11:$A$14,0),MATCH(Calculations!O$1,'2018_commission_structure'!$A$11:$I$11,0))</f>
        <v>78000</v>
      </c>
      <c r="P565" s="7">
        <f>IF($H565&gt;I565,MIN($H565-I565,J565-I565)*INDEX('2018_commission_structure'!$A$11:$I$14,MATCH(Calculations!$E565,'2018_commission_structure'!$A$11:$A$14,0), MATCH(Calculations!P$1,'2018_commission_structure'!$A$11:$I$11,0)),0)</f>
        <v>25500.000000000004</v>
      </c>
      <c r="Q565" s="7">
        <f>IF($H565&gt;J565,MIN($H565-J565,K565-J565)*INDEX('2018_commission_structure'!$A$11:$I$14,MATCH(Calculations!$E565,'2018_commission_structure'!$A$11:$A$14,0), MATCH(Calculations!Q$1,'2018_commission_structure'!$A$11:$I$11,0)),0)</f>
        <v>31500</v>
      </c>
      <c r="R565" s="7">
        <f>IF($H565&gt;K565,MIN($H565-K565,L565-K565)*INDEX('2018_commission_structure'!$A$11:$I$14,MATCH(Calculations!$E565,'2018_commission_structure'!$A$11:$A$14,0), MATCH(Calculations!R$1,'2018_commission_structure'!$A$11:$I$11,0)),0)</f>
        <v>40943.24</v>
      </c>
      <c r="S565" s="7">
        <f>IF(H565&gt;L565,(H565-L565)*INDEX('2018_commission_structure'!$A$11:$I$14,MATCH(Calculations!$E565,'2018_commission_structure'!$A$11:$A$14,0),MATCH(Calculations!S$1,'2018_commission_structure'!$A$11:$I$11,0)),0)</f>
        <v>0</v>
      </c>
      <c r="T565" s="7">
        <f t="shared" si="77"/>
        <v>175943.24</v>
      </c>
      <c r="U565" s="7">
        <f t="shared" si="78"/>
        <v>230545.24</v>
      </c>
      <c r="V565" s="7">
        <f>MIN(H565,I565)*INDEX('2018_commission_structure'!$A$5:$J$8,MATCH(Calculations!$E565,'2018_commission_structure'!$A$5:$A$8,0),MATCH(Calculations!V$1,'2018_commission_structure'!$A$5:$J$5,0))</f>
        <v>90000</v>
      </c>
      <c r="W565" s="2">
        <f>IF($H565&gt;I565,MIN($H565-I565,J565-I565)*INDEX('2018_commission_structure'!$A$5:$J$8,MATCH(Calculations!$E565,'2018_commission_structure'!$A$5:$A$8,0),MATCH(Calculations!W$1,'2018_commission_structure'!$A$5:$J$5,0)),0)</f>
        <v>27000</v>
      </c>
      <c r="X565" s="2">
        <f>IF($H565&gt;J565,MIN($H565-J565,K565-J565)*INDEX('2018_commission_structure'!$A$5:$J$8,MATCH(Calculations!$E565,'2018_commission_structure'!$A$5:$A$8,0),MATCH(Calculations!X$1,'2018_commission_structure'!$A$5:$J$5,0)),0)</f>
        <v>37500</v>
      </c>
      <c r="Y565" s="2">
        <f>IF($H565&gt;K565,MIN($H565-K565,L565-K565)*INDEX('2018_commission_structure'!$A$5:$J$8,MATCH(Calculations!$E565,'2018_commission_structure'!$A$5:$A$8,0),MATCH(Calculations!Y$1,'2018_commission_structure'!$A$5:$J$5,0)),0)</f>
        <v>47242.2</v>
      </c>
      <c r="Z565" s="2">
        <f xml:space="preserve"> IF(H565&gt;L565,(H565-L565)*INDEX('2018_commission_structure'!$A$11:$I$14,MATCH(Calculations!$E565,'2018_commission_structure'!$A$11:$A$14,0),MATCH(Calculations!Z$1,'2018_commission_structure'!$A$11:$I$11,0)),0)</f>
        <v>0</v>
      </c>
      <c r="AA565" s="7">
        <f t="shared" si="79"/>
        <v>201742.2</v>
      </c>
      <c r="AB565" s="7">
        <f t="shared" si="80"/>
        <v>256344.2</v>
      </c>
    </row>
    <row r="566" spans="1:28" x14ac:dyDescent="0.25">
      <c r="A566">
        <v>3933561566</v>
      </c>
      <c r="B566" t="s">
        <v>1402</v>
      </c>
      <c r="C566" t="s">
        <v>1403</v>
      </c>
      <c r="D566" t="str">
        <f>B566&amp;" "&amp;C566</f>
        <v>Kristien Llewelly</v>
      </c>
      <c r="E566" t="s">
        <v>7</v>
      </c>
      <c r="F566">
        <v>39956</v>
      </c>
      <c r="G566">
        <f>COUNTIF(deals_closed!D:D,Calculations!A566)</f>
        <v>20</v>
      </c>
      <c r="H566" s="2">
        <f>SUMIF(deals_closed!D:D,Calculations!A566,deals_closed!C:C)</f>
        <v>630390</v>
      </c>
      <c r="I566" s="2">
        <f>VLOOKUP(E566,'2018_commission_structure'!$A$11:$I$14,9,FALSE)</f>
        <v>500000</v>
      </c>
      <c r="J566" s="2">
        <f t="shared" si="72"/>
        <v>625000</v>
      </c>
      <c r="K566" s="2">
        <f t="shared" si="73"/>
        <v>750000</v>
      </c>
      <c r="L566" s="2">
        <f t="shared" si="74"/>
        <v>1000000</v>
      </c>
      <c r="M566" s="6">
        <f t="shared" si="75"/>
        <v>1.26078</v>
      </c>
      <c r="N566" t="str">
        <f t="shared" si="76"/>
        <v>125-150%</v>
      </c>
      <c r="O566" s="7">
        <f>MIN(I566,H566)*INDEX('2018_commission_structure'!$A$11:$I$14,MATCH(Calculations!$E566,'2018_commission_structure'!$A$11:$A$14,0),MATCH(Calculations!O$1,'2018_commission_structure'!$A$11:$I$11,0))</f>
        <v>50000</v>
      </c>
      <c r="P566" s="7">
        <f>IF($H566&gt;I566,MIN($H566-I566,J566-I566)*INDEX('2018_commission_structure'!$A$11:$I$14,MATCH(Calculations!$E566,'2018_commission_structure'!$A$11:$A$14,0), MATCH(Calculations!P$1,'2018_commission_structure'!$A$11:$I$11,0)),0)</f>
        <v>18750</v>
      </c>
      <c r="Q566" s="7">
        <f>IF($H566&gt;J566,MIN($H566-J566,K566-J566)*INDEX('2018_commission_structure'!$A$11:$I$14,MATCH(Calculations!$E566,'2018_commission_structure'!$A$11:$A$14,0), MATCH(Calculations!Q$1,'2018_commission_structure'!$A$11:$I$11,0)),0)</f>
        <v>970.19999999999993</v>
      </c>
      <c r="R566" s="7">
        <f>IF($H566&gt;K566,MIN($H566-K566,L566-K566)*INDEX('2018_commission_structure'!$A$11:$I$14,MATCH(Calculations!$E566,'2018_commission_structure'!$A$11:$A$14,0), MATCH(Calculations!R$1,'2018_commission_structure'!$A$11:$I$11,0)),0)</f>
        <v>0</v>
      </c>
      <c r="S566" s="7">
        <f>IF(H566&gt;L566,(H566-L566)*INDEX('2018_commission_structure'!$A$11:$I$14,MATCH(Calculations!$E566,'2018_commission_structure'!$A$11:$A$14,0),MATCH(Calculations!S$1,'2018_commission_structure'!$A$11:$I$11,0)),0)</f>
        <v>0</v>
      </c>
      <c r="T566" s="7">
        <f t="shared" si="77"/>
        <v>69720.2</v>
      </c>
      <c r="U566" s="7">
        <f t="shared" si="78"/>
        <v>109676.2</v>
      </c>
      <c r="V566" s="7">
        <f>MIN(H566,I566)*INDEX('2018_commission_structure'!$A$5:$J$8,MATCH(Calculations!$E566,'2018_commission_structure'!$A$5:$A$8,0),MATCH(Calculations!V$1,'2018_commission_structure'!$A$5:$J$5,0))</f>
        <v>60000</v>
      </c>
      <c r="W566" s="2">
        <f>IF($H566&gt;I566,MIN($H566-I566,J566-I566)*INDEX('2018_commission_structure'!$A$5:$J$8,MATCH(Calculations!$E566,'2018_commission_structure'!$A$5:$A$8,0),MATCH(Calculations!W$1,'2018_commission_structure'!$A$5:$J$5,0)),0)</f>
        <v>21250</v>
      </c>
      <c r="X566" s="2">
        <f>IF($H566&gt;J566,MIN($H566-J566,K566-J566)*INDEX('2018_commission_structure'!$A$5:$J$8,MATCH(Calculations!$E566,'2018_commission_structure'!$A$5:$A$8,0),MATCH(Calculations!X$1,'2018_commission_structure'!$A$5:$J$5,0)),0)</f>
        <v>1078</v>
      </c>
      <c r="Y566" s="2">
        <f>IF($H566&gt;K566,MIN($H566-K566,L566-K566)*INDEX('2018_commission_structure'!$A$5:$J$8,MATCH(Calculations!$E566,'2018_commission_structure'!$A$5:$A$8,0),MATCH(Calculations!Y$1,'2018_commission_structure'!$A$5:$J$5,0)),0)</f>
        <v>0</v>
      </c>
      <c r="Z566" s="2">
        <f xml:space="preserve"> IF(H566&gt;L566,(H566-L566)*INDEX('2018_commission_structure'!$A$11:$I$14,MATCH(Calculations!$E566,'2018_commission_structure'!$A$11:$A$14,0),MATCH(Calculations!Z$1,'2018_commission_structure'!$A$11:$I$11,0)),0)</f>
        <v>0</v>
      </c>
      <c r="AA566" s="7">
        <f t="shared" si="79"/>
        <v>82328</v>
      </c>
      <c r="AB566" s="7">
        <f t="shared" si="80"/>
        <v>122284</v>
      </c>
    </row>
    <row r="567" spans="1:28" x14ac:dyDescent="0.25">
      <c r="A567">
        <v>6487054410</v>
      </c>
      <c r="B567" t="s">
        <v>561</v>
      </c>
      <c r="C567" t="s">
        <v>732</v>
      </c>
      <c r="D567" t="str">
        <f>B567&amp;" "&amp;C567</f>
        <v>Jonah Lobb</v>
      </c>
      <c r="E567" t="s">
        <v>29</v>
      </c>
      <c r="F567">
        <v>64256</v>
      </c>
      <c r="G567">
        <f>COUNTIF(deals_closed!D:D,Calculations!A567)</f>
        <v>17</v>
      </c>
      <c r="H567" s="2">
        <f>SUMIF(deals_closed!D:D,Calculations!A567,deals_closed!C:C)</f>
        <v>570251</v>
      </c>
      <c r="I567" s="2">
        <f>VLOOKUP(E567,'2018_commission_structure'!$A$11:$I$14,9,FALSE)</f>
        <v>600000</v>
      </c>
      <c r="J567" s="2">
        <f t="shared" si="72"/>
        <v>750000</v>
      </c>
      <c r="K567" s="2">
        <f t="shared" si="73"/>
        <v>900000</v>
      </c>
      <c r="L567" s="2">
        <f t="shared" si="74"/>
        <v>1200000</v>
      </c>
      <c r="M567" s="6">
        <f t="shared" si="75"/>
        <v>0.95041833333333336</v>
      </c>
      <c r="N567" t="str">
        <f t="shared" si="76"/>
        <v>0-100%</v>
      </c>
      <c r="O567" s="7">
        <f>MIN(I567,H567)*INDEX('2018_commission_structure'!$A$11:$I$14,MATCH(Calculations!$E567,'2018_commission_structure'!$A$11:$A$14,0),MATCH(Calculations!O$1,'2018_commission_structure'!$A$11:$I$11,0))</f>
        <v>74132.63</v>
      </c>
      <c r="P567" s="7">
        <f>IF($H567&gt;I567,MIN($H567-I567,J567-I567)*INDEX('2018_commission_structure'!$A$11:$I$14,MATCH(Calculations!$E567,'2018_commission_structure'!$A$11:$A$14,0), MATCH(Calculations!P$1,'2018_commission_structure'!$A$11:$I$11,0)),0)</f>
        <v>0</v>
      </c>
      <c r="Q567" s="7">
        <f>IF($H567&gt;J567,MIN($H567-J567,K567-J567)*INDEX('2018_commission_structure'!$A$11:$I$14,MATCH(Calculations!$E567,'2018_commission_structure'!$A$11:$A$14,0), MATCH(Calculations!Q$1,'2018_commission_structure'!$A$11:$I$11,0)),0)</f>
        <v>0</v>
      </c>
      <c r="R567" s="7">
        <f>IF($H567&gt;K567,MIN($H567-K567,L567-K567)*INDEX('2018_commission_structure'!$A$11:$I$14,MATCH(Calculations!$E567,'2018_commission_structure'!$A$11:$A$14,0), MATCH(Calculations!R$1,'2018_commission_structure'!$A$11:$I$11,0)),0)</f>
        <v>0</v>
      </c>
      <c r="S567" s="7">
        <f>IF(H567&gt;L567,(H567-L567)*INDEX('2018_commission_structure'!$A$11:$I$14,MATCH(Calculations!$E567,'2018_commission_structure'!$A$11:$A$14,0),MATCH(Calculations!S$1,'2018_commission_structure'!$A$11:$I$11,0)),0)</f>
        <v>0</v>
      </c>
      <c r="T567" s="7">
        <f t="shared" si="77"/>
        <v>74132.63</v>
      </c>
      <c r="U567" s="7">
        <f t="shared" si="78"/>
        <v>138388.63</v>
      </c>
      <c r="V567" s="7">
        <f>MIN(H567,I567)*INDEX('2018_commission_structure'!$A$5:$J$8,MATCH(Calculations!$E567,'2018_commission_structure'!$A$5:$A$8,0),MATCH(Calculations!V$1,'2018_commission_structure'!$A$5:$J$5,0))</f>
        <v>85537.65</v>
      </c>
      <c r="W567" s="2">
        <f>IF($H567&gt;I567,MIN($H567-I567,J567-I567)*INDEX('2018_commission_structure'!$A$5:$J$8,MATCH(Calculations!$E567,'2018_commission_structure'!$A$5:$A$8,0),MATCH(Calculations!W$1,'2018_commission_structure'!$A$5:$J$5,0)),0)</f>
        <v>0</v>
      </c>
      <c r="X567" s="2">
        <f>IF($H567&gt;J567,MIN($H567-J567,K567-J567)*INDEX('2018_commission_structure'!$A$5:$J$8,MATCH(Calculations!$E567,'2018_commission_structure'!$A$5:$A$8,0),MATCH(Calculations!X$1,'2018_commission_structure'!$A$5:$J$5,0)),0)</f>
        <v>0</v>
      </c>
      <c r="Y567" s="2">
        <f>IF($H567&gt;K567,MIN($H567-K567,L567-K567)*INDEX('2018_commission_structure'!$A$5:$J$8,MATCH(Calculations!$E567,'2018_commission_structure'!$A$5:$A$8,0),MATCH(Calculations!Y$1,'2018_commission_structure'!$A$5:$J$5,0)),0)</f>
        <v>0</v>
      </c>
      <c r="Z567" s="2">
        <f xml:space="preserve"> IF(H567&gt;L567,(H567-L567)*INDEX('2018_commission_structure'!$A$11:$I$14,MATCH(Calculations!$E567,'2018_commission_structure'!$A$11:$A$14,0),MATCH(Calculations!Z$1,'2018_commission_structure'!$A$11:$I$11,0)),0)</f>
        <v>0</v>
      </c>
      <c r="AA567" s="7">
        <f t="shared" si="79"/>
        <v>85537.65</v>
      </c>
      <c r="AB567" s="7">
        <f t="shared" si="80"/>
        <v>149793.65</v>
      </c>
    </row>
    <row r="568" spans="1:28" x14ac:dyDescent="0.25">
      <c r="A568">
        <v>1888252693</v>
      </c>
      <c r="B568" t="s">
        <v>1534</v>
      </c>
      <c r="C568" t="s">
        <v>1535</v>
      </c>
      <c r="D568" t="str">
        <f>B568&amp;" "&amp;C568</f>
        <v>Barbara Locker</v>
      </c>
      <c r="E568" t="s">
        <v>29</v>
      </c>
      <c r="F568">
        <v>65975</v>
      </c>
      <c r="G568">
        <f>COUNTIF(deals_closed!D:D,Calculations!A568)</f>
        <v>24</v>
      </c>
      <c r="H568" s="2">
        <f>SUMIF(deals_closed!D:D,Calculations!A568,deals_closed!C:C)</f>
        <v>920165</v>
      </c>
      <c r="I568" s="2">
        <f>VLOOKUP(E568,'2018_commission_structure'!$A$11:$I$14,9,FALSE)</f>
        <v>600000</v>
      </c>
      <c r="J568" s="2">
        <f t="shared" si="72"/>
        <v>750000</v>
      </c>
      <c r="K568" s="2">
        <f t="shared" si="73"/>
        <v>900000</v>
      </c>
      <c r="L568" s="2">
        <f t="shared" si="74"/>
        <v>1200000</v>
      </c>
      <c r="M568" s="6">
        <f t="shared" si="75"/>
        <v>1.5336083333333332</v>
      </c>
      <c r="N568" t="str">
        <f t="shared" si="76"/>
        <v>150-200%</v>
      </c>
      <c r="O568" s="7">
        <f>MIN(I568,H568)*INDEX('2018_commission_structure'!$A$11:$I$14,MATCH(Calculations!$E568,'2018_commission_structure'!$A$11:$A$14,0),MATCH(Calculations!O$1,'2018_commission_structure'!$A$11:$I$11,0))</f>
        <v>78000</v>
      </c>
      <c r="P568" s="7">
        <f>IF($H568&gt;I568,MIN($H568-I568,J568-I568)*INDEX('2018_commission_structure'!$A$11:$I$14,MATCH(Calculations!$E568,'2018_commission_structure'!$A$11:$A$14,0), MATCH(Calculations!P$1,'2018_commission_structure'!$A$11:$I$11,0)),0)</f>
        <v>25500.000000000004</v>
      </c>
      <c r="Q568" s="7">
        <f>IF($H568&gt;J568,MIN($H568-J568,K568-J568)*INDEX('2018_commission_structure'!$A$11:$I$14,MATCH(Calculations!$E568,'2018_commission_structure'!$A$11:$A$14,0), MATCH(Calculations!Q$1,'2018_commission_structure'!$A$11:$I$11,0)),0)</f>
        <v>31500</v>
      </c>
      <c r="R568" s="7">
        <f>IF($H568&gt;K568,MIN($H568-K568,L568-K568)*INDEX('2018_commission_structure'!$A$11:$I$14,MATCH(Calculations!$E568,'2018_commission_structure'!$A$11:$A$14,0), MATCH(Calculations!R$1,'2018_commission_structure'!$A$11:$I$11,0)),0)</f>
        <v>5242.9000000000005</v>
      </c>
      <c r="S568" s="7">
        <f>IF(H568&gt;L568,(H568-L568)*INDEX('2018_commission_structure'!$A$11:$I$14,MATCH(Calculations!$E568,'2018_commission_structure'!$A$11:$A$14,0),MATCH(Calculations!S$1,'2018_commission_structure'!$A$11:$I$11,0)),0)</f>
        <v>0</v>
      </c>
      <c r="T568" s="7">
        <f t="shared" si="77"/>
        <v>140242.9</v>
      </c>
      <c r="U568" s="7">
        <f t="shared" si="78"/>
        <v>206217.9</v>
      </c>
      <c r="V568" s="7">
        <f>MIN(H568,I568)*INDEX('2018_commission_structure'!$A$5:$J$8,MATCH(Calculations!$E568,'2018_commission_structure'!$A$5:$A$8,0),MATCH(Calculations!V$1,'2018_commission_structure'!$A$5:$J$5,0))</f>
        <v>90000</v>
      </c>
      <c r="W568" s="2">
        <f>IF($H568&gt;I568,MIN($H568-I568,J568-I568)*INDEX('2018_commission_structure'!$A$5:$J$8,MATCH(Calculations!$E568,'2018_commission_structure'!$A$5:$A$8,0),MATCH(Calculations!W$1,'2018_commission_structure'!$A$5:$J$5,0)),0)</f>
        <v>27000</v>
      </c>
      <c r="X568" s="2">
        <f>IF($H568&gt;J568,MIN($H568-J568,K568-J568)*INDEX('2018_commission_structure'!$A$5:$J$8,MATCH(Calculations!$E568,'2018_commission_structure'!$A$5:$A$8,0),MATCH(Calculations!X$1,'2018_commission_structure'!$A$5:$J$5,0)),0)</f>
        <v>37500</v>
      </c>
      <c r="Y568" s="2">
        <f>IF($H568&gt;K568,MIN($H568-K568,L568-K568)*INDEX('2018_commission_structure'!$A$5:$J$8,MATCH(Calculations!$E568,'2018_commission_structure'!$A$5:$A$8,0),MATCH(Calculations!Y$1,'2018_commission_structure'!$A$5:$J$5,0)),0)</f>
        <v>6049.5</v>
      </c>
      <c r="Z568" s="2">
        <f xml:space="preserve"> IF(H568&gt;L568,(H568-L568)*INDEX('2018_commission_structure'!$A$11:$I$14,MATCH(Calculations!$E568,'2018_commission_structure'!$A$11:$A$14,0),MATCH(Calculations!Z$1,'2018_commission_structure'!$A$11:$I$11,0)),0)</f>
        <v>0</v>
      </c>
      <c r="AA568" s="7">
        <f t="shared" si="79"/>
        <v>160549.5</v>
      </c>
      <c r="AB568" s="7">
        <f t="shared" si="80"/>
        <v>226524.5</v>
      </c>
    </row>
    <row r="569" spans="1:28" x14ac:dyDescent="0.25">
      <c r="A569">
        <v>9317454674</v>
      </c>
      <c r="B569" t="s">
        <v>250</v>
      </c>
      <c r="C569" t="s">
        <v>251</v>
      </c>
      <c r="D569" t="str">
        <f>B569&amp;" "&amp;C569</f>
        <v>Prentiss Lockery</v>
      </c>
      <c r="E569" t="s">
        <v>7</v>
      </c>
      <c r="F569">
        <v>33116</v>
      </c>
      <c r="G569">
        <f>COUNTIF(deals_closed!D:D,Calculations!A569)</f>
        <v>15</v>
      </c>
      <c r="H569" s="2">
        <f>SUMIF(deals_closed!D:D,Calculations!A569,deals_closed!C:C)</f>
        <v>543471</v>
      </c>
      <c r="I569" s="2">
        <f>VLOOKUP(E569,'2018_commission_structure'!$A$11:$I$14,9,FALSE)</f>
        <v>500000</v>
      </c>
      <c r="J569" s="2">
        <f t="shared" si="72"/>
        <v>625000</v>
      </c>
      <c r="K569" s="2">
        <f t="shared" si="73"/>
        <v>750000</v>
      </c>
      <c r="L569" s="2">
        <f t="shared" si="74"/>
        <v>1000000</v>
      </c>
      <c r="M569" s="6">
        <f t="shared" si="75"/>
        <v>1.0869420000000001</v>
      </c>
      <c r="N569" t="str">
        <f t="shared" si="76"/>
        <v>100-125%</v>
      </c>
      <c r="O569" s="7">
        <f>MIN(I569,H569)*INDEX('2018_commission_structure'!$A$11:$I$14,MATCH(Calculations!$E569,'2018_commission_structure'!$A$11:$A$14,0),MATCH(Calculations!O$1,'2018_commission_structure'!$A$11:$I$11,0))</f>
        <v>50000</v>
      </c>
      <c r="P569" s="7">
        <f>IF($H569&gt;I569,MIN($H569-I569,J569-I569)*INDEX('2018_commission_structure'!$A$11:$I$14,MATCH(Calculations!$E569,'2018_commission_structure'!$A$11:$A$14,0), MATCH(Calculations!P$1,'2018_commission_structure'!$A$11:$I$11,0)),0)</f>
        <v>6520.65</v>
      </c>
      <c r="Q569" s="7">
        <f>IF($H569&gt;J569,MIN($H569-J569,K569-J569)*INDEX('2018_commission_structure'!$A$11:$I$14,MATCH(Calculations!$E569,'2018_commission_structure'!$A$11:$A$14,0), MATCH(Calculations!Q$1,'2018_commission_structure'!$A$11:$I$11,0)),0)</f>
        <v>0</v>
      </c>
      <c r="R569" s="7">
        <f>IF($H569&gt;K569,MIN($H569-K569,L569-K569)*INDEX('2018_commission_structure'!$A$11:$I$14,MATCH(Calculations!$E569,'2018_commission_structure'!$A$11:$A$14,0), MATCH(Calculations!R$1,'2018_commission_structure'!$A$11:$I$11,0)),0)</f>
        <v>0</v>
      </c>
      <c r="S569" s="7">
        <f>IF(H569&gt;L569,(H569-L569)*INDEX('2018_commission_structure'!$A$11:$I$14,MATCH(Calculations!$E569,'2018_commission_structure'!$A$11:$A$14,0),MATCH(Calculations!S$1,'2018_commission_structure'!$A$11:$I$11,0)),0)</f>
        <v>0</v>
      </c>
      <c r="T569" s="7">
        <f t="shared" si="77"/>
        <v>56520.65</v>
      </c>
      <c r="U569" s="7">
        <f t="shared" si="78"/>
        <v>89636.65</v>
      </c>
      <c r="V569" s="7">
        <f>MIN(H569,I569)*INDEX('2018_commission_structure'!$A$5:$J$8,MATCH(Calculations!$E569,'2018_commission_structure'!$A$5:$A$8,0),MATCH(Calculations!V$1,'2018_commission_structure'!$A$5:$J$5,0))</f>
        <v>60000</v>
      </c>
      <c r="W569" s="2">
        <f>IF($H569&gt;I569,MIN($H569-I569,J569-I569)*INDEX('2018_commission_structure'!$A$5:$J$8,MATCH(Calculations!$E569,'2018_commission_structure'!$A$5:$A$8,0),MATCH(Calculations!W$1,'2018_commission_structure'!$A$5:$J$5,0)),0)</f>
        <v>7390.0700000000006</v>
      </c>
      <c r="X569" s="2">
        <f>IF($H569&gt;J569,MIN($H569-J569,K569-J569)*INDEX('2018_commission_structure'!$A$5:$J$8,MATCH(Calculations!$E569,'2018_commission_structure'!$A$5:$A$8,0),MATCH(Calculations!X$1,'2018_commission_structure'!$A$5:$J$5,0)),0)</f>
        <v>0</v>
      </c>
      <c r="Y569" s="2">
        <f>IF($H569&gt;K569,MIN($H569-K569,L569-K569)*INDEX('2018_commission_structure'!$A$5:$J$8,MATCH(Calculations!$E569,'2018_commission_structure'!$A$5:$A$8,0),MATCH(Calculations!Y$1,'2018_commission_structure'!$A$5:$J$5,0)),0)</f>
        <v>0</v>
      </c>
      <c r="Z569" s="2">
        <f xml:space="preserve"> IF(H569&gt;L569,(H569-L569)*INDEX('2018_commission_structure'!$A$11:$I$14,MATCH(Calculations!$E569,'2018_commission_structure'!$A$11:$A$14,0),MATCH(Calculations!Z$1,'2018_commission_structure'!$A$11:$I$11,0)),0)</f>
        <v>0</v>
      </c>
      <c r="AA569" s="7">
        <f t="shared" si="79"/>
        <v>67390.070000000007</v>
      </c>
      <c r="AB569" s="7">
        <f t="shared" si="80"/>
        <v>100506.07</v>
      </c>
    </row>
    <row r="570" spans="1:28" x14ac:dyDescent="0.25">
      <c r="A570">
        <v>8685064791</v>
      </c>
      <c r="B570" t="s">
        <v>600</v>
      </c>
      <c r="C570" t="s">
        <v>601</v>
      </c>
      <c r="D570" t="str">
        <f>B570&amp;" "&amp;C570</f>
        <v>Amalle Lodo</v>
      </c>
      <c r="E570" t="s">
        <v>29</v>
      </c>
      <c r="F570">
        <v>74711</v>
      </c>
      <c r="G570">
        <f>COUNTIF(deals_closed!D:D,Calculations!A570)</f>
        <v>24</v>
      </c>
      <c r="H570" s="2">
        <f>SUMIF(deals_closed!D:D,Calculations!A570,deals_closed!C:C)</f>
        <v>655607</v>
      </c>
      <c r="I570" s="2">
        <f>VLOOKUP(E570,'2018_commission_structure'!$A$11:$I$14,9,FALSE)</f>
        <v>600000</v>
      </c>
      <c r="J570" s="2">
        <f t="shared" si="72"/>
        <v>750000</v>
      </c>
      <c r="K570" s="2">
        <f t="shared" si="73"/>
        <v>900000</v>
      </c>
      <c r="L570" s="2">
        <f t="shared" si="74"/>
        <v>1200000</v>
      </c>
      <c r="M570" s="6">
        <f t="shared" si="75"/>
        <v>1.0926783333333334</v>
      </c>
      <c r="N570" t="str">
        <f t="shared" si="76"/>
        <v>100-125%</v>
      </c>
      <c r="O570" s="7">
        <f>MIN(I570,H570)*INDEX('2018_commission_structure'!$A$11:$I$14,MATCH(Calculations!$E570,'2018_commission_structure'!$A$11:$A$14,0),MATCH(Calculations!O$1,'2018_commission_structure'!$A$11:$I$11,0))</f>
        <v>78000</v>
      </c>
      <c r="P570" s="7">
        <f>IF($H570&gt;I570,MIN($H570-I570,J570-I570)*INDEX('2018_commission_structure'!$A$11:$I$14,MATCH(Calculations!$E570,'2018_commission_structure'!$A$11:$A$14,0), MATCH(Calculations!P$1,'2018_commission_structure'!$A$11:$I$11,0)),0)</f>
        <v>9453.19</v>
      </c>
      <c r="Q570" s="7">
        <f>IF($H570&gt;J570,MIN($H570-J570,K570-J570)*INDEX('2018_commission_structure'!$A$11:$I$14,MATCH(Calculations!$E570,'2018_commission_structure'!$A$11:$A$14,0), MATCH(Calculations!Q$1,'2018_commission_structure'!$A$11:$I$11,0)),0)</f>
        <v>0</v>
      </c>
      <c r="R570" s="7">
        <f>IF($H570&gt;K570,MIN($H570-K570,L570-K570)*INDEX('2018_commission_structure'!$A$11:$I$14,MATCH(Calculations!$E570,'2018_commission_structure'!$A$11:$A$14,0), MATCH(Calculations!R$1,'2018_commission_structure'!$A$11:$I$11,0)),0)</f>
        <v>0</v>
      </c>
      <c r="S570" s="7">
        <f>IF(H570&gt;L570,(H570-L570)*INDEX('2018_commission_structure'!$A$11:$I$14,MATCH(Calculations!$E570,'2018_commission_structure'!$A$11:$A$14,0),MATCH(Calculations!S$1,'2018_commission_structure'!$A$11:$I$11,0)),0)</f>
        <v>0</v>
      </c>
      <c r="T570" s="7">
        <f t="shared" si="77"/>
        <v>87453.19</v>
      </c>
      <c r="U570" s="7">
        <f t="shared" si="78"/>
        <v>162164.19</v>
      </c>
      <c r="V570" s="7">
        <f>MIN(H570,I570)*INDEX('2018_commission_structure'!$A$5:$J$8,MATCH(Calculations!$E570,'2018_commission_structure'!$A$5:$A$8,0),MATCH(Calculations!V$1,'2018_commission_structure'!$A$5:$J$5,0))</f>
        <v>90000</v>
      </c>
      <c r="W570" s="2">
        <f>IF($H570&gt;I570,MIN($H570-I570,J570-I570)*INDEX('2018_commission_structure'!$A$5:$J$8,MATCH(Calculations!$E570,'2018_commission_structure'!$A$5:$A$8,0),MATCH(Calculations!W$1,'2018_commission_structure'!$A$5:$J$5,0)),0)</f>
        <v>10009.26</v>
      </c>
      <c r="X570" s="2">
        <f>IF($H570&gt;J570,MIN($H570-J570,K570-J570)*INDEX('2018_commission_structure'!$A$5:$J$8,MATCH(Calculations!$E570,'2018_commission_structure'!$A$5:$A$8,0),MATCH(Calculations!X$1,'2018_commission_structure'!$A$5:$J$5,0)),0)</f>
        <v>0</v>
      </c>
      <c r="Y570" s="2">
        <f>IF($H570&gt;K570,MIN($H570-K570,L570-K570)*INDEX('2018_commission_structure'!$A$5:$J$8,MATCH(Calculations!$E570,'2018_commission_structure'!$A$5:$A$8,0),MATCH(Calculations!Y$1,'2018_commission_structure'!$A$5:$J$5,0)),0)</f>
        <v>0</v>
      </c>
      <c r="Z570" s="2">
        <f xml:space="preserve"> IF(H570&gt;L570,(H570-L570)*INDEX('2018_commission_structure'!$A$11:$I$14,MATCH(Calculations!$E570,'2018_commission_structure'!$A$11:$A$14,0),MATCH(Calculations!Z$1,'2018_commission_structure'!$A$11:$I$11,0)),0)</f>
        <v>0</v>
      </c>
      <c r="AA570" s="7">
        <f t="shared" si="79"/>
        <v>100009.26</v>
      </c>
      <c r="AB570" s="7">
        <f t="shared" si="80"/>
        <v>174720.26</v>
      </c>
    </row>
    <row r="571" spans="1:28" x14ac:dyDescent="0.25">
      <c r="A571">
        <v>303831626</v>
      </c>
      <c r="B571" t="s">
        <v>1821</v>
      </c>
      <c r="C571" t="s">
        <v>1822</v>
      </c>
      <c r="D571" t="str">
        <f>B571&amp;" "&amp;C571</f>
        <v>Emmerich Longmuir</v>
      </c>
      <c r="E571" t="s">
        <v>7</v>
      </c>
      <c r="F571">
        <v>44015</v>
      </c>
      <c r="G571">
        <f>COUNTIF(deals_closed!D:D,Calculations!A571)</f>
        <v>19</v>
      </c>
      <c r="H571" s="2">
        <f>SUMIF(deals_closed!D:D,Calculations!A571,deals_closed!C:C)</f>
        <v>788591</v>
      </c>
      <c r="I571" s="2">
        <f>VLOOKUP(E571,'2018_commission_structure'!$A$11:$I$14,9,FALSE)</f>
        <v>500000</v>
      </c>
      <c r="J571" s="2">
        <f t="shared" si="72"/>
        <v>625000</v>
      </c>
      <c r="K571" s="2">
        <f t="shared" si="73"/>
        <v>750000</v>
      </c>
      <c r="L571" s="2">
        <f t="shared" si="74"/>
        <v>1000000</v>
      </c>
      <c r="M571" s="6">
        <f t="shared" si="75"/>
        <v>1.5771820000000001</v>
      </c>
      <c r="N571" t="str">
        <f t="shared" si="76"/>
        <v>150-200%</v>
      </c>
      <c r="O571" s="7">
        <f>MIN(I571,H571)*INDEX('2018_commission_structure'!$A$11:$I$14,MATCH(Calculations!$E571,'2018_commission_structure'!$A$11:$A$14,0),MATCH(Calculations!O$1,'2018_commission_structure'!$A$11:$I$11,0))</f>
        <v>50000</v>
      </c>
      <c r="P571" s="7">
        <f>IF($H571&gt;I571,MIN($H571-I571,J571-I571)*INDEX('2018_commission_structure'!$A$11:$I$14,MATCH(Calculations!$E571,'2018_commission_structure'!$A$11:$A$14,0), MATCH(Calculations!P$1,'2018_commission_structure'!$A$11:$I$11,0)),0)</f>
        <v>18750</v>
      </c>
      <c r="Q571" s="7">
        <f>IF($H571&gt;J571,MIN($H571-J571,K571-J571)*INDEX('2018_commission_structure'!$A$11:$I$14,MATCH(Calculations!$E571,'2018_commission_structure'!$A$11:$A$14,0), MATCH(Calculations!Q$1,'2018_commission_structure'!$A$11:$I$11,0)),0)</f>
        <v>22500</v>
      </c>
      <c r="R571" s="7">
        <f>IF($H571&gt;K571,MIN($H571-K571,L571-K571)*INDEX('2018_commission_structure'!$A$11:$I$14,MATCH(Calculations!$E571,'2018_commission_structure'!$A$11:$A$14,0), MATCH(Calculations!R$1,'2018_commission_structure'!$A$11:$I$11,0)),0)</f>
        <v>8490.02</v>
      </c>
      <c r="S571" s="7">
        <f>IF(H571&gt;L571,(H571-L571)*INDEX('2018_commission_structure'!$A$11:$I$14,MATCH(Calculations!$E571,'2018_commission_structure'!$A$11:$A$14,0),MATCH(Calculations!S$1,'2018_commission_structure'!$A$11:$I$11,0)),0)</f>
        <v>0</v>
      </c>
      <c r="T571" s="7">
        <f t="shared" si="77"/>
        <v>99740.02</v>
      </c>
      <c r="U571" s="7">
        <f t="shared" si="78"/>
        <v>143755.02000000002</v>
      </c>
      <c r="V571" s="7">
        <f>MIN(H571,I571)*INDEX('2018_commission_structure'!$A$5:$J$8,MATCH(Calculations!$E571,'2018_commission_structure'!$A$5:$A$8,0),MATCH(Calculations!V$1,'2018_commission_structure'!$A$5:$J$5,0))</f>
        <v>60000</v>
      </c>
      <c r="W571" s="2">
        <f>IF($H571&gt;I571,MIN($H571-I571,J571-I571)*INDEX('2018_commission_structure'!$A$5:$J$8,MATCH(Calculations!$E571,'2018_commission_structure'!$A$5:$A$8,0),MATCH(Calculations!W$1,'2018_commission_structure'!$A$5:$J$5,0)),0)</f>
        <v>21250</v>
      </c>
      <c r="X571" s="2">
        <f>IF($H571&gt;J571,MIN($H571-J571,K571-J571)*INDEX('2018_commission_structure'!$A$5:$J$8,MATCH(Calculations!$E571,'2018_commission_structure'!$A$5:$A$8,0),MATCH(Calculations!X$1,'2018_commission_structure'!$A$5:$J$5,0)),0)</f>
        <v>25000</v>
      </c>
      <c r="Y571" s="2">
        <f>IF($H571&gt;K571,MIN($H571-K571,L571-K571)*INDEX('2018_commission_structure'!$A$5:$J$8,MATCH(Calculations!$E571,'2018_commission_structure'!$A$5:$A$8,0),MATCH(Calculations!Y$1,'2018_commission_structure'!$A$5:$J$5,0)),0)</f>
        <v>8490.02</v>
      </c>
      <c r="Z571" s="2">
        <f xml:space="preserve"> IF(H571&gt;L571,(H571-L571)*INDEX('2018_commission_structure'!$A$11:$I$14,MATCH(Calculations!$E571,'2018_commission_structure'!$A$11:$A$14,0),MATCH(Calculations!Z$1,'2018_commission_structure'!$A$11:$I$11,0)),0)</f>
        <v>0</v>
      </c>
      <c r="AA571" s="7">
        <f t="shared" si="79"/>
        <v>114740.02</v>
      </c>
      <c r="AB571" s="7">
        <f t="shared" si="80"/>
        <v>158755.02000000002</v>
      </c>
    </row>
    <row r="572" spans="1:28" x14ac:dyDescent="0.25">
      <c r="A572">
        <v>4097160079</v>
      </c>
      <c r="B572" t="s">
        <v>1853</v>
      </c>
      <c r="C572" t="s">
        <v>1854</v>
      </c>
      <c r="D572" t="str">
        <f>B572&amp;" "&amp;C572</f>
        <v>Robinia Losseljong</v>
      </c>
      <c r="E572" t="s">
        <v>10</v>
      </c>
      <c r="F572">
        <v>93493</v>
      </c>
      <c r="G572">
        <f>COUNTIF(deals_closed!D:D,Calculations!A572)</f>
        <v>21</v>
      </c>
      <c r="H572" s="2">
        <f>SUMIF(deals_closed!D:D,Calculations!A572,deals_closed!C:C)</f>
        <v>768592</v>
      </c>
      <c r="I572" s="2">
        <f>VLOOKUP(E572,'2018_commission_structure'!$A$11:$I$14,9,FALSE)</f>
        <v>750000</v>
      </c>
      <c r="J572" s="2">
        <f t="shared" si="72"/>
        <v>937500</v>
      </c>
      <c r="K572" s="2">
        <f t="shared" si="73"/>
        <v>1125000</v>
      </c>
      <c r="L572" s="2">
        <f t="shared" si="74"/>
        <v>1500000</v>
      </c>
      <c r="M572" s="6">
        <f t="shared" si="75"/>
        <v>1.0247893333333333</v>
      </c>
      <c r="N572" t="str">
        <f t="shared" si="76"/>
        <v>100-125%</v>
      </c>
      <c r="O572" s="7">
        <f>MIN(I572,H572)*INDEX('2018_commission_structure'!$A$11:$I$14,MATCH(Calculations!$E572,'2018_commission_structure'!$A$11:$A$14,0),MATCH(Calculations!O$1,'2018_commission_structure'!$A$11:$I$11,0))</f>
        <v>112500</v>
      </c>
      <c r="P572" s="7">
        <f>IF($H572&gt;I572,MIN($H572-I572,J572-I572)*INDEX('2018_commission_structure'!$A$11:$I$14,MATCH(Calculations!$E572,'2018_commission_structure'!$A$11:$A$14,0), MATCH(Calculations!P$1,'2018_commission_structure'!$A$11:$I$11,0)),0)</f>
        <v>3532.48</v>
      </c>
      <c r="Q572" s="7">
        <f>IF($H572&gt;J572,MIN($H572-J572,K572-J572)*INDEX('2018_commission_structure'!$A$11:$I$14,MATCH(Calculations!$E572,'2018_commission_structure'!$A$11:$A$14,0), MATCH(Calculations!Q$1,'2018_commission_structure'!$A$11:$I$11,0)),0)</f>
        <v>0</v>
      </c>
      <c r="R572" s="7">
        <f>IF($H572&gt;K572,MIN($H572-K572,L572-K572)*INDEX('2018_commission_structure'!$A$11:$I$14,MATCH(Calculations!$E572,'2018_commission_structure'!$A$11:$A$14,0), MATCH(Calculations!R$1,'2018_commission_structure'!$A$11:$I$11,0)),0)</f>
        <v>0</v>
      </c>
      <c r="S572" s="7">
        <f>IF(H572&gt;L572,(H572-L572)*INDEX('2018_commission_structure'!$A$11:$I$14,MATCH(Calculations!$E572,'2018_commission_structure'!$A$11:$A$14,0),MATCH(Calculations!S$1,'2018_commission_structure'!$A$11:$I$11,0)),0)</f>
        <v>0</v>
      </c>
      <c r="T572" s="7">
        <f t="shared" si="77"/>
        <v>116032.48</v>
      </c>
      <c r="U572" s="7">
        <f t="shared" si="78"/>
        <v>209525.47999999998</v>
      </c>
      <c r="V572" s="7">
        <f>MIN(H572,I572)*INDEX('2018_commission_structure'!$A$5:$J$8,MATCH(Calculations!$E572,'2018_commission_structure'!$A$5:$A$8,0),MATCH(Calculations!V$1,'2018_commission_structure'!$A$5:$J$5,0))</f>
        <v>112500</v>
      </c>
      <c r="W572" s="2">
        <f>IF($H572&gt;I572,MIN($H572-I572,J572-I572)*INDEX('2018_commission_structure'!$A$5:$J$8,MATCH(Calculations!$E572,'2018_commission_structure'!$A$5:$A$8,0),MATCH(Calculations!W$1,'2018_commission_structure'!$A$5:$J$5,0)),0)</f>
        <v>4090.2400000000002</v>
      </c>
      <c r="X572" s="2">
        <f>IF($H572&gt;J572,MIN($H572-J572,K572-J572)*INDEX('2018_commission_structure'!$A$5:$J$8,MATCH(Calculations!$E572,'2018_commission_structure'!$A$5:$A$8,0),MATCH(Calculations!X$1,'2018_commission_structure'!$A$5:$J$5,0)),0)</f>
        <v>0</v>
      </c>
      <c r="Y572" s="2">
        <f>IF($H572&gt;K572,MIN($H572-K572,L572-K572)*INDEX('2018_commission_structure'!$A$5:$J$8,MATCH(Calculations!$E572,'2018_commission_structure'!$A$5:$A$8,0),MATCH(Calculations!Y$1,'2018_commission_structure'!$A$5:$J$5,0)),0)</f>
        <v>0</v>
      </c>
      <c r="Z572" s="2">
        <f xml:space="preserve"> IF(H572&gt;L572,(H572-L572)*INDEX('2018_commission_structure'!$A$11:$I$14,MATCH(Calculations!$E572,'2018_commission_structure'!$A$11:$A$14,0),MATCH(Calculations!Z$1,'2018_commission_structure'!$A$11:$I$11,0)),0)</f>
        <v>0</v>
      </c>
      <c r="AA572" s="7">
        <f t="shared" si="79"/>
        <v>116590.24</v>
      </c>
      <c r="AB572" s="7">
        <f t="shared" si="80"/>
        <v>210083.24</v>
      </c>
    </row>
    <row r="573" spans="1:28" x14ac:dyDescent="0.25">
      <c r="A573">
        <v>5948190226</v>
      </c>
      <c r="B573" t="s">
        <v>127</v>
      </c>
      <c r="C573" t="s">
        <v>128</v>
      </c>
      <c r="D573" t="str">
        <f>B573&amp;" "&amp;C573</f>
        <v>Joletta Lounds</v>
      </c>
      <c r="E573" t="s">
        <v>7</v>
      </c>
      <c r="F573">
        <v>41088</v>
      </c>
      <c r="G573">
        <f>COUNTIF(deals_closed!D:D,Calculations!A573)</f>
        <v>22</v>
      </c>
      <c r="H573" s="2">
        <f>SUMIF(deals_closed!D:D,Calculations!A573,deals_closed!C:C)</f>
        <v>699928</v>
      </c>
      <c r="I573" s="2">
        <f>VLOOKUP(E573,'2018_commission_structure'!$A$11:$I$14,9,FALSE)</f>
        <v>500000</v>
      </c>
      <c r="J573" s="2">
        <f t="shared" si="72"/>
        <v>625000</v>
      </c>
      <c r="K573" s="2">
        <f t="shared" si="73"/>
        <v>750000</v>
      </c>
      <c r="L573" s="2">
        <f t="shared" si="74"/>
        <v>1000000</v>
      </c>
      <c r="M573" s="6">
        <f t="shared" si="75"/>
        <v>1.399856</v>
      </c>
      <c r="N573" t="str">
        <f t="shared" si="76"/>
        <v>125-150%</v>
      </c>
      <c r="O573" s="7">
        <f>MIN(I573,H573)*INDEX('2018_commission_structure'!$A$11:$I$14,MATCH(Calculations!$E573,'2018_commission_structure'!$A$11:$A$14,0),MATCH(Calculations!O$1,'2018_commission_structure'!$A$11:$I$11,0))</f>
        <v>50000</v>
      </c>
      <c r="P573" s="7">
        <f>IF($H573&gt;I573,MIN($H573-I573,J573-I573)*INDEX('2018_commission_structure'!$A$11:$I$14,MATCH(Calculations!$E573,'2018_commission_structure'!$A$11:$A$14,0), MATCH(Calculations!P$1,'2018_commission_structure'!$A$11:$I$11,0)),0)</f>
        <v>18750</v>
      </c>
      <c r="Q573" s="7">
        <f>IF($H573&gt;J573,MIN($H573-J573,K573-J573)*INDEX('2018_commission_structure'!$A$11:$I$14,MATCH(Calculations!$E573,'2018_commission_structure'!$A$11:$A$14,0), MATCH(Calculations!Q$1,'2018_commission_structure'!$A$11:$I$11,0)),0)</f>
        <v>13487.039999999999</v>
      </c>
      <c r="R573" s="7">
        <f>IF($H573&gt;K573,MIN($H573-K573,L573-K573)*INDEX('2018_commission_structure'!$A$11:$I$14,MATCH(Calculations!$E573,'2018_commission_structure'!$A$11:$A$14,0), MATCH(Calculations!R$1,'2018_commission_structure'!$A$11:$I$11,0)),0)</f>
        <v>0</v>
      </c>
      <c r="S573" s="7">
        <f>IF(H573&gt;L573,(H573-L573)*INDEX('2018_commission_structure'!$A$11:$I$14,MATCH(Calculations!$E573,'2018_commission_structure'!$A$11:$A$14,0),MATCH(Calculations!S$1,'2018_commission_structure'!$A$11:$I$11,0)),0)</f>
        <v>0</v>
      </c>
      <c r="T573" s="7">
        <f t="shared" si="77"/>
        <v>82237.039999999994</v>
      </c>
      <c r="U573" s="7">
        <f t="shared" si="78"/>
        <v>123325.04</v>
      </c>
      <c r="V573" s="7">
        <f>MIN(H573,I573)*INDEX('2018_commission_structure'!$A$5:$J$8,MATCH(Calculations!$E573,'2018_commission_structure'!$A$5:$A$8,0),MATCH(Calculations!V$1,'2018_commission_structure'!$A$5:$J$5,0))</f>
        <v>60000</v>
      </c>
      <c r="W573" s="2">
        <f>IF($H573&gt;I573,MIN($H573-I573,J573-I573)*INDEX('2018_commission_structure'!$A$5:$J$8,MATCH(Calculations!$E573,'2018_commission_structure'!$A$5:$A$8,0),MATCH(Calculations!W$1,'2018_commission_structure'!$A$5:$J$5,0)),0)</f>
        <v>21250</v>
      </c>
      <c r="X573" s="2">
        <f>IF($H573&gt;J573,MIN($H573-J573,K573-J573)*INDEX('2018_commission_structure'!$A$5:$J$8,MATCH(Calculations!$E573,'2018_commission_structure'!$A$5:$A$8,0),MATCH(Calculations!X$1,'2018_commission_structure'!$A$5:$J$5,0)),0)</f>
        <v>14985.6</v>
      </c>
      <c r="Y573" s="2">
        <f>IF($H573&gt;K573,MIN($H573-K573,L573-K573)*INDEX('2018_commission_structure'!$A$5:$J$8,MATCH(Calculations!$E573,'2018_commission_structure'!$A$5:$A$8,0),MATCH(Calculations!Y$1,'2018_commission_structure'!$A$5:$J$5,0)),0)</f>
        <v>0</v>
      </c>
      <c r="Z573" s="2">
        <f xml:space="preserve"> IF(H573&gt;L573,(H573-L573)*INDEX('2018_commission_structure'!$A$11:$I$14,MATCH(Calculations!$E573,'2018_commission_structure'!$A$11:$A$14,0),MATCH(Calculations!Z$1,'2018_commission_structure'!$A$11:$I$11,0)),0)</f>
        <v>0</v>
      </c>
      <c r="AA573" s="7">
        <f t="shared" si="79"/>
        <v>96235.6</v>
      </c>
      <c r="AB573" s="7">
        <f t="shared" si="80"/>
        <v>137323.6</v>
      </c>
    </row>
    <row r="574" spans="1:28" x14ac:dyDescent="0.25">
      <c r="A574">
        <v>6842797632</v>
      </c>
      <c r="B574" t="s">
        <v>588</v>
      </c>
      <c r="C574" t="s">
        <v>589</v>
      </c>
      <c r="D574" t="str">
        <f>B574&amp;" "&amp;C574</f>
        <v>Jacky Lovat</v>
      </c>
      <c r="E574" t="s">
        <v>7</v>
      </c>
      <c r="F574">
        <v>56368</v>
      </c>
      <c r="G574">
        <f>COUNTIF(deals_closed!D:D,Calculations!A574)</f>
        <v>16</v>
      </c>
      <c r="H574" s="2">
        <f>SUMIF(deals_closed!D:D,Calculations!A574,deals_closed!C:C)</f>
        <v>516401</v>
      </c>
      <c r="I574" s="2">
        <f>VLOOKUP(E574,'2018_commission_structure'!$A$11:$I$14,9,FALSE)</f>
        <v>500000</v>
      </c>
      <c r="J574" s="2">
        <f t="shared" si="72"/>
        <v>625000</v>
      </c>
      <c r="K574" s="2">
        <f t="shared" si="73"/>
        <v>750000</v>
      </c>
      <c r="L574" s="2">
        <f t="shared" si="74"/>
        <v>1000000</v>
      </c>
      <c r="M574" s="6">
        <f t="shared" si="75"/>
        <v>1.032802</v>
      </c>
      <c r="N574" t="str">
        <f t="shared" si="76"/>
        <v>100-125%</v>
      </c>
      <c r="O574" s="7">
        <f>MIN(I574,H574)*INDEX('2018_commission_structure'!$A$11:$I$14,MATCH(Calculations!$E574,'2018_commission_structure'!$A$11:$A$14,0),MATCH(Calculations!O$1,'2018_commission_structure'!$A$11:$I$11,0))</f>
        <v>50000</v>
      </c>
      <c r="P574" s="7">
        <f>IF($H574&gt;I574,MIN($H574-I574,J574-I574)*INDEX('2018_commission_structure'!$A$11:$I$14,MATCH(Calculations!$E574,'2018_commission_structure'!$A$11:$A$14,0), MATCH(Calculations!P$1,'2018_commission_structure'!$A$11:$I$11,0)),0)</f>
        <v>2460.15</v>
      </c>
      <c r="Q574" s="7">
        <f>IF($H574&gt;J574,MIN($H574-J574,K574-J574)*INDEX('2018_commission_structure'!$A$11:$I$14,MATCH(Calculations!$E574,'2018_commission_structure'!$A$11:$A$14,0), MATCH(Calculations!Q$1,'2018_commission_structure'!$A$11:$I$11,0)),0)</f>
        <v>0</v>
      </c>
      <c r="R574" s="7">
        <f>IF($H574&gt;K574,MIN($H574-K574,L574-K574)*INDEX('2018_commission_structure'!$A$11:$I$14,MATCH(Calculations!$E574,'2018_commission_structure'!$A$11:$A$14,0), MATCH(Calculations!R$1,'2018_commission_structure'!$A$11:$I$11,0)),0)</f>
        <v>0</v>
      </c>
      <c r="S574" s="7">
        <f>IF(H574&gt;L574,(H574-L574)*INDEX('2018_commission_structure'!$A$11:$I$14,MATCH(Calculations!$E574,'2018_commission_structure'!$A$11:$A$14,0),MATCH(Calculations!S$1,'2018_commission_structure'!$A$11:$I$11,0)),0)</f>
        <v>0</v>
      </c>
      <c r="T574" s="7">
        <f t="shared" si="77"/>
        <v>52460.15</v>
      </c>
      <c r="U574" s="7">
        <f t="shared" si="78"/>
        <v>108828.15</v>
      </c>
      <c r="V574" s="7">
        <f>MIN(H574,I574)*INDEX('2018_commission_structure'!$A$5:$J$8,MATCH(Calculations!$E574,'2018_commission_structure'!$A$5:$A$8,0),MATCH(Calculations!V$1,'2018_commission_structure'!$A$5:$J$5,0))</f>
        <v>60000</v>
      </c>
      <c r="W574" s="2">
        <f>IF($H574&gt;I574,MIN($H574-I574,J574-I574)*INDEX('2018_commission_structure'!$A$5:$J$8,MATCH(Calculations!$E574,'2018_commission_structure'!$A$5:$A$8,0),MATCH(Calculations!W$1,'2018_commission_structure'!$A$5:$J$5,0)),0)</f>
        <v>2788.17</v>
      </c>
      <c r="X574" s="2">
        <f>IF($H574&gt;J574,MIN($H574-J574,K574-J574)*INDEX('2018_commission_structure'!$A$5:$J$8,MATCH(Calculations!$E574,'2018_commission_structure'!$A$5:$A$8,0),MATCH(Calculations!X$1,'2018_commission_structure'!$A$5:$J$5,0)),0)</f>
        <v>0</v>
      </c>
      <c r="Y574" s="2">
        <f>IF($H574&gt;K574,MIN($H574-K574,L574-K574)*INDEX('2018_commission_structure'!$A$5:$J$8,MATCH(Calculations!$E574,'2018_commission_structure'!$A$5:$A$8,0),MATCH(Calculations!Y$1,'2018_commission_structure'!$A$5:$J$5,0)),0)</f>
        <v>0</v>
      </c>
      <c r="Z574" s="2">
        <f xml:space="preserve"> IF(H574&gt;L574,(H574-L574)*INDEX('2018_commission_structure'!$A$11:$I$14,MATCH(Calculations!$E574,'2018_commission_structure'!$A$11:$A$14,0),MATCH(Calculations!Z$1,'2018_commission_structure'!$A$11:$I$11,0)),0)</f>
        <v>0</v>
      </c>
      <c r="AA574" s="7">
        <f t="shared" si="79"/>
        <v>62788.17</v>
      </c>
      <c r="AB574" s="7">
        <f t="shared" si="80"/>
        <v>119156.17</v>
      </c>
    </row>
    <row r="575" spans="1:28" x14ac:dyDescent="0.25">
      <c r="A575">
        <v>1545110042</v>
      </c>
      <c r="B575" t="s">
        <v>1033</v>
      </c>
      <c r="C575" t="s">
        <v>1034</v>
      </c>
      <c r="D575" t="str">
        <f>B575&amp;" "&amp;C575</f>
        <v>Cairistiona Lyver</v>
      </c>
      <c r="E575" t="s">
        <v>29</v>
      </c>
      <c r="F575">
        <v>79134</v>
      </c>
      <c r="G575">
        <f>COUNTIF(deals_closed!D:D,Calculations!A575)</f>
        <v>20</v>
      </c>
      <c r="H575" s="2">
        <f>SUMIF(deals_closed!D:D,Calculations!A575,deals_closed!C:C)</f>
        <v>755828</v>
      </c>
      <c r="I575" s="2">
        <f>VLOOKUP(E575,'2018_commission_structure'!$A$11:$I$14,9,FALSE)</f>
        <v>600000</v>
      </c>
      <c r="J575" s="2">
        <f t="shared" si="72"/>
        <v>750000</v>
      </c>
      <c r="K575" s="2">
        <f t="shared" si="73"/>
        <v>900000</v>
      </c>
      <c r="L575" s="2">
        <f t="shared" si="74"/>
        <v>1200000</v>
      </c>
      <c r="M575" s="6">
        <f t="shared" si="75"/>
        <v>1.2597133333333332</v>
      </c>
      <c r="N575" t="str">
        <f t="shared" si="76"/>
        <v>125-150%</v>
      </c>
      <c r="O575" s="7">
        <f>MIN(I575,H575)*INDEX('2018_commission_structure'!$A$11:$I$14,MATCH(Calculations!$E575,'2018_commission_structure'!$A$11:$A$14,0),MATCH(Calculations!O$1,'2018_commission_structure'!$A$11:$I$11,0))</f>
        <v>78000</v>
      </c>
      <c r="P575" s="7">
        <f>IF($H575&gt;I575,MIN($H575-I575,J575-I575)*INDEX('2018_commission_structure'!$A$11:$I$14,MATCH(Calculations!$E575,'2018_commission_structure'!$A$11:$A$14,0), MATCH(Calculations!P$1,'2018_commission_structure'!$A$11:$I$11,0)),0)</f>
        <v>25500.000000000004</v>
      </c>
      <c r="Q575" s="7">
        <f>IF($H575&gt;J575,MIN($H575-J575,K575-J575)*INDEX('2018_commission_structure'!$A$11:$I$14,MATCH(Calculations!$E575,'2018_commission_structure'!$A$11:$A$14,0), MATCH(Calculations!Q$1,'2018_commission_structure'!$A$11:$I$11,0)),0)</f>
        <v>1223.8799999999999</v>
      </c>
      <c r="R575" s="7">
        <f>IF($H575&gt;K575,MIN($H575-K575,L575-K575)*INDEX('2018_commission_structure'!$A$11:$I$14,MATCH(Calculations!$E575,'2018_commission_structure'!$A$11:$A$14,0), MATCH(Calculations!R$1,'2018_commission_structure'!$A$11:$I$11,0)),0)</f>
        <v>0</v>
      </c>
      <c r="S575" s="7">
        <f>IF(H575&gt;L575,(H575-L575)*INDEX('2018_commission_structure'!$A$11:$I$14,MATCH(Calculations!$E575,'2018_commission_structure'!$A$11:$A$14,0),MATCH(Calculations!S$1,'2018_commission_structure'!$A$11:$I$11,0)),0)</f>
        <v>0</v>
      </c>
      <c r="T575" s="7">
        <f t="shared" si="77"/>
        <v>104723.88</v>
      </c>
      <c r="U575" s="7">
        <f t="shared" si="78"/>
        <v>183857.88</v>
      </c>
      <c r="V575" s="7">
        <f>MIN(H575,I575)*INDEX('2018_commission_structure'!$A$5:$J$8,MATCH(Calculations!$E575,'2018_commission_structure'!$A$5:$A$8,0),MATCH(Calculations!V$1,'2018_commission_structure'!$A$5:$J$5,0))</f>
        <v>90000</v>
      </c>
      <c r="W575" s="2">
        <f>IF($H575&gt;I575,MIN($H575-I575,J575-I575)*INDEX('2018_commission_structure'!$A$5:$J$8,MATCH(Calculations!$E575,'2018_commission_structure'!$A$5:$A$8,0),MATCH(Calculations!W$1,'2018_commission_structure'!$A$5:$J$5,0)),0)</f>
        <v>27000</v>
      </c>
      <c r="X575" s="2">
        <f>IF($H575&gt;J575,MIN($H575-J575,K575-J575)*INDEX('2018_commission_structure'!$A$5:$J$8,MATCH(Calculations!$E575,'2018_commission_structure'!$A$5:$A$8,0),MATCH(Calculations!X$1,'2018_commission_structure'!$A$5:$J$5,0)),0)</f>
        <v>1457</v>
      </c>
      <c r="Y575" s="2">
        <f>IF($H575&gt;K575,MIN($H575-K575,L575-K575)*INDEX('2018_commission_structure'!$A$5:$J$8,MATCH(Calculations!$E575,'2018_commission_structure'!$A$5:$A$8,0),MATCH(Calculations!Y$1,'2018_commission_structure'!$A$5:$J$5,0)),0)</f>
        <v>0</v>
      </c>
      <c r="Z575" s="2">
        <f xml:space="preserve"> IF(H575&gt;L575,(H575-L575)*INDEX('2018_commission_structure'!$A$11:$I$14,MATCH(Calculations!$E575,'2018_commission_structure'!$A$11:$A$14,0),MATCH(Calculations!Z$1,'2018_commission_structure'!$A$11:$I$11,0)),0)</f>
        <v>0</v>
      </c>
      <c r="AA575" s="7">
        <f t="shared" si="79"/>
        <v>118457</v>
      </c>
      <c r="AB575" s="7">
        <f t="shared" si="80"/>
        <v>197591</v>
      </c>
    </row>
    <row r="576" spans="1:28" x14ac:dyDescent="0.25">
      <c r="A576">
        <v>357531329</v>
      </c>
      <c r="B576" t="s">
        <v>387</v>
      </c>
      <c r="C576" t="s">
        <v>388</v>
      </c>
      <c r="D576" t="str">
        <f>B576&amp;" "&amp;C576</f>
        <v>Leyla MacAree</v>
      </c>
      <c r="E576" t="s">
        <v>7</v>
      </c>
      <c r="F576">
        <v>45512</v>
      </c>
      <c r="G576">
        <f>COUNTIF(deals_closed!D:D,Calculations!A576)</f>
        <v>21</v>
      </c>
      <c r="H576" s="2">
        <f>SUMIF(deals_closed!D:D,Calculations!A576,deals_closed!C:C)</f>
        <v>750884</v>
      </c>
      <c r="I576" s="2">
        <f>VLOOKUP(E576,'2018_commission_structure'!$A$11:$I$14,9,FALSE)</f>
        <v>500000</v>
      </c>
      <c r="J576" s="2">
        <f t="shared" si="72"/>
        <v>625000</v>
      </c>
      <c r="K576" s="2">
        <f t="shared" si="73"/>
        <v>750000</v>
      </c>
      <c r="L576" s="2">
        <f t="shared" si="74"/>
        <v>1000000</v>
      </c>
      <c r="M576" s="6">
        <f t="shared" si="75"/>
        <v>1.501768</v>
      </c>
      <c r="N576" t="str">
        <f t="shared" si="76"/>
        <v>150-200%</v>
      </c>
      <c r="O576" s="7">
        <f>MIN(I576,H576)*INDEX('2018_commission_structure'!$A$11:$I$14,MATCH(Calculations!$E576,'2018_commission_structure'!$A$11:$A$14,0),MATCH(Calculations!O$1,'2018_commission_structure'!$A$11:$I$11,0))</f>
        <v>50000</v>
      </c>
      <c r="P576" s="7">
        <f>IF($H576&gt;I576,MIN($H576-I576,J576-I576)*INDEX('2018_commission_structure'!$A$11:$I$14,MATCH(Calculations!$E576,'2018_commission_structure'!$A$11:$A$14,0), MATCH(Calculations!P$1,'2018_commission_structure'!$A$11:$I$11,0)),0)</f>
        <v>18750</v>
      </c>
      <c r="Q576" s="7">
        <f>IF($H576&gt;J576,MIN($H576-J576,K576-J576)*INDEX('2018_commission_structure'!$A$11:$I$14,MATCH(Calculations!$E576,'2018_commission_structure'!$A$11:$A$14,0), MATCH(Calculations!Q$1,'2018_commission_structure'!$A$11:$I$11,0)),0)</f>
        <v>22500</v>
      </c>
      <c r="R576" s="7">
        <f>IF($H576&gt;K576,MIN($H576-K576,L576-K576)*INDEX('2018_commission_structure'!$A$11:$I$14,MATCH(Calculations!$E576,'2018_commission_structure'!$A$11:$A$14,0), MATCH(Calculations!R$1,'2018_commission_structure'!$A$11:$I$11,0)),0)</f>
        <v>194.48</v>
      </c>
      <c r="S576" s="7">
        <f>IF(H576&gt;L576,(H576-L576)*INDEX('2018_commission_structure'!$A$11:$I$14,MATCH(Calculations!$E576,'2018_commission_structure'!$A$11:$A$14,0),MATCH(Calculations!S$1,'2018_commission_structure'!$A$11:$I$11,0)),0)</f>
        <v>0</v>
      </c>
      <c r="T576" s="7">
        <f t="shared" si="77"/>
        <v>91444.479999999996</v>
      </c>
      <c r="U576" s="7">
        <f t="shared" si="78"/>
        <v>136956.47999999998</v>
      </c>
      <c r="V576" s="7">
        <f>MIN(H576,I576)*INDEX('2018_commission_structure'!$A$5:$J$8,MATCH(Calculations!$E576,'2018_commission_structure'!$A$5:$A$8,0),MATCH(Calculations!V$1,'2018_commission_structure'!$A$5:$J$5,0))</f>
        <v>60000</v>
      </c>
      <c r="W576" s="2">
        <f>IF($H576&gt;I576,MIN($H576-I576,J576-I576)*INDEX('2018_commission_structure'!$A$5:$J$8,MATCH(Calculations!$E576,'2018_commission_structure'!$A$5:$A$8,0),MATCH(Calculations!W$1,'2018_commission_structure'!$A$5:$J$5,0)),0)</f>
        <v>21250</v>
      </c>
      <c r="X576" s="2">
        <f>IF($H576&gt;J576,MIN($H576-J576,K576-J576)*INDEX('2018_commission_structure'!$A$5:$J$8,MATCH(Calculations!$E576,'2018_commission_structure'!$A$5:$A$8,0),MATCH(Calculations!X$1,'2018_commission_structure'!$A$5:$J$5,0)),0)</f>
        <v>25000</v>
      </c>
      <c r="Y576" s="2">
        <f>IF($H576&gt;K576,MIN($H576-K576,L576-K576)*INDEX('2018_commission_structure'!$A$5:$J$8,MATCH(Calculations!$E576,'2018_commission_structure'!$A$5:$A$8,0),MATCH(Calculations!Y$1,'2018_commission_structure'!$A$5:$J$5,0)),0)</f>
        <v>194.48</v>
      </c>
      <c r="Z576" s="2">
        <f xml:space="preserve"> IF(H576&gt;L576,(H576-L576)*INDEX('2018_commission_structure'!$A$11:$I$14,MATCH(Calculations!$E576,'2018_commission_structure'!$A$11:$A$14,0),MATCH(Calculations!Z$1,'2018_commission_structure'!$A$11:$I$11,0)),0)</f>
        <v>0</v>
      </c>
      <c r="AA576" s="7">
        <f t="shared" si="79"/>
        <v>106444.48</v>
      </c>
      <c r="AB576" s="7">
        <f t="shared" si="80"/>
        <v>151956.47999999998</v>
      </c>
    </row>
    <row r="577" spans="1:28" x14ac:dyDescent="0.25">
      <c r="A577">
        <v>8501525324</v>
      </c>
      <c r="B577" t="s">
        <v>523</v>
      </c>
      <c r="C577" t="s">
        <v>1734</v>
      </c>
      <c r="D577" t="str">
        <f>B577&amp;" "&amp;C577</f>
        <v>Kean MacCrann</v>
      </c>
      <c r="E577" t="s">
        <v>10</v>
      </c>
      <c r="F577">
        <v>92754</v>
      </c>
      <c r="G577">
        <f>COUNTIF(deals_closed!D:D,Calculations!A577)</f>
        <v>26</v>
      </c>
      <c r="H577" s="2">
        <f>SUMIF(deals_closed!D:D,Calculations!A577,deals_closed!C:C)</f>
        <v>916479</v>
      </c>
      <c r="I577" s="2">
        <f>VLOOKUP(E577,'2018_commission_structure'!$A$11:$I$14,9,FALSE)</f>
        <v>750000</v>
      </c>
      <c r="J577" s="2">
        <f t="shared" si="72"/>
        <v>937500</v>
      </c>
      <c r="K577" s="2">
        <f t="shared" si="73"/>
        <v>1125000</v>
      </c>
      <c r="L577" s="2">
        <f t="shared" si="74"/>
        <v>1500000</v>
      </c>
      <c r="M577" s="6">
        <f t="shared" si="75"/>
        <v>1.2219720000000001</v>
      </c>
      <c r="N577" t="str">
        <f t="shared" si="76"/>
        <v>100-125%</v>
      </c>
      <c r="O577" s="7">
        <f>MIN(I577,H577)*INDEX('2018_commission_structure'!$A$11:$I$14,MATCH(Calculations!$E577,'2018_commission_structure'!$A$11:$A$14,0),MATCH(Calculations!O$1,'2018_commission_structure'!$A$11:$I$11,0))</f>
        <v>112500</v>
      </c>
      <c r="P577" s="7">
        <f>IF($H577&gt;I577,MIN($H577-I577,J577-I577)*INDEX('2018_commission_structure'!$A$11:$I$14,MATCH(Calculations!$E577,'2018_commission_structure'!$A$11:$A$14,0), MATCH(Calculations!P$1,'2018_commission_structure'!$A$11:$I$11,0)),0)</f>
        <v>31631.010000000002</v>
      </c>
      <c r="Q577" s="7">
        <f>IF($H577&gt;J577,MIN($H577-J577,K577-J577)*INDEX('2018_commission_structure'!$A$11:$I$14,MATCH(Calculations!$E577,'2018_commission_structure'!$A$11:$A$14,0), MATCH(Calculations!Q$1,'2018_commission_structure'!$A$11:$I$11,0)),0)</f>
        <v>0</v>
      </c>
      <c r="R577" s="7">
        <f>IF($H577&gt;K577,MIN($H577-K577,L577-K577)*INDEX('2018_commission_structure'!$A$11:$I$14,MATCH(Calculations!$E577,'2018_commission_structure'!$A$11:$A$14,0), MATCH(Calculations!R$1,'2018_commission_structure'!$A$11:$I$11,0)),0)</f>
        <v>0</v>
      </c>
      <c r="S577" s="7">
        <f>IF(H577&gt;L577,(H577-L577)*INDEX('2018_commission_structure'!$A$11:$I$14,MATCH(Calculations!$E577,'2018_commission_structure'!$A$11:$A$14,0),MATCH(Calculations!S$1,'2018_commission_structure'!$A$11:$I$11,0)),0)</f>
        <v>0</v>
      </c>
      <c r="T577" s="7">
        <f t="shared" si="77"/>
        <v>144131.01</v>
      </c>
      <c r="U577" s="7">
        <f t="shared" si="78"/>
        <v>236885.01</v>
      </c>
      <c r="V577" s="7">
        <f>MIN(H577,I577)*INDEX('2018_commission_structure'!$A$5:$J$8,MATCH(Calculations!$E577,'2018_commission_structure'!$A$5:$A$8,0),MATCH(Calculations!V$1,'2018_commission_structure'!$A$5:$J$5,0))</f>
        <v>112500</v>
      </c>
      <c r="W577" s="2">
        <f>IF($H577&gt;I577,MIN($H577-I577,J577-I577)*INDEX('2018_commission_structure'!$A$5:$J$8,MATCH(Calculations!$E577,'2018_commission_structure'!$A$5:$A$8,0),MATCH(Calculations!W$1,'2018_commission_structure'!$A$5:$J$5,0)),0)</f>
        <v>36625.379999999997</v>
      </c>
      <c r="X577" s="2">
        <f>IF($H577&gt;J577,MIN($H577-J577,K577-J577)*INDEX('2018_commission_structure'!$A$5:$J$8,MATCH(Calculations!$E577,'2018_commission_structure'!$A$5:$A$8,0),MATCH(Calculations!X$1,'2018_commission_structure'!$A$5:$J$5,0)),0)</f>
        <v>0</v>
      </c>
      <c r="Y577" s="2">
        <f>IF($H577&gt;K577,MIN($H577-K577,L577-K577)*INDEX('2018_commission_structure'!$A$5:$J$8,MATCH(Calculations!$E577,'2018_commission_structure'!$A$5:$A$8,0),MATCH(Calculations!Y$1,'2018_commission_structure'!$A$5:$J$5,0)),0)</f>
        <v>0</v>
      </c>
      <c r="Z577" s="2">
        <f xml:space="preserve"> IF(H577&gt;L577,(H577-L577)*INDEX('2018_commission_structure'!$A$11:$I$14,MATCH(Calculations!$E577,'2018_commission_structure'!$A$11:$A$14,0),MATCH(Calculations!Z$1,'2018_commission_structure'!$A$11:$I$11,0)),0)</f>
        <v>0</v>
      </c>
      <c r="AA577" s="7">
        <f t="shared" si="79"/>
        <v>149125.38</v>
      </c>
      <c r="AB577" s="7">
        <f t="shared" si="80"/>
        <v>241879.38</v>
      </c>
    </row>
    <row r="578" spans="1:28" x14ac:dyDescent="0.25">
      <c r="A578">
        <v>7054972058</v>
      </c>
      <c r="B578" t="s">
        <v>689</v>
      </c>
      <c r="C578" t="s">
        <v>690</v>
      </c>
      <c r="D578" t="str">
        <f>B578&amp;" "&amp;C578</f>
        <v>Boycey MacDermott</v>
      </c>
      <c r="E578" t="s">
        <v>29</v>
      </c>
      <c r="F578">
        <v>75430</v>
      </c>
      <c r="G578">
        <f>COUNTIF(deals_closed!D:D,Calculations!A578)</f>
        <v>16</v>
      </c>
      <c r="H578" s="2">
        <f>SUMIF(deals_closed!D:D,Calculations!A578,deals_closed!C:C)</f>
        <v>457979</v>
      </c>
      <c r="I578" s="2">
        <f>VLOOKUP(E578,'2018_commission_structure'!$A$11:$I$14,9,FALSE)</f>
        <v>600000</v>
      </c>
      <c r="J578" s="2">
        <f t="shared" ref="J578:J641" si="81">I578*1.25</f>
        <v>750000</v>
      </c>
      <c r="K578" s="2">
        <f t="shared" ref="K578:K641" si="82">I578*1.5</f>
        <v>900000</v>
      </c>
      <c r="L578" s="2">
        <f t="shared" ref="L578:L641" si="83">I578*2</f>
        <v>1200000</v>
      </c>
      <c r="M578" s="6">
        <f t="shared" ref="M578:M641" si="84">H578/I578</f>
        <v>0.7632983333333333</v>
      </c>
      <c r="N578" t="str">
        <f t="shared" ref="N578:N641" si="85">IF(M578&lt;=1, "0-100%", IF(M578&lt;=1.25, "100-125%", IF(M578&lt;=1.5, "125-150%", IF(M578&lt;=2, "150-200%", "&gt;200%"))))</f>
        <v>0-100%</v>
      </c>
      <c r="O578" s="7">
        <f>MIN(I578,H578)*INDEX('2018_commission_structure'!$A$11:$I$14,MATCH(Calculations!$E578,'2018_commission_structure'!$A$11:$A$14,0),MATCH(Calculations!O$1,'2018_commission_structure'!$A$11:$I$11,0))</f>
        <v>59537.270000000004</v>
      </c>
      <c r="P578" s="7">
        <f>IF($H578&gt;I578,MIN($H578-I578,J578-I578)*INDEX('2018_commission_structure'!$A$11:$I$14,MATCH(Calculations!$E578,'2018_commission_structure'!$A$11:$A$14,0), MATCH(Calculations!P$1,'2018_commission_structure'!$A$11:$I$11,0)),0)</f>
        <v>0</v>
      </c>
      <c r="Q578" s="7">
        <f>IF($H578&gt;J578,MIN($H578-J578,K578-J578)*INDEX('2018_commission_structure'!$A$11:$I$14,MATCH(Calculations!$E578,'2018_commission_structure'!$A$11:$A$14,0), MATCH(Calculations!Q$1,'2018_commission_structure'!$A$11:$I$11,0)),0)</f>
        <v>0</v>
      </c>
      <c r="R578" s="7">
        <f>IF($H578&gt;K578,MIN($H578-K578,L578-K578)*INDEX('2018_commission_structure'!$A$11:$I$14,MATCH(Calculations!$E578,'2018_commission_structure'!$A$11:$A$14,0), MATCH(Calculations!R$1,'2018_commission_structure'!$A$11:$I$11,0)),0)</f>
        <v>0</v>
      </c>
      <c r="S578" s="7">
        <f>IF(H578&gt;L578,(H578-L578)*INDEX('2018_commission_structure'!$A$11:$I$14,MATCH(Calculations!$E578,'2018_commission_structure'!$A$11:$A$14,0),MATCH(Calculations!S$1,'2018_commission_structure'!$A$11:$I$11,0)),0)</f>
        <v>0</v>
      </c>
      <c r="T578" s="7">
        <f t="shared" ref="T578:T641" si="86">SUM(O578:S578)</f>
        <v>59537.270000000004</v>
      </c>
      <c r="U578" s="7">
        <f t="shared" ref="U578:U641" si="87">T578+F578</f>
        <v>134967.27000000002</v>
      </c>
      <c r="V578" s="7">
        <f>MIN(H578,I578)*INDEX('2018_commission_structure'!$A$5:$J$8,MATCH(Calculations!$E578,'2018_commission_structure'!$A$5:$A$8,0),MATCH(Calculations!V$1,'2018_commission_structure'!$A$5:$J$5,0))</f>
        <v>68696.849999999991</v>
      </c>
      <c r="W578" s="2">
        <f>IF($H578&gt;I578,MIN($H578-I578,J578-I578)*INDEX('2018_commission_structure'!$A$5:$J$8,MATCH(Calculations!$E578,'2018_commission_structure'!$A$5:$A$8,0),MATCH(Calculations!W$1,'2018_commission_structure'!$A$5:$J$5,0)),0)</f>
        <v>0</v>
      </c>
      <c r="X578" s="2">
        <f>IF($H578&gt;J578,MIN($H578-J578,K578-J578)*INDEX('2018_commission_structure'!$A$5:$J$8,MATCH(Calculations!$E578,'2018_commission_structure'!$A$5:$A$8,0),MATCH(Calculations!X$1,'2018_commission_structure'!$A$5:$J$5,0)),0)</f>
        <v>0</v>
      </c>
      <c r="Y578" s="2">
        <f>IF($H578&gt;K578,MIN($H578-K578,L578-K578)*INDEX('2018_commission_structure'!$A$5:$J$8,MATCH(Calculations!$E578,'2018_commission_structure'!$A$5:$A$8,0),MATCH(Calculations!Y$1,'2018_commission_structure'!$A$5:$J$5,0)),0)</f>
        <v>0</v>
      </c>
      <c r="Z578" s="2">
        <f xml:space="preserve"> IF(H578&gt;L578,(H578-L578)*INDEX('2018_commission_structure'!$A$11:$I$14,MATCH(Calculations!$E578,'2018_commission_structure'!$A$11:$A$14,0),MATCH(Calculations!Z$1,'2018_commission_structure'!$A$11:$I$11,0)),0)</f>
        <v>0</v>
      </c>
      <c r="AA578" s="7">
        <f t="shared" si="79"/>
        <v>68696.849999999991</v>
      </c>
      <c r="AB578" s="7">
        <f t="shared" si="80"/>
        <v>144126.84999999998</v>
      </c>
    </row>
    <row r="579" spans="1:28" x14ac:dyDescent="0.25">
      <c r="A579">
        <v>5837501576</v>
      </c>
      <c r="B579" t="s">
        <v>286</v>
      </c>
      <c r="C579" t="s">
        <v>287</v>
      </c>
      <c r="D579" t="str">
        <f>B579&amp;" "&amp;C579</f>
        <v>Camila MacGillespie</v>
      </c>
      <c r="E579" t="s">
        <v>7</v>
      </c>
      <c r="F579">
        <v>52489</v>
      </c>
      <c r="G579">
        <f>COUNTIF(deals_closed!D:D,Calculations!A579)</f>
        <v>29</v>
      </c>
      <c r="H579" s="2">
        <f>SUMIF(deals_closed!D:D,Calculations!A579,deals_closed!C:C)</f>
        <v>974290</v>
      </c>
      <c r="I579" s="2">
        <f>VLOOKUP(E579,'2018_commission_structure'!$A$11:$I$14,9,FALSE)</f>
        <v>500000</v>
      </c>
      <c r="J579" s="2">
        <f t="shared" si="81"/>
        <v>625000</v>
      </c>
      <c r="K579" s="2">
        <f t="shared" si="82"/>
        <v>750000</v>
      </c>
      <c r="L579" s="2">
        <f t="shared" si="83"/>
        <v>1000000</v>
      </c>
      <c r="M579" s="6">
        <f t="shared" si="84"/>
        <v>1.94858</v>
      </c>
      <c r="N579" t="str">
        <f t="shared" si="85"/>
        <v>150-200%</v>
      </c>
      <c r="O579" s="7">
        <f>MIN(I579,H579)*INDEX('2018_commission_structure'!$A$11:$I$14,MATCH(Calculations!$E579,'2018_commission_structure'!$A$11:$A$14,0),MATCH(Calculations!O$1,'2018_commission_structure'!$A$11:$I$11,0))</f>
        <v>50000</v>
      </c>
      <c r="P579" s="7">
        <f>IF($H579&gt;I579,MIN($H579-I579,J579-I579)*INDEX('2018_commission_structure'!$A$11:$I$14,MATCH(Calculations!$E579,'2018_commission_structure'!$A$11:$A$14,0), MATCH(Calculations!P$1,'2018_commission_structure'!$A$11:$I$11,0)),0)</f>
        <v>18750</v>
      </c>
      <c r="Q579" s="7">
        <f>IF($H579&gt;J579,MIN($H579-J579,K579-J579)*INDEX('2018_commission_structure'!$A$11:$I$14,MATCH(Calculations!$E579,'2018_commission_structure'!$A$11:$A$14,0), MATCH(Calculations!Q$1,'2018_commission_structure'!$A$11:$I$11,0)),0)</f>
        <v>22500</v>
      </c>
      <c r="R579" s="7">
        <f>IF($H579&gt;K579,MIN($H579-K579,L579-K579)*INDEX('2018_commission_structure'!$A$11:$I$14,MATCH(Calculations!$E579,'2018_commission_structure'!$A$11:$A$14,0), MATCH(Calculations!R$1,'2018_commission_structure'!$A$11:$I$11,0)),0)</f>
        <v>49343.8</v>
      </c>
      <c r="S579" s="7">
        <f>IF(H579&gt;L579,(H579-L579)*INDEX('2018_commission_structure'!$A$11:$I$14,MATCH(Calculations!$E579,'2018_commission_structure'!$A$11:$A$14,0),MATCH(Calculations!S$1,'2018_commission_structure'!$A$11:$I$11,0)),0)</f>
        <v>0</v>
      </c>
      <c r="T579" s="7">
        <f t="shared" si="86"/>
        <v>140593.79999999999</v>
      </c>
      <c r="U579" s="7">
        <f t="shared" si="87"/>
        <v>193082.8</v>
      </c>
      <c r="V579" s="7">
        <f>MIN(H579,I579)*INDEX('2018_commission_structure'!$A$5:$J$8,MATCH(Calculations!$E579,'2018_commission_structure'!$A$5:$A$8,0),MATCH(Calculations!V$1,'2018_commission_structure'!$A$5:$J$5,0))</f>
        <v>60000</v>
      </c>
      <c r="W579" s="2">
        <f>IF($H579&gt;I579,MIN($H579-I579,J579-I579)*INDEX('2018_commission_structure'!$A$5:$J$8,MATCH(Calculations!$E579,'2018_commission_structure'!$A$5:$A$8,0),MATCH(Calculations!W$1,'2018_commission_structure'!$A$5:$J$5,0)),0)</f>
        <v>21250</v>
      </c>
      <c r="X579" s="2">
        <f>IF($H579&gt;J579,MIN($H579-J579,K579-J579)*INDEX('2018_commission_structure'!$A$5:$J$8,MATCH(Calculations!$E579,'2018_commission_structure'!$A$5:$A$8,0),MATCH(Calculations!X$1,'2018_commission_structure'!$A$5:$J$5,0)),0)</f>
        <v>25000</v>
      </c>
      <c r="Y579" s="2">
        <f>IF($H579&gt;K579,MIN($H579-K579,L579-K579)*INDEX('2018_commission_structure'!$A$5:$J$8,MATCH(Calculations!$E579,'2018_commission_structure'!$A$5:$A$8,0),MATCH(Calculations!Y$1,'2018_commission_structure'!$A$5:$J$5,0)),0)</f>
        <v>49343.8</v>
      </c>
      <c r="Z579" s="2">
        <f xml:space="preserve"> IF(H579&gt;L579,(H579-L579)*INDEX('2018_commission_structure'!$A$11:$I$14,MATCH(Calculations!$E579,'2018_commission_structure'!$A$11:$A$14,0),MATCH(Calculations!Z$1,'2018_commission_structure'!$A$11:$I$11,0)),0)</f>
        <v>0</v>
      </c>
      <c r="AA579" s="7">
        <f t="shared" ref="AA579:AA642" si="88">SUM(V579:Z579)</f>
        <v>155593.79999999999</v>
      </c>
      <c r="AB579" s="7">
        <f t="shared" ref="AB579:AB642" si="89">AA579+F579</f>
        <v>208082.8</v>
      </c>
    </row>
    <row r="580" spans="1:28" x14ac:dyDescent="0.25">
      <c r="A580">
        <v>3227873028</v>
      </c>
      <c r="B580" t="s">
        <v>1409</v>
      </c>
      <c r="C580" t="s">
        <v>1410</v>
      </c>
      <c r="D580" t="str">
        <f>B580&amp;" "&amp;C580</f>
        <v>Sophie MacLoughlin</v>
      </c>
      <c r="E580" t="s">
        <v>29</v>
      </c>
      <c r="F580">
        <v>66623</v>
      </c>
      <c r="G580">
        <f>COUNTIF(deals_closed!D:D,Calculations!A580)</f>
        <v>24</v>
      </c>
      <c r="H580" s="2">
        <f>SUMIF(deals_closed!D:D,Calculations!A580,deals_closed!C:C)</f>
        <v>833601</v>
      </c>
      <c r="I580" s="2">
        <f>VLOOKUP(E580,'2018_commission_structure'!$A$11:$I$14,9,FALSE)</f>
        <v>600000</v>
      </c>
      <c r="J580" s="2">
        <f t="shared" si="81"/>
        <v>750000</v>
      </c>
      <c r="K580" s="2">
        <f t="shared" si="82"/>
        <v>900000</v>
      </c>
      <c r="L580" s="2">
        <f t="shared" si="83"/>
        <v>1200000</v>
      </c>
      <c r="M580" s="6">
        <f t="shared" si="84"/>
        <v>1.389335</v>
      </c>
      <c r="N580" t="str">
        <f t="shared" si="85"/>
        <v>125-150%</v>
      </c>
      <c r="O580" s="7">
        <f>MIN(I580,H580)*INDEX('2018_commission_structure'!$A$11:$I$14,MATCH(Calculations!$E580,'2018_commission_structure'!$A$11:$A$14,0),MATCH(Calculations!O$1,'2018_commission_structure'!$A$11:$I$11,0))</f>
        <v>78000</v>
      </c>
      <c r="P580" s="7">
        <f>IF($H580&gt;I580,MIN($H580-I580,J580-I580)*INDEX('2018_commission_structure'!$A$11:$I$14,MATCH(Calculations!$E580,'2018_commission_structure'!$A$11:$A$14,0), MATCH(Calculations!P$1,'2018_commission_structure'!$A$11:$I$11,0)),0)</f>
        <v>25500.000000000004</v>
      </c>
      <c r="Q580" s="7">
        <f>IF($H580&gt;J580,MIN($H580-J580,K580-J580)*INDEX('2018_commission_structure'!$A$11:$I$14,MATCH(Calculations!$E580,'2018_commission_structure'!$A$11:$A$14,0), MATCH(Calculations!Q$1,'2018_commission_structure'!$A$11:$I$11,0)),0)</f>
        <v>17556.21</v>
      </c>
      <c r="R580" s="7">
        <f>IF($H580&gt;K580,MIN($H580-K580,L580-K580)*INDEX('2018_commission_structure'!$A$11:$I$14,MATCH(Calculations!$E580,'2018_commission_structure'!$A$11:$A$14,0), MATCH(Calculations!R$1,'2018_commission_structure'!$A$11:$I$11,0)),0)</f>
        <v>0</v>
      </c>
      <c r="S580" s="7">
        <f>IF(H580&gt;L580,(H580-L580)*INDEX('2018_commission_structure'!$A$11:$I$14,MATCH(Calculations!$E580,'2018_commission_structure'!$A$11:$A$14,0),MATCH(Calculations!S$1,'2018_commission_structure'!$A$11:$I$11,0)),0)</f>
        <v>0</v>
      </c>
      <c r="T580" s="7">
        <f t="shared" si="86"/>
        <v>121056.20999999999</v>
      </c>
      <c r="U580" s="7">
        <f t="shared" si="87"/>
        <v>187679.21</v>
      </c>
      <c r="V580" s="7">
        <f>MIN(H580,I580)*INDEX('2018_commission_structure'!$A$5:$J$8,MATCH(Calculations!$E580,'2018_commission_structure'!$A$5:$A$8,0),MATCH(Calculations!V$1,'2018_commission_structure'!$A$5:$J$5,0))</f>
        <v>90000</v>
      </c>
      <c r="W580" s="2">
        <f>IF($H580&gt;I580,MIN($H580-I580,J580-I580)*INDEX('2018_commission_structure'!$A$5:$J$8,MATCH(Calculations!$E580,'2018_commission_structure'!$A$5:$A$8,0),MATCH(Calculations!W$1,'2018_commission_structure'!$A$5:$J$5,0)),0)</f>
        <v>27000</v>
      </c>
      <c r="X580" s="2">
        <f>IF($H580&gt;J580,MIN($H580-J580,K580-J580)*INDEX('2018_commission_structure'!$A$5:$J$8,MATCH(Calculations!$E580,'2018_commission_structure'!$A$5:$A$8,0),MATCH(Calculations!X$1,'2018_commission_structure'!$A$5:$J$5,0)),0)</f>
        <v>20900.25</v>
      </c>
      <c r="Y580" s="2">
        <f>IF($H580&gt;K580,MIN($H580-K580,L580-K580)*INDEX('2018_commission_structure'!$A$5:$J$8,MATCH(Calculations!$E580,'2018_commission_structure'!$A$5:$A$8,0),MATCH(Calculations!Y$1,'2018_commission_structure'!$A$5:$J$5,0)),0)</f>
        <v>0</v>
      </c>
      <c r="Z580" s="2">
        <f xml:space="preserve"> IF(H580&gt;L580,(H580-L580)*INDEX('2018_commission_structure'!$A$11:$I$14,MATCH(Calculations!$E580,'2018_commission_structure'!$A$11:$A$14,0),MATCH(Calculations!Z$1,'2018_commission_structure'!$A$11:$I$11,0)),0)</f>
        <v>0</v>
      </c>
      <c r="AA580" s="7">
        <f t="shared" si="88"/>
        <v>137900.25</v>
      </c>
      <c r="AB580" s="7">
        <f t="shared" si="89"/>
        <v>204523.25</v>
      </c>
    </row>
    <row r="581" spans="1:28" x14ac:dyDescent="0.25">
      <c r="A581">
        <v>4579641655</v>
      </c>
      <c r="B581" t="s">
        <v>1706</v>
      </c>
      <c r="C581" t="s">
        <v>1707</v>
      </c>
      <c r="D581" t="str">
        <f>B581&amp;" "&amp;C581</f>
        <v>Karney MacMillan</v>
      </c>
      <c r="E581" t="s">
        <v>29</v>
      </c>
      <c r="F581">
        <v>58990</v>
      </c>
      <c r="G581">
        <f>COUNTIF(deals_closed!D:D,Calculations!A581)</f>
        <v>16</v>
      </c>
      <c r="H581" s="2">
        <f>SUMIF(deals_closed!D:D,Calculations!A581,deals_closed!C:C)</f>
        <v>575747</v>
      </c>
      <c r="I581" s="2">
        <f>VLOOKUP(E581,'2018_commission_structure'!$A$11:$I$14,9,FALSE)</f>
        <v>600000</v>
      </c>
      <c r="J581" s="2">
        <f t="shared" si="81"/>
        <v>750000</v>
      </c>
      <c r="K581" s="2">
        <f t="shared" si="82"/>
        <v>900000</v>
      </c>
      <c r="L581" s="2">
        <f t="shared" si="83"/>
        <v>1200000</v>
      </c>
      <c r="M581" s="6">
        <f t="shared" si="84"/>
        <v>0.95957833333333331</v>
      </c>
      <c r="N581" t="str">
        <f t="shared" si="85"/>
        <v>0-100%</v>
      </c>
      <c r="O581" s="7">
        <f>MIN(I581,H581)*INDEX('2018_commission_structure'!$A$11:$I$14,MATCH(Calculations!$E581,'2018_commission_structure'!$A$11:$A$14,0),MATCH(Calculations!O$1,'2018_commission_structure'!$A$11:$I$11,0))</f>
        <v>74847.11</v>
      </c>
      <c r="P581" s="7">
        <f>IF($H581&gt;I581,MIN($H581-I581,J581-I581)*INDEX('2018_commission_structure'!$A$11:$I$14,MATCH(Calculations!$E581,'2018_commission_structure'!$A$11:$A$14,0), MATCH(Calculations!P$1,'2018_commission_structure'!$A$11:$I$11,0)),0)</f>
        <v>0</v>
      </c>
      <c r="Q581" s="7">
        <f>IF($H581&gt;J581,MIN($H581-J581,K581-J581)*INDEX('2018_commission_structure'!$A$11:$I$14,MATCH(Calculations!$E581,'2018_commission_structure'!$A$11:$A$14,0), MATCH(Calculations!Q$1,'2018_commission_structure'!$A$11:$I$11,0)),0)</f>
        <v>0</v>
      </c>
      <c r="R581" s="7">
        <f>IF($H581&gt;K581,MIN($H581-K581,L581-K581)*INDEX('2018_commission_structure'!$A$11:$I$14,MATCH(Calculations!$E581,'2018_commission_structure'!$A$11:$A$14,0), MATCH(Calculations!R$1,'2018_commission_structure'!$A$11:$I$11,0)),0)</f>
        <v>0</v>
      </c>
      <c r="S581" s="7">
        <f>IF(H581&gt;L581,(H581-L581)*INDEX('2018_commission_structure'!$A$11:$I$14,MATCH(Calculations!$E581,'2018_commission_structure'!$A$11:$A$14,0),MATCH(Calculations!S$1,'2018_commission_structure'!$A$11:$I$11,0)),0)</f>
        <v>0</v>
      </c>
      <c r="T581" s="7">
        <f t="shared" si="86"/>
        <v>74847.11</v>
      </c>
      <c r="U581" s="7">
        <f t="shared" si="87"/>
        <v>133837.10999999999</v>
      </c>
      <c r="V581" s="7">
        <f>MIN(H581,I581)*INDEX('2018_commission_structure'!$A$5:$J$8,MATCH(Calculations!$E581,'2018_commission_structure'!$A$5:$A$8,0),MATCH(Calculations!V$1,'2018_commission_structure'!$A$5:$J$5,0))</f>
        <v>86362.05</v>
      </c>
      <c r="W581" s="2">
        <f>IF($H581&gt;I581,MIN($H581-I581,J581-I581)*INDEX('2018_commission_structure'!$A$5:$J$8,MATCH(Calculations!$E581,'2018_commission_structure'!$A$5:$A$8,0),MATCH(Calculations!W$1,'2018_commission_structure'!$A$5:$J$5,0)),0)</f>
        <v>0</v>
      </c>
      <c r="X581" s="2">
        <f>IF($H581&gt;J581,MIN($H581-J581,K581-J581)*INDEX('2018_commission_structure'!$A$5:$J$8,MATCH(Calculations!$E581,'2018_commission_structure'!$A$5:$A$8,0),MATCH(Calculations!X$1,'2018_commission_structure'!$A$5:$J$5,0)),0)</f>
        <v>0</v>
      </c>
      <c r="Y581" s="2">
        <f>IF($H581&gt;K581,MIN($H581-K581,L581-K581)*INDEX('2018_commission_structure'!$A$5:$J$8,MATCH(Calculations!$E581,'2018_commission_structure'!$A$5:$A$8,0),MATCH(Calculations!Y$1,'2018_commission_structure'!$A$5:$J$5,0)),0)</f>
        <v>0</v>
      </c>
      <c r="Z581" s="2">
        <f xml:space="preserve"> IF(H581&gt;L581,(H581-L581)*INDEX('2018_commission_structure'!$A$11:$I$14,MATCH(Calculations!$E581,'2018_commission_structure'!$A$11:$A$14,0),MATCH(Calculations!Z$1,'2018_commission_structure'!$A$11:$I$11,0)),0)</f>
        <v>0</v>
      </c>
      <c r="AA581" s="7">
        <f t="shared" si="88"/>
        <v>86362.05</v>
      </c>
      <c r="AB581" s="7">
        <f t="shared" si="89"/>
        <v>145352.04999999999</v>
      </c>
    </row>
    <row r="582" spans="1:28" x14ac:dyDescent="0.25">
      <c r="A582">
        <v>3569619966</v>
      </c>
      <c r="B582" t="s">
        <v>135</v>
      </c>
      <c r="C582" t="s">
        <v>195</v>
      </c>
      <c r="D582" t="str">
        <f>B582&amp;" "&amp;C582</f>
        <v>Beatrice MacRorie</v>
      </c>
      <c r="E582" t="s">
        <v>10</v>
      </c>
      <c r="F582">
        <v>93357</v>
      </c>
      <c r="G582">
        <f>COUNTIF(deals_closed!D:D,Calculations!A582)</f>
        <v>18</v>
      </c>
      <c r="H582" s="2">
        <f>SUMIF(deals_closed!D:D,Calculations!A582,deals_closed!C:C)</f>
        <v>596012</v>
      </c>
      <c r="I582" s="2">
        <f>VLOOKUP(E582,'2018_commission_structure'!$A$11:$I$14,9,FALSE)</f>
        <v>750000</v>
      </c>
      <c r="J582" s="2">
        <f t="shared" si="81"/>
        <v>937500</v>
      </c>
      <c r="K582" s="2">
        <f t="shared" si="82"/>
        <v>1125000</v>
      </c>
      <c r="L582" s="2">
        <f t="shared" si="83"/>
        <v>1500000</v>
      </c>
      <c r="M582" s="6">
        <f t="shared" si="84"/>
        <v>0.79468266666666665</v>
      </c>
      <c r="N582" t="str">
        <f t="shared" si="85"/>
        <v>0-100%</v>
      </c>
      <c r="O582" s="7">
        <f>MIN(I582,H582)*INDEX('2018_commission_structure'!$A$11:$I$14,MATCH(Calculations!$E582,'2018_commission_structure'!$A$11:$A$14,0),MATCH(Calculations!O$1,'2018_commission_structure'!$A$11:$I$11,0))</f>
        <v>89401.8</v>
      </c>
      <c r="P582" s="7">
        <f>IF($H582&gt;I582,MIN($H582-I582,J582-I582)*INDEX('2018_commission_structure'!$A$11:$I$14,MATCH(Calculations!$E582,'2018_commission_structure'!$A$11:$A$14,0), MATCH(Calculations!P$1,'2018_commission_structure'!$A$11:$I$11,0)),0)</f>
        <v>0</v>
      </c>
      <c r="Q582" s="7">
        <f>IF($H582&gt;J582,MIN($H582-J582,K582-J582)*INDEX('2018_commission_structure'!$A$11:$I$14,MATCH(Calculations!$E582,'2018_commission_structure'!$A$11:$A$14,0), MATCH(Calculations!Q$1,'2018_commission_structure'!$A$11:$I$11,0)),0)</f>
        <v>0</v>
      </c>
      <c r="R582" s="7">
        <f>IF($H582&gt;K582,MIN($H582-K582,L582-K582)*INDEX('2018_commission_structure'!$A$11:$I$14,MATCH(Calculations!$E582,'2018_commission_structure'!$A$11:$A$14,0), MATCH(Calculations!R$1,'2018_commission_structure'!$A$11:$I$11,0)),0)</f>
        <v>0</v>
      </c>
      <c r="S582" s="7">
        <f>IF(H582&gt;L582,(H582-L582)*INDEX('2018_commission_structure'!$A$11:$I$14,MATCH(Calculations!$E582,'2018_commission_structure'!$A$11:$A$14,0),MATCH(Calculations!S$1,'2018_commission_structure'!$A$11:$I$11,0)),0)</f>
        <v>0</v>
      </c>
      <c r="T582" s="7">
        <f t="shared" si="86"/>
        <v>89401.8</v>
      </c>
      <c r="U582" s="7">
        <f t="shared" si="87"/>
        <v>182758.8</v>
      </c>
      <c r="V582" s="7">
        <f>MIN(H582,I582)*INDEX('2018_commission_structure'!$A$5:$J$8,MATCH(Calculations!$E582,'2018_commission_structure'!$A$5:$A$8,0),MATCH(Calculations!V$1,'2018_commission_structure'!$A$5:$J$5,0))</f>
        <v>89401.8</v>
      </c>
      <c r="W582" s="2">
        <f>IF($H582&gt;I582,MIN($H582-I582,J582-I582)*INDEX('2018_commission_structure'!$A$5:$J$8,MATCH(Calculations!$E582,'2018_commission_structure'!$A$5:$A$8,0),MATCH(Calculations!W$1,'2018_commission_structure'!$A$5:$J$5,0)),0)</f>
        <v>0</v>
      </c>
      <c r="X582" s="2">
        <f>IF($H582&gt;J582,MIN($H582-J582,K582-J582)*INDEX('2018_commission_structure'!$A$5:$J$8,MATCH(Calculations!$E582,'2018_commission_structure'!$A$5:$A$8,0),MATCH(Calculations!X$1,'2018_commission_structure'!$A$5:$J$5,0)),0)</f>
        <v>0</v>
      </c>
      <c r="Y582" s="2">
        <f>IF($H582&gt;K582,MIN($H582-K582,L582-K582)*INDEX('2018_commission_structure'!$A$5:$J$8,MATCH(Calculations!$E582,'2018_commission_structure'!$A$5:$A$8,0),MATCH(Calculations!Y$1,'2018_commission_structure'!$A$5:$J$5,0)),0)</f>
        <v>0</v>
      </c>
      <c r="Z582" s="2">
        <f xml:space="preserve"> IF(H582&gt;L582,(H582-L582)*INDEX('2018_commission_structure'!$A$11:$I$14,MATCH(Calculations!$E582,'2018_commission_structure'!$A$11:$A$14,0),MATCH(Calculations!Z$1,'2018_commission_structure'!$A$11:$I$11,0)),0)</f>
        <v>0</v>
      </c>
      <c r="AA582" s="7">
        <f t="shared" si="88"/>
        <v>89401.8</v>
      </c>
      <c r="AB582" s="7">
        <f t="shared" si="89"/>
        <v>182758.8</v>
      </c>
    </row>
    <row r="583" spans="1:28" x14ac:dyDescent="0.25">
      <c r="A583">
        <v>9684187432</v>
      </c>
      <c r="B583" t="s">
        <v>1835</v>
      </c>
      <c r="C583" t="s">
        <v>1836</v>
      </c>
      <c r="D583" t="str">
        <f>B583&amp;" "&amp;C583</f>
        <v>Rutter Maddams</v>
      </c>
      <c r="E583" t="s">
        <v>29</v>
      </c>
      <c r="F583">
        <v>61998</v>
      </c>
      <c r="G583">
        <f>COUNTIF(deals_closed!D:D,Calculations!A583)</f>
        <v>21</v>
      </c>
      <c r="H583" s="2">
        <f>SUMIF(deals_closed!D:D,Calculations!A583,deals_closed!C:C)</f>
        <v>679511</v>
      </c>
      <c r="I583" s="2">
        <f>VLOOKUP(E583,'2018_commission_structure'!$A$11:$I$14,9,FALSE)</f>
        <v>600000</v>
      </c>
      <c r="J583" s="2">
        <f t="shared" si="81"/>
        <v>750000</v>
      </c>
      <c r="K583" s="2">
        <f t="shared" si="82"/>
        <v>900000</v>
      </c>
      <c r="L583" s="2">
        <f t="shared" si="83"/>
        <v>1200000</v>
      </c>
      <c r="M583" s="6">
        <f t="shared" si="84"/>
        <v>1.1325183333333333</v>
      </c>
      <c r="N583" t="str">
        <f t="shared" si="85"/>
        <v>100-125%</v>
      </c>
      <c r="O583" s="7">
        <f>MIN(I583,H583)*INDEX('2018_commission_structure'!$A$11:$I$14,MATCH(Calculations!$E583,'2018_commission_structure'!$A$11:$A$14,0),MATCH(Calculations!O$1,'2018_commission_structure'!$A$11:$I$11,0))</f>
        <v>78000</v>
      </c>
      <c r="P583" s="7">
        <f>IF($H583&gt;I583,MIN($H583-I583,J583-I583)*INDEX('2018_commission_structure'!$A$11:$I$14,MATCH(Calculations!$E583,'2018_commission_structure'!$A$11:$A$14,0), MATCH(Calculations!P$1,'2018_commission_structure'!$A$11:$I$11,0)),0)</f>
        <v>13516.87</v>
      </c>
      <c r="Q583" s="7">
        <f>IF($H583&gt;J583,MIN($H583-J583,K583-J583)*INDEX('2018_commission_structure'!$A$11:$I$14,MATCH(Calculations!$E583,'2018_commission_structure'!$A$11:$A$14,0), MATCH(Calculations!Q$1,'2018_commission_structure'!$A$11:$I$11,0)),0)</f>
        <v>0</v>
      </c>
      <c r="R583" s="7">
        <f>IF($H583&gt;K583,MIN($H583-K583,L583-K583)*INDEX('2018_commission_structure'!$A$11:$I$14,MATCH(Calculations!$E583,'2018_commission_structure'!$A$11:$A$14,0), MATCH(Calculations!R$1,'2018_commission_structure'!$A$11:$I$11,0)),0)</f>
        <v>0</v>
      </c>
      <c r="S583" s="7">
        <f>IF(H583&gt;L583,(H583-L583)*INDEX('2018_commission_structure'!$A$11:$I$14,MATCH(Calculations!$E583,'2018_commission_structure'!$A$11:$A$14,0),MATCH(Calculations!S$1,'2018_commission_structure'!$A$11:$I$11,0)),0)</f>
        <v>0</v>
      </c>
      <c r="T583" s="7">
        <f t="shared" si="86"/>
        <v>91516.87</v>
      </c>
      <c r="U583" s="7">
        <f t="shared" si="87"/>
        <v>153514.87</v>
      </c>
      <c r="V583" s="7">
        <f>MIN(H583,I583)*INDEX('2018_commission_structure'!$A$5:$J$8,MATCH(Calculations!$E583,'2018_commission_structure'!$A$5:$A$8,0),MATCH(Calculations!V$1,'2018_commission_structure'!$A$5:$J$5,0))</f>
        <v>90000</v>
      </c>
      <c r="W583" s="2">
        <f>IF($H583&gt;I583,MIN($H583-I583,J583-I583)*INDEX('2018_commission_structure'!$A$5:$J$8,MATCH(Calculations!$E583,'2018_commission_structure'!$A$5:$A$8,0),MATCH(Calculations!W$1,'2018_commission_structure'!$A$5:$J$5,0)),0)</f>
        <v>14311.98</v>
      </c>
      <c r="X583" s="2">
        <f>IF($H583&gt;J583,MIN($H583-J583,K583-J583)*INDEX('2018_commission_structure'!$A$5:$J$8,MATCH(Calculations!$E583,'2018_commission_structure'!$A$5:$A$8,0),MATCH(Calculations!X$1,'2018_commission_structure'!$A$5:$J$5,0)),0)</f>
        <v>0</v>
      </c>
      <c r="Y583" s="2">
        <f>IF($H583&gt;K583,MIN($H583-K583,L583-K583)*INDEX('2018_commission_structure'!$A$5:$J$8,MATCH(Calculations!$E583,'2018_commission_structure'!$A$5:$A$8,0),MATCH(Calculations!Y$1,'2018_commission_structure'!$A$5:$J$5,0)),0)</f>
        <v>0</v>
      </c>
      <c r="Z583" s="2">
        <f xml:space="preserve"> IF(H583&gt;L583,(H583-L583)*INDEX('2018_commission_structure'!$A$11:$I$14,MATCH(Calculations!$E583,'2018_commission_structure'!$A$11:$A$14,0),MATCH(Calculations!Z$1,'2018_commission_structure'!$A$11:$I$11,0)),0)</f>
        <v>0</v>
      </c>
      <c r="AA583" s="7">
        <f t="shared" si="88"/>
        <v>104311.98</v>
      </c>
      <c r="AB583" s="7">
        <f t="shared" si="89"/>
        <v>166309.97999999998</v>
      </c>
    </row>
    <row r="584" spans="1:28" x14ac:dyDescent="0.25">
      <c r="A584">
        <v>5913755731</v>
      </c>
      <c r="B584" t="s">
        <v>728</v>
      </c>
      <c r="C584" t="s">
        <v>729</v>
      </c>
      <c r="D584" t="str">
        <f>B584&amp;" "&amp;C584</f>
        <v>Minetta Maden</v>
      </c>
      <c r="E584" t="s">
        <v>29</v>
      </c>
      <c r="F584">
        <v>51706</v>
      </c>
      <c r="G584">
        <f>COUNTIF(deals_closed!D:D,Calculations!A584)</f>
        <v>20</v>
      </c>
      <c r="H584" s="2">
        <f>SUMIF(deals_closed!D:D,Calculations!A584,deals_closed!C:C)</f>
        <v>568483</v>
      </c>
      <c r="I584" s="2">
        <f>VLOOKUP(E584,'2018_commission_structure'!$A$11:$I$14,9,FALSE)</f>
        <v>600000</v>
      </c>
      <c r="J584" s="2">
        <f t="shared" si="81"/>
        <v>750000</v>
      </c>
      <c r="K584" s="2">
        <f t="shared" si="82"/>
        <v>900000</v>
      </c>
      <c r="L584" s="2">
        <f t="shared" si="83"/>
        <v>1200000</v>
      </c>
      <c r="M584" s="6">
        <f t="shared" si="84"/>
        <v>0.94747166666666671</v>
      </c>
      <c r="N584" t="str">
        <f t="shared" si="85"/>
        <v>0-100%</v>
      </c>
      <c r="O584" s="7">
        <f>MIN(I584,H584)*INDEX('2018_commission_structure'!$A$11:$I$14,MATCH(Calculations!$E584,'2018_commission_structure'!$A$11:$A$14,0),MATCH(Calculations!O$1,'2018_commission_structure'!$A$11:$I$11,0))</f>
        <v>73902.790000000008</v>
      </c>
      <c r="P584" s="7">
        <f>IF($H584&gt;I584,MIN($H584-I584,J584-I584)*INDEX('2018_commission_structure'!$A$11:$I$14,MATCH(Calculations!$E584,'2018_commission_structure'!$A$11:$A$14,0), MATCH(Calculations!P$1,'2018_commission_structure'!$A$11:$I$11,0)),0)</f>
        <v>0</v>
      </c>
      <c r="Q584" s="7">
        <f>IF($H584&gt;J584,MIN($H584-J584,K584-J584)*INDEX('2018_commission_structure'!$A$11:$I$14,MATCH(Calculations!$E584,'2018_commission_structure'!$A$11:$A$14,0), MATCH(Calculations!Q$1,'2018_commission_structure'!$A$11:$I$11,0)),0)</f>
        <v>0</v>
      </c>
      <c r="R584" s="7">
        <f>IF($H584&gt;K584,MIN($H584-K584,L584-K584)*INDEX('2018_commission_structure'!$A$11:$I$14,MATCH(Calculations!$E584,'2018_commission_structure'!$A$11:$A$14,0), MATCH(Calculations!R$1,'2018_commission_structure'!$A$11:$I$11,0)),0)</f>
        <v>0</v>
      </c>
      <c r="S584" s="7">
        <f>IF(H584&gt;L584,(H584-L584)*INDEX('2018_commission_structure'!$A$11:$I$14,MATCH(Calculations!$E584,'2018_commission_structure'!$A$11:$A$14,0),MATCH(Calculations!S$1,'2018_commission_structure'!$A$11:$I$11,0)),0)</f>
        <v>0</v>
      </c>
      <c r="T584" s="7">
        <f t="shared" si="86"/>
        <v>73902.790000000008</v>
      </c>
      <c r="U584" s="7">
        <f t="shared" si="87"/>
        <v>125608.79000000001</v>
      </c>
      <c r="V584" s="7">
        <f>MIN(H584,I584)*INDEX('2018_commission_structure'!$A$5:$J$8,MATCH(Calculations!$E584,'2018_commission_structure'!$A$5:$A$8,0),MATCH(Calculations!V$1,'2018_commission_structure'!$A$5:$J$5,0))</f>
        <v>85272.45</v>
      </c>
      <c r="W584" s="2">
        <f>IF($H584&gt;I584,MIN($H584-I584,J584-I584)*INDEX('2018_commission_structure'!$A$5:$J$8,MATCH(Calculations!$E584,'2018_commission_structure'!$A$5:$A$8,0),MATCH(Calculations!W$1,'2018_commission_structure'!$A$5:$J$5,0)),0)</f>
        <v>0</v>
      </c>
      <c r="X584" s="2">
        <f>IF($H584&gt;J584,MIN($H584-J584,K584-J584)*INDEX('2018_commission_structure'!$A$5:$J$8,MATCH(Calculations!$E584,'2018_commission_structure'!$A$5:$A$8,0),MATCH(Calculations!X$1,'2018_commission_structure'!$A$5:$J$5,0)),0)</f>
        <v>0</v>
      </c>
      <c r="Y584" s="2">
        <f>IF($H584&gt;K584,MIN($H584-K584,L584-K584)*INDEX('2018_commission_structure'!$A$5:$J$8,MATCH(Calculations!$E584,'2018_commission_structure'!$A$5:$A$8,0),MATCH(Calculations!Y$1,'2018_commission_structure'!$A$5:$J$5,0)),0)</f>
        <v>0</v>
      </c>
      <c r="Z584" s="2">
        <f xml:space="preserve"> IF(H584&gt;L584,(H584-L584)*INDEX('2018_commission_structure'!$A$11:$I$14,MATCH(Calculations!$E584,'2018_commission_structure'!$A$11:$A$14,0),MATCH(Calculations!Z$1,'2018_commission_structure'!$A$11:$I$11,0)),0)</f>
        <v>0</v>
      </c>
      <c r="AA584" s="7">
        <f t="shared" si="88"/>
        <v>85272.45</v>
      </c>
      <c r="AB584" s="7">
        <f t="shared" si="89"/>
        <v>136978.45000000001</v>
      </c>
    </row>
    <row r="585" spans="1:28" x14ac:dyDescent="0.25">
      <c r="A585">
        <v>3156820482</v>
      </c>
      <c r="B585" t="s">
        <v>1787</v>
      </c>
      <c r="C585" t="s">
        <v>1788</v>
      </c>
      <c r="D585" t="str">
        <f>B585&amp;" "&amp;C585</f>
        <v>Kimberlyn Maffia</v>
      </c>
      <c r="E585" t="s">
        <v>10</v>
      </c>
      <c r="F585">
        <v>121894</v>
      </c>
      <c r="G585">
        <f>COUNTIF(deals_closed!D:D,Calculations!A585)</f>
        <v>24</v>
      </c>
      <c r="H585" s="2">
        <f>SUMIF(deals_closed!D:D,Calculations!A585,deals_closed!C:C)</f>
        <v>765238</v>
      </c>
      <c r="I585" s="2">
        <f>VLOOKUP(E585,'2018_commission_structure'!$A$11:$I$14,9,FALSE)</f>
        <v>750000</v>
      </c>
      <c r="J585" s="2">
        <f t="shared" si="81"/>
        <v>937500</v>
      </c>
      <c r="K585" s="2">
        <f t="shared" si="82"/>
        <v>1125000</v>
      </c>
      <c r="L585" s="2">
        <f t="shared" si="83"/>
        <v>1500000</v>
      </c>
      <c r="M585" s="6">
        <f t="shared" si="84"/>
        <v>1.0203173333333333</v>
      </c>
      <c r="N585" t="str">
        <f t="shared" si="85"/>
        <v>100-125%</v>
      </c>
      <c r="O585" s="7">
        <f>MIN(I585,H585)*INDEX('2018_commission_structure'!$A$11:$I$14,MATCH(Calculations!$E585,'2018_commission_structure'!$A$11:$A$14,0),MATCH(Calculations!O$1,'2018_commission_structure'!$A$11:$I$11,0))</f>
        <v>112500</v>
      </c>
      <c r="P585" s="7">
        <f>IF($H585&gt;I585,MIN($H585-I585,J585-I585)*INDEX('2018_commission_structure'!$A$11:$I$14,MATCH(Calculations!$E585,'2018_commission_structure'!$A$11:$A$14,0), MATCH(Calculations!P$1,'2018_commission_structure'!$A$11:$I$11,0)),0)</f>
        <v>2895.2200000000003</v>
      </c>
      <c r="Q585" s="7">
        <f>IF($H585&gt;J585,MIN($H585-J585,K585-J585)*INDEX('2018_commission_structure'!$A$11:$I$14,MATCH(Calculations!$E585,'2018_commission_structure'!$A$11:$A$14,0), MATCH(Calculations!Q$1,'2018_commission_structure'!$A$11:$I$11,0)),0)</f>
        <v>0</v>
      </c>
      <c r="R585" s="7">
        <f>IF($H585&gt;K585,MIN($H585-K585,L585-K585)*INDEX('2018_commission_structure'!$A$11:$I$14,MATCH(Calculations!$E585,'2018_commission_structure'!$A$11:$A$14,0), MATCH(Calculations!R$1,'2018_commission_structure'!$A$11:$I$11,0)),0)</f>
        <v>0</v>
      </c>
      <c r="S585" s="7">
        <f>IF(H585&gt;L585,(H585-L585)*INDEX('2018_commission_structure'!$A$11:$I$14,MATCH(Calculations!$E585,'2018_commission_structure'!$A$11:$A$14,0),MATCH(Calculations!S$1,'2018_commission_structure'!$A$11:$I$11,0)),0)</f>
        <v>0</v>
      </c>
      <c r="T585" s="7">
        <f t="shared" si="86"/>
        <v>115395.22</v>
      </c>
      <c r="U585" s="7">
        <f t="shared" si="87"/>
        <v>237289.22</v>
      </c>
      <c r="V585" s="7">
        <f>MIN(H585,I585)*INDEX('2018_commission_structure'!$A$5:$J$8,MATCH(Calculations!$E585,'2018_commission_structure'!$A$5:$A$8,0),MATCH(Calculations!V$1,'2018_commission_structure'!$A$5:$J$5,0))</f>
        <v>112500</v>
      </c>
      <c r="W585" s="2">
        <f>IF($H585&gt;I585,MIN($H585-I585,J585-I585)*INDEX('2018_commission_structure'!$A$5:$J$8,MATCH(Calculations!$E585,'2018_commission_structure'!$A$5:$A$8,0),MATCH(Calculations!W$1,'2018_commission_structure'!$A$5:$J$5,0)),0)</f>
        <v>3352.36</v>
      </c>
      <c r="X585" s="2">
        <f>IF($H585&gt;J585,MIN($H585-J585,K585-J585)*INDEX('2018_commission_structure'!$A$5:$J$8,MATCH(Calculations!$E585,'2018_commission_structure'!$A$5:$A$8,0),MATCH(Calculations!X$1,'2018_commission_structure'!$A$5:$J$5,0)),0)</f>
        <v>0</v>
      </c>
      <c r="Y585" s="2">
        <f>IF($H585&gt;K585,MIN($H585-K585,L585-K585)*INDEX('2018_commission_structure'!$A$5:$J$8,MATCH(Calculations!$E585,'2018_commission_structure'!$A$5:$A$8,0),MATCH(Calculations!Y$1,'2018_commission_structure'!$A$5:$J$5,0)),0)</f>
        <v>0</v>
      </c>
      <c r="Z585" s="2">
        <f xml:space="preserve"> IF(H585&gt;L585,(H585-L585)*INDEX('2018_commission_structure'!$A$11:$I$14,MATCH(Calculations!$E585,'2018_commission_structure'!$A$11:$A$14,0),MATCH(Calculations!Z$1,'2018_commission_structure'!$A$11:$I$11,0)),0)</f>
        <v>0</v>
      </c>
      <c r="AA585" s="7">
        <f t="shared" si="88"/>
        <v>115852.36</v>
      </c>
      <c r="AB585" s="7">
        <f t="shared" si="89"/>
        <v>237746.36</v>
      </c>
    </row>
    <row r="586" spans="1:28" x14ac:dyDescent="0.25">
      <c r="A586">
        <v>7188904251</v>
      </c>
      <c r="B586" t="s">
        <v>1312</v>
      </c>
      <c r="C586" t="s">
        <v>1313</v>
      </c>
      <c r="D586" t="str">
        <f>B586&amp;" "&amp;C586</f>
        <v>Vail Mailey</v>
      </c>
      <c r="E586" t="s">
        <v>10</v>
      </c>
      <c r="F586">
        <v>123195</v>
      </c>
      <c r="G586">
        <f>COUNTIF(deals_closed!D:D,Calculations!A586)</f>
        <v>21</v>
      </c>
      <c r="H586" s="2">
        <f>SUMIF(deals_closed!D:D,Calculations!A586,deals_closed!C:C)</f>
        <v>808246</v>
      </c>
      <c r="I586" s="2">
        <f>VLOOKUP(E586,'2018_commission_structure'!$A$11:$I$14,9,FALSE)</f>
        <v>750000</v>
      </c>
      <c r="J586" s="2">
        <f t="shared" si="81"/>
        <v>937500</v>
      </c>
      <c r="K586" s="2">
        <f t="shared" si="82"/>
        <v>1125000</v>
      </c>
      <c r="L586" s="2">
        <f t="shared" si="83"/>
        <v>1500000</v>
      </c>
      <c r="M586" s="6">
        <f t="shared" si="84"/>
        <v>1.0776613333333334</v>
      </c>
      <c r="N586" t="str">
        <f t="shared" si="85"/>
        <v>100-125%</v>
      </c>
      <c r="O586" s="7">
        <f>MIN(I586,H586)*INDEX('2018_commission_structure'!$A$11:$I$14,MATCH(Calculations!$E586,'2018_commission_structure'!$A$11:$A$14,0),MATCH(Calculations!O$1,'2018_commission_structure'!$A$11:$I$11,0))</f>
        <v>112500</v>
      </c>
      <c r="P586" s="7">
        <f>IF($H586&gt;I586,MIN($H586-I586,J586-I586)*INDEX('2018_commission_structure'!$A$11:$I$14,MATCH(Calculations!$E586,'2018_commission_structure'!$A$11:$A$14,0), MATCH(Calculations!P$1,'2018_commission_structure'!$A$11:$I$11,0)),0)</f>
        <v>11066.74</v>
      </c>
      <c r="Q586" s="7">
        <f>IF($H586&gt;J586,MIN($H586-J586,K586-J586)*INDEX('2018_commission_structure'!$A$11:$I$14,MATCH(Calculations!$E586,'2018_commission_structure'!$A$11:$A$14,0), MATCH(Calculations!Q$1,'2018_commission_structure'!$A$11:$I$11,0)),0)</f>
        <v>0</v>
      </c>
      <c r="R586" s="7">
        <f>IF($H586&gt;K586,MIN($H586-K586,L586-K586)*INDEX('2018_commission_structure'!$A$11:$I$14,MATCH(Calculations!$E586,'2018_commission_structure'!$A$11:$A$14,0), MATCH(Calculations!R$1,'2018_commission_structure'!$A$11:$I$11,0)),0)</f>
        <v>0</v>
      </c>
      <c r="S586" s="7">
        <f>IF(H586&gt;L586,(H586-L586)*INDEX('2018_commission_structure'!$A$11:$I$14,MATCH(Calculations!$E586,'2018_commission_structure'!$A$11:$A$14,0),MATCH(Calculations!S$1,'2018_commission_structure'!$A$11:$I$11,0)),0)</f>
        <v>0</v>
      </c>
      <c r="T586" s="7">
        <f t="shared" si="86"/>
        <v>123566.74</v>
      </c>
      <c r="U586" s="7">
        <f t="shared" si="87"/>
        <v>246761.74</v>
      </c>
      <c r="V586" s="7">
        <f>MIN(H586,I586)*INDEX('2018_commission_structure'!$A$5:$J$8,MATCH(Calculations!$E586,'2018_commission_structure'!$A$5:$A$8,0),MATCH(Calculations!V$1,'2018_commission_structure'!$A$5:$J$5,0))</f>
        <v>112500</v>
      </c>
      <c r="W586" s="2">
        <f>IF($H586&gt;I586,MIN($H586-I586,J586-I586)*INDEX('2018_commission_structure'!$A$5:$J$8,MATCH(Calculations!$E586,'2018_commission_structure'!$A$5:$A$8,0),MATCH(Calculations!W$1,'2018_commission_structure'!$A$5:$J$5,0)),0)</f>
        <v>12814.12</v>
      </c>
      <c r="X586" s="2">
        <f>IF($H586&gt;J586,MIN($H586-J586,K586-J586)*INDEX('2018_commission_structure'!$A$5:$J$8,MATCH(Calculations!$E586,'2018_commission_structure'!$A$5:$A$8,0),MATCH(Calculations!X$1,'2018_commission_structure'!$A$5:$J$5,0)),0)</f>
        <v>0</v>
      </c>
      <c r="Y586" s="2">
        <f>IF($H586&gt;K586,MIN($H586-K586,L586-K586)*INDEX('2018_commission_structure'!$A$5:$J$8,MATCH(Calculations!$E586,'2018_commission_structure'!$A$5:$A$8,0),MATCH(Calculations!Y$1,'2018_commission_structure'!$A$5:$J$5,0)),0)</f>
        <v>0</v>
      </c>
      <c r="Z586" s="2">
        <f xml:space="preserve"> IF(H586&gt;L586,(H586-L586)*INDEX('2018_commission_structure'!$A$11:$I$14,MATCH(Calculations!$E586,'2018_commission_structure'!$A$11:$A$14,0),MATCH(Calculations!Z$1,'2018_commission_structure'!$A$11:$I$11,0)),0)</f>
        <v>0</v>
      </c>
      <c r="AA586" s="7">
        <f t="shared" si="88"/>
        <v>125314.12</v>
      </c>
      <c r="AB586" s="7">
        <f t="shared" si="89"/>
        <v>248509.12</v>
      </c>
    </row>
    <row r="587" spans="1:28" x14ac:dyDescent="0.25">
      <c r="A587">
        <v>2191930824</v>
      </c>
      <c r="B587" t="s">
        <v>1568</v>
      </c>
      <c r="C587" t="s">
        <v>1569</v>
      </c>
      <c r="D587" t="str">
        <f>B587&amp;" "&amp;C587</f>
        <v>Franny Malarkey</v>
      </c>
      <c r="E587" t="s">
        <v>29</v>
      </c>
      <c r="F587">
        <v>69316</v>
      </c>
      <c r="G587">
        <f>COUNTIF(deals_closed!D:D,Calculations!A587)</f>
        <v>16</v>
      </c>
      <c r="H587" s="2">
        <f>SUMIF(deals_closed!D:D,Calculations!A587,deals_closed!C:C)</f>
        <v>528737</v>
      </c>
      <c r="I587" s="2">
        <f>VLOOKUP(E587,'2018_commission_structure'!$A$11:$I$14,9,FALSE)</f>
        <v>600000</v>
      </c>
      <c r="J587" s="2">
        <f t="shared" si="81"/>
        <v>750000</v>
      </c>
      <c r="K587" s="2">
        <f t="shared" si="82"/>
        <v>900000</v>
      </c>
      <c r="L587" s="2">
        <f t="shared" si="83"/>
        <v>1200000</v>
      </c>
      <c r="M587" s="6">
        <f t="shared" si="84"/>
        <v>0.88122833333333328</v>
      </c>
      <c r="N587" t="str">
        <f t="shared" si="85"/>
        <v>0-100%</v>
      </c>
      <c r="O587" s="7">
        <f>MIN(I587,H587)*INDEX('2018_commission_structure'!$A$11:$I$14,MATCH(Calculations!$E587,'2018_commission_structure'!$A$11:$A$14,0),MATCH(Calculations!O$1,'2018_commission_structure'!$A$11:$I$11,0))</f>
        <v>68735.81</v>
      </c>
      <c r="P587" s="7">
        <f>IF($H587&gt;I587,MIN($H587-I587,J587-I587)*INDEX('2018_commission_structure'!$A$11:$I$14,MATCH(Calculations!$E587,'2018_commission_structure'!$A$11:$A$14,0), MATCH(Calculations!P$1,'2018_commission_structure'!$A$11:$I$11,0)),0)</f>
        <v>0</v>
      </c>
      <c r="Q587" s="7">
        <f>IF($H587&gt;J587,MIN($H587-J587,K587-J587)*INDEX('2018_commission_structure'!$A$11:$I$14,MATCH(Calculations!$E587,'2018_commission_structure'!$A$11:$A$14,0), MATCH(Calculations!Q$1,'2018_commission_structure'!$A$11:$I$11,0)),0)</f>
        <v>0</v>
      </c>
      <c r="R587" s="7">
        <f>IF($H587&gt;K587,MIN($H587-K587,L587-K587)*INDEX('2018_commission_structure'!$A$11:$I$14,MATCH(Calculations!$E587,'2018_commission_structure'!$A$11:$A$14,0), MATCH(Calculations!R$1,'2018_commission_structure'!$A$11:$I$11,0)),0)</f>
        <v>0</v>
      </c>
      <c r="S587" s="7">
        <f>IF(H587&gt;L587,(H587-L587)*INDEX('2018_commission_structure'!$A$11:$I$14,MATCH(Calculations!$E587,'2018_commission_structure'!$A$11:$A$14,0),MATCH(Calculations!S$1,'2018_commission_structure'!$A$11:$I$11,0)),0)</f>
        <v>0</v>
      </c>
      <c r="T587" s="7">
        <f t="shared" si="86"/>
        <v>68735.81</v>
      </c>
      <c r="U587" s="7">
        <f t="shared" si="87"/>
        <v>138051.81</v>
      </c>
      <c r="V587" s="7">
        <f>MIN(H587,I587)*INDEX('2018_commission_structure'!$A$5:$J$8,MATCH(Calculations!$E587,'2018_commission_structure'!$A$5:$A$8,0),MATCH(Calculations!V$1,'2018_commission_structure'!$A$5:$J$5,0))</f>
        <v>79310.55</v>
      </c>
      <c r="W587" s="2">
        <f>IF($H587&gt;I587,MIN($H587-I587,J587-I587)*INDEX('2018_commission_structure'!$A$5:$J$8,MATCH(Calculations!$E587,'2018_commission_structure'!$A$5:$A$8,0),MATCH(Calculations!W$1,'2018_commission_structure'!$A$5:$J$5,0)),0)</f>
        <v>0</v>
      </c>
      <c r="X587" s="2">
        <f>IF($H587&gt;J587,MIN($H587-J587,K587-J587)*INDEX('2018_commission_structure'!$A$5:$J$8,MATCH(Calculations!$E587,'2018_commission_structure'!$A$5:$A$8,0),MATCH(Calculations!X$1,'2018_commission_structure'!$A$5:$J$5,0)),0)</f>
        <v>0</v>
      </c>
      <c r="Y587" s="2">
        <f>IF($H587&gt;K587,MIN($H587-K587,L587-K587)*INDEX('2018_commission_structure'!$A$5:$J$8,MATCH(Calculations!$E587,'2018_commission_structure'!$A$5:$A$8,0),MATCH(Calculations!Y$1,'2018_commission_structure'!$A$5:$J$5,0)),0)</f>
        <v>0</v>
      </c>
      <c r="Z587" s="2">
        <f xml:space="preserve"> IF(H587&gt;L587,(H587-L587)*INDEX('2018_commission_structure'!$A$11:$I$14,MATCH(Calculations!$E587,'2018_commission_structure'!$A$11:$A$14,0),MATCH(Calculations!Z$1,'2018_commission_structure'!$A$11:$I$11,0)),0)</f>
        <v>0</v>
      </c>
      <c r="AA587" s="7">
        <f t="shared" si="88"/>
        <v>79310.55</v>
      </c>
      <c r="AB587" s="7">
        <f t="shared" si="89"/>
        <v>148626.54999999999</v>
      </c>
    </row>
    <row r="588" spans="1:28" x14ac:dyDescent="0.25">
      <c r="A588">
        <v>4184483038</v>
      </c>
      <c r="B588" t="s">
        <v>1698</v>
      </c>
      <c r="C588" t="s">
        <v>1781</v>
      </c>
      <c r="D588" t="str">
        <f>B588&amp;" "&amp;C588</f>
        <v>Ward Mance</v>
      </c>
      <c r="E588" t="s">
        <v>29</v>
      </c>
      <c r="F588">
        <v>77207</v>
      </c>
      <c r="G588">
        <f>COUNTIF(deals_closed!D:D,Calculations!A588)</f>
        <v>22</v>
      </c>
      <c r="H588" s="2">
        <f>SUMIF(deals_closed!D:D,Calculations!A588,deals_closed!C:C)</f>
        <v>658709</v>
      </c>
      <c r="I588" s="2">
        <f>VLOOKUP(E588,'2018_commission_structure'!$A$11:$I$14,9,FALSE)</f>
        <v>600000</v>
      </c>
      <c r="J588" s="2">
        <f t="shared" si="81"/>
        <v>750000</v>
      </c>
      <c r="K588" s="2">
        <f t="shared" si="82"/>
        <v>900000</v>
      </c>
      <c r="L588" s="2">
        <f t="shared" si="83"/>
        <v>1200000</v>
      </c>
      <c r="M588" s="6">
        <f t="shared" si="84"/>
        <v>1.0978483333333333</v>
      </c>
      <c r="N588" t="str">
        <f t="shared" si="85"/>
        <v>100-125%</v>
      </c>
      <c r="O588" s="7">
        <f>MIN(I588,H588)*INDEX('2018_commission_structure'!$A$11:$I$14,MATCH(Calculations!$E588,'2018_commission_structure'!$A$11:$A$14,0),MATCH(Calculations!O$1,'2018_commission_structure'!$A$11:$I$11,0))</f>
        <v>78000</v>
      </c>
      <c r="P588" s="7">
        <f>IF($H588&gt;I588,MIN($H588-I588,J588-I588)*INDEX('2018_commission_structure'!$A$11:$I$14,MATCH(Calculations!$E588,'2018_commission_structure'!$A$11:$A$14,0), MATCH(Calculations!P$1,'2018_commission_structure'!$A$11:$I$11,0)),0)</f>
        <v>9980.5300000000007</v>
      </c>
      <c r="Q588" s="7">
        <f>IF($H588&gt;J588,MIN($H588-J588,K588-J588)*INDEX('2018_commission_structure'!$A$11:$I$14,MATCH(Calculations!$E588,'2018_commission_structure'!$A$11:$A$14,0), MATCH(Calculations!Q$1,'2018_commission_structure'!$A$11:$I$11,0)),0)</f>
        <v>0</v>
      </c>
      <c r="R588" s="7">
        <f>IF($H588&gt;K588,MIN($H588-K588,L588-K588)*INDEX('2018_commission_structure'!$A$11:$I$14,MATCH(Calculations!$E588,'2018_commission_structure'!$A$11:$A$14,0), MATCH(Calculations!R$1,'2018_commission_structure'!$A$11:$I$11,0)),0)</f>
        <v>0</v>
      </c>
      <c r="S588" s="7">
        <f>IF(H588&gt;L588,(H588-L588)*INDEX('2018_commission_structure'!$A$11:$I$14,MATCH(Calculations!$E588,'2018_commission_structure'!$A$11:$A$14,0),MATCH(Calculations!S$1,'2018_commission_structure'!$A$11:$I$11,0)),0)</f>
        <v>0</v>
      </c>
      <c r="T588" s="7">
        <f t="shared" si="86"/>
        <v>87980.53</v>
      </c>
      <c r="U588" s="7">
        <f t="shared" si="87"/>
        <v>165187.53</v>
      </c>
      <c r="V588" s="7">
        <f>MIN(H588,I588)*INDEX('2018_commission_structure'!$A$5:$J$8,MATCH(Calculations!$E588,'2018_commission_structure'!$A$5:$A$8,0),MATCH(Calculations!V$1,'2018_commission_structure'!$A$5:$J$5,0))</f>
        <v>90000</v>
      </c>
      <c r="W588" s="2">
        <f>IF($H588&gt;I588,MIN($H588-I588,J588-I588)*INDEX('2018_commission_structure'!$A$5:$J$8,MATCH(Calculations!$E588,'2018_commission_structure'!$A$5:$A$8,0),MATCH(Calculations!W$1,'2018_commission_structure'!$A$5:$J$5,0)),0)</f>
        <v>10567.619999999999</v>
      </c>
      <c r="X588" s="2">
        <f>IF($H588&gt;J588,MIN($H588-J588,K588-J588)*INDEX('2018_commission_structure'!$A$5:$J$8,MATCH(Calculations!$E588,'2018_commission_structure'!$A$5:$A$8,0),MATCH(Calculations!X$1,'2018_commission_structure'!$A$5:$J$5,0)),0)</f>
        <v>0</v>
      </c>
      <c r="Y588" s="2">
        <f>IF($H588&gt;K588,MIN($H588-K588,L588-K588)*INDEX('2018_commission_structure'!$A$5:$J$8,MATCH(Calculations!$E588,'2018_commission_structure'!$A$5:$A$8,0),MATCH(Calculations!Y$1,'2018_commission_structure'!$A$5:$J$5,0)),0)</f>
        <v>0</v>
      </c>
      <c r="Z588" s="2">
        <f xml:space="preserve"> IF(H588&gt;L588,(H588-L588)*INDEX('2018_commission_structure'!$A$11:$I$14,MATCH(Calculations!$E588,'2018_commission_structure'!$A$11:$A$14,0),MATCH(Calculations!Z$1,'2018_commission_structure'!$A$11:$I$11,0)),0)</f>
        <v>0</v>
      </c>
      <c r="AA588" s="7">
        <f t="shared" si="88"/>
        <v>100567.62</v>
      </c>
      <c r="AB588" s="7">
        <f t="shared" si="89"/>
        <v>177774.62</v>
      </c>
    </row>
    <row r="589" spans="1:28" x14ac:dyDescent="0.25">
      <c r="A589">
        <v>3213290963</v>
      </c>
      <c r="B589" t="s">
        <v>840</v>
      </c>
      <c r="C589" t="s">
        <v>841</v>
      </c>
      <c r="D589" t="str">
        <f>B589&amp;" "&amp;C589</f>
        <v>Colette Mangon</v>
      </c>
      <c r="E589" t="s">
        <v>29</v>
      </c>
      <c r="F589">
        <v>55737</v>
      </c>
      <c r="G589">
        <f>COUNTIF(deals_closed!D:D,Calculations!A589)</f>
        <v>28</v>
      </c>
      <c r="H589" s="2">
        <f>SUMIF(deals_closed!D:D,Calculations!A589,deals_closed!C:C)</f>
        <v>1127142</v>
      </c>
      <c r="I589" s="2">
        <f>VLOOKUP(E589,'2018_commission_structure'!$A$11:$I$14,9,FALSE)</f>
        <v>600000</v>
      </c>
      <c r="J589" s="2">
        <f t="shared" si="81"/>
        <v>750000</v>
      </c>
      <c r="K589" s="2">
        <f t="shared" si="82"/>
        <v>900000</v>
      </c>
      <c r="L589" s="2">
        <f t="shared" si="83"/>
        <v>1200000</v>
      </c>
      <c r="M589" s="6">
        <f t="shared" si="84"/>
        <v>1.8785700000000001</v>
      </c>
      <c r="N589" t="str">
        <f t="shared" si="85"/>
        <v>150-200%</v>
      </c>
      <c r="O589" s="7">
        <f>MIN(I589,H589)*INDEX('2018_commission_structure'!$A$11:$I$14,MATCH(Calculations!$E589,'2018_commission_structure'!$A$11:$A$14,0),MATCH(Calculations!O$1,'2018_commission_structure'!$A$11:$I$11,0))</f>
        <v>78000</v>
      </c>
      <c r="P589" s="7">
        <f>IF($H589&gt;I589,MIN($H589-I589,J589-I589)*INDEX('2018_commission_structure'!$A$11:$I$14,MATCH(Calculations!$E589,'2018_commission_structure'!$A$11:$A$14,0), MATCH(Calculations!P$1,'2018_commission_structure'!$A$11:$I$11,0)),0)</f>
        <v>25500.000000000004</v>
      </c>
      <c r="Q589" s="7">
        <f>IF($H589&gt;J589,MIN($H589-J589,K589-J589)*INDEX('2018_commission_structure'!$A$11:$I$14,MATCH(Calculations!$E589,'2018_commission_structure'!$A$11:$A$14,0), MATCH(Calculations!Q$1,'2018_commission_structure'!$A$11:$I$11,0)),0)</f>
        <v>31500</v>
      </c>
      <c r="R589" s="7">
        <f>IF($H589&gt;K589,MIN($H589-K589,L589-K589)*INDEX('2018_commission_structure'!$A$11:$I$14,MATCH(Calculations!$E589,'2018_commission_structure'!$A$11:$A$14,0), MATCH(Calculations!R$1,'2018_commission_structure'!$A$11:$I$11,0)),0)</f>
        <v>59056.920000000006</v>
      </c>
      <c r="S589" s="7">
        <f>IF(H589&gt;L589,(H589-L589)*INDEX('2018_commission_structure'!$A$11:$I$14,MATCH(Calculations!$E589,'2018_commission_structure'!$A$11:$A$14,0),MATCH(Calculations!S$1,'2018_commission_structure'!$A$11:$I$11,0)),0)</f>
        <v>0</v>
      </c>
      <c r="T589" s="7">
        <f t="shared" si="86"/>
        <v>194056.92</v>
      </c>
      <c r="U589" s="7">
        <f t="shared" si="87"/>
        <v>249793.92000000001</v>
      </c>
      <c r="V589" s="7">
        <f>MIN(H589,I589)*INDEX('2018_commission_structure'!$A$5:$J$8,MATCH(Calculations!$E589,'2018_commission_structure'!$A$5:$A$8,0),MATCH(Calculations!V$1,'2018_commission_structure'!$A$5:$J$5,0))</f>
        <v>90000</v>
      </c>
      <c r="W589" s="2">
        <f>IF($H589&gt;I589,MIN($H589-I589,J589-I589)*INDEX('2018_commission_structure'!$A$5:$J$8,MATCH(Calculations!$E589,'2018_commission_structure'!$A$5:$A$8,0),MATCH(Calculations!W$1,'2018_commission_structure'!$A$5:$J$5,0)),0)</f>
        <v>27000</v>
      </c>
      <c r="X589" s="2">
        <f>IF($H589&gt;J589,MIN($H589-J589,K589-J589)*INDEX('2018_commission_structure'!$A$5:$J$8,MATCH(Calculations!$E589,'2018_commission_structure'!$A$5:$A$8,0),MATCH(Calculations!X$1,'2018_commission_structure'!$A$5:$J$5,0)),0)</f>
        <v>37500</v>
      </c>
      <c r="Y589" s="2">
        <f>IF($H589&gt;K589,MIN($H589-K589,L589-K589)*INDEX('2018_commission_structure'!$A$5:$J$8,MATCH(Calculations!$E589,'2018_commission_structure'!$A$5:$A$8,0),MATCH(Calculations!Y$1,'2018_commission_structure'!$A$5:$J$5,0)),0)</f>
        <v>68142.599999999991</v>
      </c>
      <c r="Z589" s="2">
        <f xml:space="preserve"> IF(H589&gt;L589,(H589-L589)*INDEX('2018_commission_structure'!$A$11:$I$14,MATCH(Calculations!$E589,'2018_commission_structure'!$A$11:$A$14,0),MATCH(Calculations!Z$1,'2018_commission_structure'!$A$11:$I$11,0)),0)</f>
        <v>0</v>
      </c>
      <c r="AA589" s="7">
        <f t="shared" si="88"/>
        <v>222642.59999999998</v>
      </c>
      <c r="AB589" s="7">
        <f t="shared" si="89"/>
        <v>278379.59999999998</v>
      </c>
    </row>
    <row r="590" spans="1:28" x14ac:dyDescent="0.25">
      <c r="A590">
        <v>8533410514</v>
      </c>
      <c r="B590" t="s">
        <v>1700</v>
      </c>
      <c r="C590" t="s">
        <v>1701</v>
      </c>
      <c r="D590" t="str">
        <f>B590&amp;" "&amp;C590</f>
        <v>Xylia Manshaw</v>
      </c>
      <c r="E590" t="s">
        <v>29</v>
      </c>
      <c r="F590">
        <v>60161</v>
      </c>
      <c r="G590">
        <f>COUNTIF(deals_closed!D:D,Calculations!A590)</f>
        <v>26</v>
      </c>
      <c r="H590" s="2">
        <f>SUMIF(deals_closed!D:D,Calculations!A590,deals_closed!C:C)</f>
        <v>991891</v>
      </c>
      <c r="I590" s="2">
        <f>VLOOKUP(E590,'2018_commission_structure'!$A$11:$I$14,9,FALSE)</f>
        <v>600000</v>
      </c>
      <c r="J590" s="2">
        <f t="shared" si="81"/>
        <v>750000</v>
      </c>
      <c r="K590" s="2">
        <f t="shared" si="82"/>
        <v>900000</v>
      </c>
      <c r="L590" s="2">
        <f t="shared" si="83"/>
        <v>1200000</v>
      </c>
      <c r="M590" s="6">
        <f t="shared" si="84"/>
        <v>1.6531516666666666</v>
      </c>
      <c r="N590" t="str">
        <f t="shared" si="85"/>
        <v>150-200%</v>
      </c>
      <c r="O590" s="7">
        <f>MIN(I590,H590)*INDEX('2018_commission_structure'!$A$11:$I$14,MATCH(Calculations!$E590,'2018_commission_structure'!$A$11:$A$14,0),MATCH(Calculations!O$1,'2018_commission_structure'!$A$11:$I$11,0))</f>
        <v>78000</v>
      </c>
      <c r="P590" s="7">
        <f>IF($H590&gt;I590,MIN($H590-I590,J590-I590)*INDEX('2018_commission_structure'!$A$11:$I$14,MATCH(Calculations!$E590,'2018_commission_structure'!$A$11:$A$14,0), MATCH(Calculations!P$1,'2018_commission_structure'!$A$11:$I$11,0)),0)</f>
        <v>25500.000000000004</v>
      </c>
      <c r="Q590" s="7">
        <f>IF($H590&gt;J590,MIN($H590-J590,K590-J590)*INDEX('2018_commission_structure'!$A$11:$I$14,MATCH(Calculations!$E590,'2018_commission_structure'!$A$11:$A$14,0), MATCH(Calculations!Q$1,'2018_commission_structure'!$A$11:$I$11,0)),0)</f>
        <v>31500</v>
      </c>
      <c r="R590" s="7">
        <f>IF($H590&gt;K590,MIN($H590-K590,L590-K590)*INDEX('2018_commission_structure'!$A$11:$I$14,MATCH(Calculations!$E590,'2018_commission_structure'!$A$11:$A$14,0), MATCH(Calculations!R$1,'2018_commission_structure'!$A$11:$I$11,0)),0)</f>
        <v>23891.66</v>
      </c>
      <c r="S590" s="7">
        <f>IF(H590&gt;L590,(H590-L590)*INDEX('2018_commission_structure'!$A$11:$I$14,MATCH(Calculations!$E590,'2018_commission_structure'!$A$11:$A$14,0),MATCH(Calculations!S$1,'2018_commission_structure'!$A$11:$I$11,0)),0)</f>
        <v>0</v>
      </c>
      <c r="T590" s="7">
        <f t="shared" si="86"/>
        <v>158891.66</v>
      </c>
      <c r="U590" s="7">
        <f t="shared" si="87"/>
        <v>219052.66</v>
      </c>
      <c r="V590" s="7">
        <f>MIN(H590,I590)*INDEX('2018_commission_structure'!$A$5:$J$8,MATCH(Calculations!$E590,'2018_commission_structure'!$A$5:$A$8,0),MATCH(Calculations!V$1,'2018_commission_structure'!$A$5:$J$5,0))</f>
        <v>90000</v>
      </c>
      <c r="W590" s="2">
        <f>IF($H590&gt;I590,MIN($H590-I590,J590-I590)*INDEX('2018_commission_structure'!$A$5:$J$8,MATCH(Calculations!$E590,'2018_commission_structure'!$A$5:$A$8,0),MATCH(Calculations!W$1,'2018_commission_structure'!$A$5:$J$5,0)),0)</f>
        <v>27000</v>
      </c>
      <c r="X590" s="2">
        <f>IF($H590&gt;J590,MIN($H590-J590,K590-J590)*INDEX('2018_commission_structure'!$A$5:$J$8,MATCH(Calculations!$E590,'2018_commission_structure'!$A$5:$A$8,0),MATCH(Calculations!X$1,'2018_commission_structure'!$A$5:$J$5,0)),0)</f>
        <v>37500</v>
      </c>
      <c r="Y590" s="2">
        <f>IF($H590&gt;K590,MIN($H590-K590,L590-K590)*INDEX('2018_commission_structure'!$A$5:$J$8,MATCH(Calculations!$E590,'2018_commission_structure'!$A$5:$A$8,0),MATCH(Calculations!Y$1,'2018_commission_structure'!$A$5:$J$5,0)),0)</f>
        <v>27567.3</v>
      </c>
      <c r="Z590" s="2">
        <f xml:space="preserve"> IF(H590&gt;L590,(H590-L590)*INDEX('2018_commission_structure'!$A$11:$I$14,MATCH(Calculations!$E590,'2018_commission_structure'!$A$11:$A$14,0),MATCH(Calculations!Z$1,'2018_commission_structure'!$A$11:$I$11,0)),0)</f>
        <v>0</v>
      </c>
      <c r="AA590" s="7">
        <f t="shared" si="88"/>
        <v>182067.3</v>
      </c>
      <c r="AB590" s="7">
        <f t="shared" si="89"/>
        <v>242228.3</v>
      </c>
    </row>
    <row r="591" spans="1:28" x14ac:dyDescent="0.25">
      <c r="A591">
        <v>9229113786</v>
      </c>
      <c r="B591" t="s">
        <v>781</v>
      </c>
      <c r="C591" t="s">
        <v>782</v>
      </c>
      <c r="D591" t="str">
        <f>B591&amp;" "&amp;C591</f>
        <v>Chas Manthorpe</v>
      </c>
      <c r="E591" t="s">
        <v>7</v>
      </c>
      <c r="F591">
        <v>64025</v>
      </c>
      <c r="G591">
        <f>COUNTIF(deals_closed!D:D,Calculations!A591)</f>
        <v>11</v>
      </c>
      <c r="H591" s="2">
        <f>SUMIF(deals_closed!D:D,Calculations!A591,deals_closed!C:C)</f>
        <v>373695</v>
      </c>
      <c r="I591" s="2">
        <f>VLOOKUP(E591,'2018_commission_structure'!$A$11:$I$14,9,FALSE)</f>
        <v>500000</v>
      </c>
      <c r="J591" s="2">
        <f t="shared" si="81"/>
        <v>625000</v>
      </c>
      <c r="K591" s="2">
        <f t="shared" si="82"/>
        <v>750000</v>
      </c>
      <c r="L591" s="2">
        <f t="shared" si="83"/>
        <v>1000000</v>
      </c>
      <c r="M591" s="6">
        <f t="shared" si="84"/>
        <v>0.74739</v>
      </c>
      <c r="N591" t="str">
        <f t="shared" si="85"/>
        <v>0-100%</v>
      </c>
      <c r="O591" s="7">
        <f>MIN(I591,H591)*INDEX('2018_commission_structure'!$A$11:$I$14,MATCH(Calculations!$E591,'2018_commission_structure'!$A$11:$A$14,0),MATCH(Calculations!O$1,'2018_commission_structure'!$A$11:$I$11,0))</f>
        <v>37369.5</v>
      </c>
      <c r="P591" s="7">
        <f>IF($H591&gt;I591,MIN($H591-I591,J591-I591)*INDEX('2018_commission_structure'!$A$11:$I$14,MATCH(Calculations!$E591,'2018_commission_structure'!$A$11:$A$14,0), MATCH(Calculations!P$1,'2018_commission_structure'!$A$11:$I$11,0)),0)</f>
        <v>0</v>
      </c>
      <c r="Q591" s="7">
        <f>IF($H591&gt;J591,MIN($H591-J591,K591-J591)*INDEX('2018_commission_structure'!$A$11:$I$14,MATCH(Calculations!$E591,'2018_commission_structure'!$A$11:$A$14,0), MATCH(Calculations!Q$1,'2018_commission_structure'!$A$11:$I$11,0)),0)</f>
        <v>0</v>
      </c>
      <c r="R591" s="7">
        <f>IF($H591&gt;K591,MIN($H591-K591,L591-K591)*INDEX('2018_commission_structure'!$A$11:$I$14,MATCH(Calculations!$E591,'2018_commission_structure'!$A$11:$A$14,0), MATCH(Calculations!R$1,'2018_commission_structure'!$A$11:$I$11,0)),0)</f>
        <v>0</v>
      </c>
      <c r="S591" s="7">
        <f>IF(H591&gt;L591,(H591-L591)*INDEX('2018_commission_structure'!$A$11:$I$14,MATCH(Calculations!$E591,'2018_commission_structure'!$A$11:$A$14,0),MATCH(Calculations!S$1,'2018_commission_structure'!$A$11:$I$11,0)),0)</f>
        <v>0</v>
      </c>
      <c r="T591" s="7">
        <f t="shared" si="86"/>
        <v>37369.5</v>
      </c>
      <c r="U591" s="7">
        <f t="shared" si="87"/>
        <v>101394.5</v>
      </c>
      <c r="V591" s="7">
        <f>MIN(H591,I591)*INDEX('2018_commission_structure'!$A$5:$J$8,MATCH(Calculations!$E591,'2018_commission_structure'!$A$5:$A$8,0),MATCH(Calculations!V$1,'2018_commission_structure'!$A$5:$J$5,0))</f>
        <v>44843.4</v>
      </c>
      <c r="W591" s="2">
        <f>IF($H591&gt;I591,MIN($H591-I591,J591-I591)*INDEX('2018_commission_structure'!$A$5:$J$8,MATCH(Calculations!$E591,'2018_commission_structure'!$A$5:$A$8,0),MATCH(Calculations!W$1,'2018_commission_structure'!$A$5:$J$5,0)),0)</f>
        <v>0</v>
      </c>
      <c r="X591" s="2">
        <f>IF($H591&gt;J591,MIN($H591-J591,K591-J591)*INDEX('2018_commission_structure'!$A$5:$J$8,MATCH(Calculations!$E591,'2018_commission_structure'!$A$5:$A$8,0),MATCH(Calculations!X$1,'2018_commission_structure'!$A$5:$J$5,0)),0)</f>
        <v>0</v>
      </c>
      <c r="Y591" s="2">
        <f>IF($H591&gt;K591,MIN($H591-K591,L591-K591)*INDEX('2018_commission_structure'!$A$5:$J$8,MATCH(Calculations!$E591,'2018_commission_structure'!$A$5:$A$8,0),MATCH(Calculations!Y$1,'2018_commission_structure'!$A$5:$J$5,0)),0)</f>
        <v>0</v>
      </c>
      <c r="Z591" s="2">
        <f xml:space="preserve"> IF(H591&gt;L591,(H591-L591)*INDEX('2018_commission_structure'!$A$11:$I$14,MATCH(Calculations!$E591,'2018_commission_structure'!$A$11:$A$14,0),MATCH(Calculations!Z$1,'2018_commission_structure'!$A$11:$I$11,0)),0)</f>
        <v>0</v>
      </c>
      <c r="AA591" s="7">
        <f t="shared" si="88"/>
        <v>44843.4</v>
      </c>
      <c r="AB591" s="7">
        <f t="shared" si="89"/>
        <v>108868.4</v>
      </c>
    </row>
    <row r="592" spans="1:28" x14ac:dyDescent="0.25">
      <c r="A592">
        <v>8462409454</v>
      </c>
      <c r="B592" t="s">
        <v>813</v>
      </c>
      <c r="C592" t="s">
        <v>814</v>
      </c>
      <c r="D592" t="str">
        <f>B592&amp;" "&amp;C592</f>
        <v>Jesus Mantle</v>
      </c>
      <c r="E592" t="s">
        <v>29</v>
      </c>
      <c r="F592">
        <v>78799</v>
      </c>
      <c r="G592">
        <f>COUNTIF(deals_closed!D:D,Calculations!A592)</f>
        <v>17</v>
      </c>
      <c r="H592" s="2">
        <f>SUMIF(deals_closed!D:D,Calculations!A592,deals_closed!C:C)</f>
        <v>622486</v>
      </c>
      <c r="I592" s="2">
        <f>VLOOKUP(E592,'2018_commission_structure'!$A$11:$I$14,9,FALSE)</f>
        <v>600000</v>
      </c>
      <c r="J592" s="2">
        <f t="shared" si="81"/>
        <v>750000</v>
      </c>
      <c r="K592" s="2">
        <f t="shared" si="82"/>
        <v>900000</v>
      </c>
      <c r="L592" s="2">
        <f t="shared" si="83"/>
        <v>1200000</v>
      </c>
      <c r="M592" s="6">
        <f t="shared" si="84"/>
        <v>1.0374766666666666</v>
      </c>
      <c r="N592" t="str">
        <f t="shared" si="85"/>
        <v>100-125%</v>
      </c>
      <c r="O592" s="7">
        <f>MIN(I592,H592)*INDEX('2018_commission_structure'!$A$11:$I$14,MATCH(Calculations!$E592,'2018_commission_structure'!$A$11:$A$14,0),MATCH(Calculations!O$1,'2018_commission_structure'!$A$11:$I$11,0))</f>
        <v>78000</v>
      </c>
      <c r="P592" s="7">
        <f>IF($H592&gt;I592,MIN($H592-I592,J592-I592)*INDEX('2018_commission_structure'!$A$11:$I$14,MATCH(Calculations!$E592,'2018_commission_structure'!$A$11:$A$14,0), MATCH(Calculations!P$1,'2018_commission_structure'!$A$11:$I$11,0)),0)</f>
        <v>3822.6200000000003</v>
      </c>
      <c r="Q592" s="7">
        <f>IF($H592&gt;J592,MIN($H592-J592,K592-J592)*INDEX('2018_commission_structure'!$A$11:$I$14,MATCH(Calculations!$E592,'2018_commission_structure'!$A$11:$A$14,0), MATCH(Calculations!Q$1,'2018_commission_structure'!$A$11:$I$11,0)),0)</f>
        <v>0</v>
      </c>
      <c r="R592" s="7">
        <f>IF($H592&gt;K592,MIN($H592-K592,L592-K592)*INDEX('2018_commission_structure'!$A$11:$I$14,MATCH(Calculations!$E592,'2018_commission_structure'!$A$11:$A$14,0), MATCH(Calculations!R$1,'2018_commission_structure'!$A$11:$I$11,0)),0)</f>
        <v>0</v>
      </c>
      <c r="S592" s="7">
        <f>IF(H592&gt;L592,(H592-L592)*INDEX('2018_commission_structure'!$A$11:$I$14,MATCH(Calculations!$E592,'2018_commission_structure'!$A$11:$A$14,0),MATCH(Calculations!S$1,'2018_commission_structure'!$A$11:$I$11,0)),0)</f>
        <v>0</v>
      </c>
      <c r="T592" s="7">
        <f t="shared" si="86"/>
        <v>81822.62</v>
      </c>
      <c r="U592" s="7">
        <f t="shared" si="87"/>
        <v>160621.62</v>
      </c>
      <c r="V592" s="7">
        <f>MIN(H592,I592)*INDEX('2018_commission_structure'!$A$5:$J$8,MATCH(Calculations!$E592,'2018_commission_structure'!$A$5:$A$8,0),MATCH(Calculations!V$1,'2018_commission_structure'!$A$5:$J$5,0))</f>
        <v>90000</v>
      </c>
      <c r="W592" s="2">
        <f>IF($H592&gt;I592,MIN($H592-I592,J592-I592)*INDEX('2018_commission_structure'!$A$5:$J$8,MATCH(Calculations!$E592,'2018_commission_structure'!$A$5:$A$8,0),MATCH(Calculations!W$1,'2018_commission_structure'!$A$5:$J$5,0)),0)</f>
        <v>4047.48</v>
      </c>
      <c r="X592" s="2">
        <f>IF($H592&gt;J592,MIN($H592-J592,K592-J592)*INDEX('2018_commission_structure'!$A$5:$J$8,MATCH(Calculations!$E592,'2018_commission_structure'!$A$5:$A$8,0),MATCH(Calculations!X$1,'2018_commission_structure'!$A$5:$J$5,0)),0)</f>
        <v>0</v>
      </c>
      <c r="Y592" s="2">
        <f>IF($H592&gt;K592,MIN($H592-K592,L592-K592)*INDEX('2018_commission_structure'!$A$5:$J$8,MATCH(Calculations!$E592,'2018_commission_structure'!$A$5:$A$8,0),MATCH(Calculations!Y$1,'2018_commission_structure'!$A$5:$J$5,0)),0)</f>
        <v>0</v>
      </c>
      <c r="Z592" s="2">
        <f xml:space="preserve"> IF(H592&gt;L592,(H592-L592)*INDEX('2018_commission_structure'!$A$11:$I$14,MATCH(Calculations!$E592,'2018_commission_structure'!$A$11:$A$14,0),MATCH(Calculations!Z$1,'2018_commission_structure'!$A$11:$I$11,0)),0)</f>
        <v>0</v>
      </c>
      <c r="AA592" s="7">
        <f t="shared" si="88"/>
        <v>94047.48</v>
      </c>
      <c r="AB592" s="7">
        <f t="shared" si="89"/>
        <v>172846.47999999998</v>
      </c>
    </row>
    <row r="593" spans="1:28" x14ac:dyDescent="0.25">
      <c r="A593">
        <v>8904404991</v>
      </c>
      <c r="B593" t="s">
        <v>1843</v>
      </c>
      <c r="C593" t="s">
        <v>1844</v>
      </c>
      <c r="D593" t="str">
        <f>B593&amp;" "&amp;C593</f>
        <v>Quintin Marc</v>
      </c>
      <c r="E593" t="s">
        <v>29</v>
      </c>
      <c r="F593">
        <v>79473</v>
      </c>
      <c r="G593">
        <f>COUNTIF(deals_closed!D:D,Calculations!A593)</f>
        <v>20</v>
      </c>
      <c r="H593" s="2">
        <f>SUMIF(deals_closed!D:D,Calculations!A593,deals_closed!C:C)</f>
        <v>808753</v>
      </c>
      <c r="I593" s="2">
        <f>VLOOKUP(E593,'2018_commission_structure'!$A$11:$I$14,9,FALSE)</f>
        <v>600000</v>
      </c>
      <c r="J593" s="2">
        <f t="shared" si="81"/>
        <v>750000</v>
      </c>
      <c r="K593" s="2">
        <f t="shared" si="82"/>
        <v>900000</v>
      </c>
      <c r="L593" s="2">
        <f t="shared" si="83"/>
        <v>1200000</v>
      </c>
      <c r="M593" s="6">
        <f t="shared" si="84"/>
        <v>1.3479216666666667</v>
      </c>
      <c r="N593" t="str">
        <f t="shared" si="85"/>
        <v>125-150%</v>
      </c>
      <c r="O593" s="7">
        <f>MIN(I593,H593)*INDEX('2018_commission_structure'!$A$11:$I$14,MATCH(Calculations!$E593,'2018_commission_structure'!$A$11:$A$14,0),MATCH(Calculations!O$1,'2018_commission_structure'!$A$11:$I$11,0))</f>
        <v>78000</v>
      </c>
      <c r="P593" s="7">
        <f>IF($H593&gt;I593,MIN($H593-I593,J593-I593)*INDEX('2018_commission_structure'!$A$11:$I$14,MATCH(Calculations!$E593,'2018_commission_structure'!$A$11:$A$14,0), MATCH(Calculations!P$1,'2018_commission_structure'!$A$11:$I$11,0)),0)</f>
        <v>25500.000000000004</v>
      </c>
      <c r="Q593" s="7">
        <f>IF($H593&gt;J593,MIN($H593-J593,K593-J593)*INDEX('2018_commission_structure'!$A$11:$I$14,MATCH(Calculations!$E593,'2018_commission_structure'!$A$11:$A$14,0), MATCH(Calculations!Q$1,'2018_commission_structure'!$A$11:$I$11,0)),0)</f>
        <v>12338.13</v>
      </c>
      <c r="R593" s="7">
        <f>IF($H593&gt;K593,MIN($H593-K593,L593-K593)*INDEX('2018_commission_structure'!$A$11:$I$14,MATCH(Calculations!$E593,'2018_commission_structure'!$A$11:$A$14,0), MATCH(Calculations!R$1,'2018_commission_structure'!$A$11:$I$11,0)),0)</f>
        <v>0</v>
      </c>
      <c r="S593" s="7">
        <f>IF(H593&gt;L593,(H593-L593)*INDEX('2018_commission_structure'!$A$11:$I$14,MATCH(Calculations!$E593,'2018_commission_structure'!$A$11:$A$14,0),MATCH(Calculations!S$1,'2018_commission_structure'!$A$11:$I$11,0)),0)</f>
        <v>0</v>
      </c>
      <c r="T593" s="7">
        <f t="shared" si="86"/>
        <v>115838.13</v>
      </c>
      <c r="U593" s="7">
        <f t="shared" si="87"/>
        <v>195311.13</v>
      </c>
      <c r="V593" s="7">
        <f>MIN(H593,I593)*INDEX('2018_commission_structure'!$A$5:$J$8,MATCH(Calculations!$E593,'2018_commission_structure'!$A$5:$A$8,0),MATCH(Calculations!V$1,'2018_commission_structure'!$A$5:$J$5,0))</f>
        <v>90000</v>
      </c>
      <c r="W593" s="2">
        <f>IF($H593&gt;I593,MIN($H593-I593,J593-I593)*INDEX('2018_commission_structure'!$A$5:$J$8,MATCH(Calculations!$E593,'2018_commission_structure'!$A$5:$A$8,0),MATCH(Calculations!W$1,'2018_commission_structure'!$A$5:$J$5,0)),0)</f>
        <v>27000</v>
      </c>
      <c r="X593" s="2">
        <f>IF($H593&gt;J593,MIN($H593-J593,K593-J593)*INDEX('2018_commission_structure'!$A$5:$J$8,MATCH(Calculations!$E593,'2018_commission_structure'!$A$5:$A$8,0),MATCH(Calculations!X$1,'2018_commission_structure'!$A$5:$J$5,0)),0)</f>
        <v>14688.25</v>
      </c>
      <c r="Y593" s="2">
        <f>IF($H593&gt;K593,MIN($H593-K593,L593-K593)*INDEX('2018_commission_structure'!$A$5:$J$8,MATCH(Calculations!$E593,'2018_commission_structure'!$A$5:$A$8,0),MATCH(Calculations!Y$1,'2018_commission_structure'!$A$5:$J$5,0)),0)</f>
        <v>0</v>
      </c>
      <c r="Z593" s="2">
        <f xml:space="preserve"> IF(H593&gt;L593,(H593-L593)*INDEX('2018_commission_structure'!$A$11:$I$14,MATCH(Calculations!$E593,'2018_commission_structure'!$A$11:$A$14,0),MATCH(Calculations!Z$1,'2018_commission_structure'!$A$11:$I$11,0)),0)</f>
        <v>0</v>
      </c>
      <c r="AA593" s="7">
        <f t="shared" si="88"/>
        <v>131688.25</v>
      </c>
      <c r="AB593" s="7">
        <f t="shared" si="89"/>
        <v>211161.25</v>
      </c>
    </row>
    <row r="594" spans="1:28" x14ac:dyDescent="0.25">
      <c r="A594">
        <v>9727426344</v>
      </c>
      <c r="B594" t="s">
        <v>1601</v>
      </c>
      <c r="C594" t="s">
        <v>1602</v>
      </c>
      <c r="D594" t="str">
        <f>B594&amp;" "&amp;C594</f>
        <v>Kendra March</v>
      </c>
      <c r="E594" t="s">
        <v>10</v>
      </c>
      <c r="F594">
        <v>78393</v>
      </c>
      <c r="G594">
        <f>COUNTIF(deals_closed!D:D,Calculations!A594)</f>
        <v>10</v>
      </c>
      <c r="H594" s="2">
        <f>SUMIF(deals_closed!D:D,Calculations!A594,deals_closed!C:C)</f>
        <v>351514</v>
      </c>
      <c r="I594" s="2">
        <f>VLOOKUP(E594,'2018_commission_structure'!$A$11:$I$14,9,FALSE)</f>
        <v>750000</v>
      </c>
      <c r="J594" s="2">
        <f t="shared" si="81"/>
        <v>937500</v>
      </c>
      <c r="K594" s="2">
        <f t="shared" si="82"/>
        <v>1125000</v>
      </c>
      <c r="L594" s="2">
        <f t="shared" si="83"/>
        <v>1500000</v>
      </c>
      <c r="M594" s="6">
        <f t="shared" si="84"/>
        <v>0.46868533333333334</v>
      </c>
      <c r="N594" t="str">
        <f t="shared" si="85"/>
        <v>0-100%</v>
      </c>
      <c r="O594" s="7">
        <f>MIN(I594,H594)*INDEX('2018_commission_structure'!$A$11:$I$14,MATCH(Calculations!$E594,'2018_commission_structure'!$A$11:$A$14,0),MATCH(Calculations!O$1,'2018_commission_structure'!$A$11:$I$11,0))</f>
        <v>52727.1</v>
      </c>
      <c r="P594" s="7">
        <f>IF($H594&gt;I594,MIN($H594-I594,J594-I594)*INDEX('2018_commission_structure'!$A$11:$I$14,MATCH(Calculations!$E594,'2018_commission_structure'!$A$11:$A$14,0), MATCH(Calculations!P$1,'2018_commission_structure'!$A$11:$I$11,0)),0)</f>
        <v>0</v>
      </c>
      <c r="Q594" s="7">
        <f>IF($H594&gt;J594,MIN($H594-J594,K594-J594)*INDEX('2018_commission_structure'!$A$11:$I$14,MATCH(Calculations!$E594,'2018_commission_structure'!$A$11:$A$14,0), MATCH(Calculations!Q$1,'2018_commission_structure'!$A$11:$I$11,0)),0)</f>
        <v>0</v>
      </c>
      <c r="R594" s="7">
        <f>IF($H594&gt;K594,MIN($H594-K594,L594-K594)*INDEX('2018_commission_structure'!$A$11:$I$14,MATCH(Calculations!$E594,'2018_commission_structure'!$A$11:$A$14,0), MATCH(Calculations!R$1,'2018_commission_structure'!$A$11:$I$11,0)),0)</f>
        <v>0</v>
      </c>
      <c r="S594" s="7">
        <f>IF(H594&gt;L594,(H594-L594)*INDEX('2018_commission_structure'!$A$11:$I$14,MATCH(Calculations!$E594,'2018_commission_structure'!$A$11:$A$14,0),MATCH(Calculations!S$1,'2018_commission_structure'!$A$11:$I$11,0)),0)</f>
        <v>0</v>
      </c>
      <c r="T594" s="7">
        <f t="shared" si="86"/>
        <v>52727.1</v>
      </c>
      <c r="U594" s="7">
        <f t="shared" si="87"/>
        <v>131120.1</v>
      </c>
      <c r="V594" s="7">
        <f>MIN(H594,I594)*INDEX('2018_commission_structure'!$A$5:$J$8,MATCH(Calculations!$E594,'2018_commission_structure'!$A$5:$A$8,0),MATCH(Calculations!V$1,'2018_commission_structure'!$A$5:$J$5,0))</f>
        <v>52727.1</v>
      </c>
      <c r="W594" s="2">
        <f>IF($H594&gt;I594,MIN($H594-I594,J594-I594)*INDEX('2018_commission_structure'!$A$5:$J$8,MATCH(Calculations!$E594,'2018_commission_structure'!$A$5:$A$8,0),MATCH(Calculations!W$1,'2018_commission_structure'!$A$5:$J$5,0)),0)</f>
        <v>0</v>
      </c>
      <c r="X594" s="2">
        <f>IF($H594&gt;J594,MIN($H594-J594,K594-J594)*INDEX('2018_commission_structure'!$A$5:$J$8,MATCH(Calculations!$E594,'2018_commission_structure'!$A$5:$A$8,0),MATCH(Calculations!X$1,'2018_commission_structure'!$A$5:$J$5,0)),0)</f>
        <v>0</v>
      </c>
      <c r="Y594" s="2">
        <f>IF($H594&gt;K594,MIN($H594-K594,L594-K594)*INDEX('2018_commission_structure'!$A$5:$J$8,MATCH(Calculations!$E594,'2018_commission_structure'!$A$5:$A$8,0),MATCH(Calculations!Y$1,'2018_commission_structure'!$A$5:$J$5,0)),0)</f>
        <v>0</v>
      </c>
      <c r="Z594" s="2">
        <f xml:space="preserve"> IF(H594&gt;L594,(H594-L594)*INDEX('2018_commission_structure'!$A$11:$I$14,MATCH(Calculations!$E594,'2018_commission_structure'!$A$11:$A$14,0),MATCH(Calculations!Z$1,'2018_commission_structure'!$A$11:$I$11,0)),0)</f>
        <v>0</v>
      </c>
      <c r="AA594" s="7">
        <f t="shared" si="88"/>
        <v>52727.1</v>
      </c>
      <c r="AB594" s="7">
        <f t="shared" si="89"/>
        <v>131120.1</v>
      </c>
    </row>
    <row r="595" spans="1:28" x14ac:dyDescent="0.25">
      <c r="A595">
        <v>5907724676</v>
      </c>
      <c r="B595" t="s">
        <v>525</v>
      </c>
      <c r="C595" t="s">
        <v>526</v>
      </c>
      <c r="D595" t="str">
        <f>B595&amp;" "&amp;C595</f>
        <v>Laird Margiotta</v>
      </c>
      <c r="E595" t="s">
        <v>29</v>
      </c>
      <c r="F595">
        <v>75197</v>
      </c>
      <c r="G595">
        <f>COUNTIF(deals_closed!D:D,Calculations!A595)</f>
        <v>19</v>
      </c>
      <c r="H595" s="2">
        <f>SUMIF(deals_closed!D:D,Calculations!A595,deals_closed!C:C)</f>
        <v>673446</v>
      </c>
      <c r="I595" s="2">
        <f>VLOOKUP(E595,'2018_commission_structure'!$A$11:$I$14,9,FALSE)</f>
        <v>600000</v>
      </c>
      <c r="J595" s="2">
        <f t="shared" si="81"/>
        <v>750000</v>
      </c>
      <c r="K595" s="2">
        <f t="shared" si="82"/>
        <v>900000</v>
      </c>
      <c r="L595" s="2">
        <f t="shared" si="83"/>
        <v>1200000</v>
      </c>
      <c r="M595" s="6">
        <f t="shared" si="84"/>
        <v>1.1224099999999999</v>
      </c>
      <c r="N595" t="str">
        <f t="shared" si="85"/>
        <v>100-125%</v>
      </c>
      <c r="O595" s="7">
        <f>MIN(I595,H595)*INDEX('2018_commission_structure'!$A$11:$I$14,MATCH(Calculations!$E595,'2018_commission_structure'!$A$11:$A$14,0),MATCH(Calculations!O$1,'2018_commission_structure'!$A$11:$I$11,0))</f>
        <v>78000</v>
      </c>
      <c r="P595" s="7">
        <f>IF($H595&gt;I595,MIN($H595-I595,J595-I595)*INDEX('2018_commission_structure'!$A$11:$I$14,MATCH(Calculations!$E595,'2018_commission_structure'!$A$11:$A$14,0), MATCH(Calculations!P$1,'2018_commission_structure'!$A$11:$I$11,0)),0)</f>
        <v>12485.820000000002</v>
      </c>
      <c r="Q595" s="7">
        <f>IF($H595&gt;J595,MIN($H595-J595,K595-J595)*INDEX('2018_commission_structure'!$A$11:$I$14,MATCH(Calculations!$E595,'2018_commission_structure'!$A$11:$A$14,0), MATCH(Calculations!Q$1,'2018_commission_structure'!$A$11:$I$11,0)),0)</f>
        <v>0</v>
      </c>
      <c r="R595" s="7">
        <f>IF($H595&gt;K595,MIN($H595-K595,L595-K595)*INDEX('2018_commission_structure'!$A$11:$I$14,MATCH(Calculations!$E595,'2018_commission_structure'!$A$11:$A$14,0), MATCH(Calculations!R$1,'2018_commission_structure'!$A$11:$I$11,0)),0)</f>
        <v>0</v>
      </c>
      <c r="S595" s="7">
        <f>IF(H595&gt;L595,(H595-L595)*INDEX('2018_commission_structure'!$A$11:$I$14,MATCH(Calculations!$E595,'2018_commission_structure'!$A$11:$A$14,0),MATCH(Calculations!S$1,'2018_commission_structure'!$A$11:$I$11,0)),0)</f>
        <v>0</v>
      </c>
      <c r="T595" s="7">
        <f t="shared" si="86"/>
        <v>90485.82</v>
      </c>
      <c r="U595" s="7">
        <f t="shared" si="87"/>
        <v>165682.82</v>
      </c>
      <c r="V595" s="7">
        <f>MIN(H595,I595)*INDEX('2018_commission_structure'!$A$5:$J$8,MATCH(Calculations!$E595,'2018_commission_structure'!$A$5:$A$8,0),MATCH(Calculations!V$1,'2018_commission_structure'!$A$5:$J$5,0))</f>
        <v>90000</v>
      </c>
      <c r="W595" s="2">
        <f>IF($H595&gt;I595,MIN($H595-I595,J595-I595)*INDEX('2018_commission_structure'!$A$5:$J$8,MATCH(Calculations!$E595,'2018_commission_structure'!$A$5:$A$8,0),MATCH(Calculations!W$1,'2018_commission_structure'!$A$5:$J$5,0)),0)</f>
        <v>13220.279999999999</v>
      </c>
      <c r="X595" s="2">
        <f>IF($H595&gt;J595,MIN($H595-J595,K595-J595)*INDEX('2018_commission_structure'!$A$5:$J$8,MATCH(Calculations!$E595,'2018_commission_structure'!$A$5:$A$8,0),MATCH(Calculations!X$1,'2018_commission_structure'!$A$5:$J$5,0)),0)</f>
        <v>0</v>
      </c>
      <c r="Y595" s="2">
        <f>IF($H595&gt;K595,MIN($H595-K595,L595-K595)*INDEX('2018_commission_structure'!$A$5:$J$8,MATCH(Calculations!$E595,'2018_commission_structure'!$A$5:$A$8,0),MATCH(Calculations!Y$1,'2018_commission_structure'!$A$5:$J$5,0)),0)</f>
        <v>0</v>
      </c>
      <c r="Z595" s="2">
        <f xml:space="preserve"> IF(H595&gt;L595,(H595-L595)*INDEX('2018_commission_structure'!$A$11:$I$14,MATCH(Calculations!$E595,'2018_commission_structure'!$A$11:$A$14,0),MATCH(Calculations!Z$1,'2018_commission_structure'!$A$11:$I$11,0)),0)</f>
        <v>0</v>
      </c>
      <c r="AA595" s="7">
        <f t="shared" si="88"/>
        <v>103220.28</v>
      </c>
      <c r="AB595" s="7">
        <f t="shared" si="89"/>
        <v>178417.28</v>
      </c>
    </row>
    <row r="596" spans="1:28" x14ac:dyDescent="0.25">
      <c r="A596">
        <v>7585281072</v>
      </c>
      <c r="B596" t="s">
        <v>1191</v>
      </c>
      <c r="C596" t="s">
        <v>1192</v>
      </c>
      <c r="D596" t="str">
        <f>B596&amp;" "&amp;C596</f>
        <v>Marie-jeanne Marrow</v>
      </c>
      <c r="E596" t="s">
        <v>7</v>
      </c>
      <c r="F596">
        <v>48015</v>
      </c>
      <c r="G596">
        <f>COUNTIF(deals_closed!D:D,Calculations!A596)</f>
        <v>16</v>
      </c>
      <c r="H596" s="2">
        <f>SUMIF(deals_closed!D:D,Calculations!A596,deals_closed!C:C)</f>
        <v>492886</v>
      </c>
      <c r="I596" s="2">
        <f>VLOOKUP(E596,'2018_commission_structure'!$A$11:$I$14,9,FALSE)</f>
        <v>500000</v>
      </c>
      <c r="J596" s="2">
        <f t="shared" si="81"/>
        <v>625000</v>
      </c>
      <c r="K596" s="2">
        <f t="shared" si="82"/>
        <v>750000</v>
      </c>
      <c r="L596" s="2">
        <f t="shared" si="83"/>
        <v>1000000</v>
      </c>
      <c r="M596" s="6">
        <f t="shared" si="84"/>
        <v>0.98577199999999998</v>
      </c>
      <c r="N596" t="str">
        <f t="shared" si="85"/>
        <v>0-100%</v>
      </c>
      <c r="O596" s="7">
        <f>MIN(I596,H596)*INDEX('2018_commission_structure'!$A$11:$I$14,MATCH(Calculations!$E596,'2018_commission_structure'!$A$11:$A$14,0),MATCH(Calculations!O$1,'2018_commission_structure'!$A$11:$I$11,0))</f>
        <v>49288.600000000006</v>
      </c>
      <c r="P596" s="7">
        <f>IF($H596&gt;I596,MIN($H596-I596,J596-I596)*INDEX('2018_commission_structure'!$A$11:$I$14,MATCH(Calculations!$E596,'2018_commission_structure'!$A$11:$A$14,0), MATCH(Calculations!P$1,'2018_commission_structure'!$A$11:$I$11,0)),0)</f>
        <v>0</v>
      </c>
      <c r="Q596" s="7">
        <f>IF($H596&gt;J596,MIN($H596-J596,K596-J596)*INDEX('2018_commission_structure'!$A$11:$I$14,MATCH(Calculations!$E596,'2018_commission_structure'!$A$11:$A$14,0), MATCH(Calculations!Q$1,'2018_commission_structure'!$A$11:$I$11,0)),0)</f>
        <v>0</v>
      </c>
      <c r="R596" s="7">
        <f>IF($H596&gt;K596,MIN($H596-K596,L596-K596)*INDEX('2018_commission_structure'!$A$11:$I$14,MATCH(Calculations!$E596,'2018_commission_structure'!$A$11:$A$14,0), MATCH(Calculations!R$1,'2018_commission_structure'!$A$11:$I$11,0)),0)</f>
        <v>0</v>
      </c>
      <c r="S596" s="7">
        <f>IF(H596&gt;L596,(H596-L596)*INDEX('2018_commission_structure'!$A$11:$I$14,MATCH(Calculations!$E596,'2018_commission_structure'!$A$11:$A$14,0),MATCH(Calculations!S$1,'2018_commission_structure'!$A$11:$I$11,0)),0)</f>
        <v>0</v>
      </c>
      <c r="T596" s="7">
        <f t="shared" si="86"/>
        <v>49288.600000000006</v>
      </c>
      <c r="U596" s="7">
        <f t="shared" si="87"/>
        <v>97303.6</v>
      </c>
      <c r="V596" s="7">
        <f>MIN(H596,I596)*INDEX('2018_commission_structure'!$A$5:$J$8,MATCH(Calculations!$E596,'2018_commission_structure'!$A$5:$A$8,0),MATCH(Calculations!V$1,'2018_commission_structure'!$A$5:$J$5,0))</f>
        <v>59146.32</v>
      </c>
      <c r="W596" s="2">
        <f>IF($H596&gt;I596,MIN($H596-I596,J596-I596)*INDEX('2018_commission_structure'!$A$5:$J$8,MATCH(Calculations!$E596,'2018_commission_structure'!$A$5:$A$8,0),MATCH(Calculations!W$1,'2018_commission_structure'!$A$5:$J$5,0)),0)</f>
        <v>0</v>
      </c>
      <c r="X596" s="2">
        <f>IF($H596&gt;J596,MIN($H596-J596,K596-J596)*INDEX('2018_commission_structure'!$A$5:$J$8,MATCH(Calculations!$E596,'2018_commission_structure'!$A$5:$A$8,0),MATCH(Calculations!X$1,'2018_commission_structure'!$A$5:$J$5,0)),0)</f>
        <v>0</v>
      </c>
      <c r="Y596" s="2">
        <f>IF($H596&gt;K596,MIN($H596-K596,L596-K596)*INDEX('2018_commission_structure'!$A$5:$J$8,MATCH(Calculations!$E596,'2018_commission_structure'!$A$5:$A$8,0),MATCH(Calculations!Y$1,'2018_commission_structure'!$A$5:$J$5,0)),0)</f>
        <v>0</v>
      </c>
      <c r="Z596" s="2">
        <f xml:space="preserve"> IF(H596&gt;L596,(H596-L596)*INDEX('2018_commission_structure'!$A$11:$I$14,MATCH(Calculations!$E596,'2018_commission_structure'!$A$11:$A$14,0),MATCH(Calculations!Z$1,'2018_commission_structure'!$A$11:$I$11,0)),0)</f>
        <v>0</v>
      </c>
      <c r="AA596" s="7">
        <f t="shared" si="88"/>
        <v>59146.32</v>
      </c>
      <c r="AB596" s="7">
        <f t="shared" si="89"/>
        <v>107161.32</v>
      </c>
    </row>
    <row r="597" spans="1:28" x14ac:dyDescent="0.25">
      <c r="A597">
        <v>8945564357</v>
      </c>
      <c r="B597" t="s">
        <v>1379</v>
      </c>
      <c r="C597" t="s">
        <v>1380</v>
      </c>
      <c r="D597" t="str">
        <f>B597&amp;" "&amp;C597</f>
        <v>Brendis Marsie</v>
      </c>
      <c r="E597" t="s">
        <v>10</v>
      </c>
      <c r="F597">
        <v>123875</v>
      </c>
      <c r="G597">
        <f>COUNTIF(deals_closed!D:D,Calculations!A597)</f>
        <v>20</v>
      </c>
      <c r="H597" s="2">
        <f>SUMIF(deals_closed!D:D,Calculations!A597,deals_closed!C:C)</f>
        <v>858970</v>
      </c>
      <c r="I597" s="2">
        <f>VLOOKUP(E597,'2018_commission_structure'!$A$11:$I$14,9,FALSE)</f>
        <v>750000</v>
      </c>
      <c r="J597" s="2">
        <f t="shared" si="81"/>
        <v>937500</v>
      </c>
      <c r="K597" s="2">
        <f t="shared" si="82"/>
        <v>1125000</v>
      </c>
      <c r="L597" s="2">
        <f t="shared" si="83"/>
        <v>1500000</v>
      </c>
      <c r="M597" s="6">
        <f t="shared" si="84"/>
        <v>1.1452933333333333</v>
      </c>
      <c r="N597" t="str">
        <f t="shared" si="85"/>
        <v>100-125%</v>
      </c>
      <c r="O597" s="7">
        <f>MIN(I597,H597)*INDEX('2018_commission_structure'!$A$11:$I$14,MATCH(Calculations!$E597,'2018_commission_structure'!$A$11:$A$14,0),MATCH(Calculations!O$1,'2018_commission_structure'!$A$11:$I$11,0))</f>
        <v>112500</v>
      </c>
      <c r="P597" s="7">
        <f>IF($H597&gt;I597,MIN($H597-I597,J597-I597)*INDEX('2018_commission_structure'!$A$11:$I$14,MATCH(Calculations!$E597,'2018_commission_structure'!$A$11:$A$14,0), MATCH(Calculations!P$1,'2018_commission_structure'!$A$11:$I$11,0)),0)</f>
        <v>20704.3</v>
      </c>
      <c r="Q597" s="7">
        <f>IF($H597&gt;J597,MIN($H597-J597,K597-J597)*INDEX('2018_commission_structure'!$A$11:$I$14,MATCH(Calculations!$E597,'2018_commission_structure'!$A$11:$A$14,0), MATCH(Calculations!Q$1,'2018_commission_structure'!$A$11:$I$11,0)),0)</f>
        <v>0</v>
      </c>
      <c r="R597" s="7">
        <f>IF($H597&gt;K597,MIN($H597-K597,L597-K597)*INDEX('2018_commission_structure'!$A$11:$I$14,MATCH(Calculations!$E597,'2018_commission_structure'!$A$11:$A$14,0), MATCH(Calculations!R$1,'2018_commission_structure'!$A$11:$I$11,0)),0)</f>
        <v>0</v>
      </c>
      <c r="S597" s="7">
        <f>IF(H597&gt;L597,(H597-L597)*INDEX('2018_commission_structure'!$A$11:$I$14,MATCH(Calculations!$E597,'2018_commission_structure'!$A$11:$A$14,0),MATCH(Calculations!S$1,'2018_commission_structure'!$A$11:$I$11,0)),0)</f>
        <v>0</v>
      </c>
      <c r="T597" s="7">
        <f t="shared" si="86"/>
        <v>133204.29999999999</v>
      </c>
      <c r="U597" s="7">
        <f t="shared" si="87"/>
        <v>257079.3</v>
      </c>
      <c r="V597" s="7">
        <f>MIN(H597,I597)*INDEX('2018_commission_structure'!$A$5:$J$8,MATCH(Calculations!$E597,'2018_commission_structure'!$A$5:$A$8,0),MATCH(Calculations!V$1,'2018_commission_structure'!$A$5:$J$5,0))</f>
        <v>112500</v>
      </c>
      <c r="W597" s="2">
        <f>IF($H597&gt;I597,MIN($H597-I597,J597-I597)*INDEX('2018_commission_structure'!$A$5:$J$8,MATCH(Calculations!$E597,'2018_commission_structure'!$A$5:$A$8,0),MATCH(Calculations!W$1,'2018_commission_structure'!$A$5:$J$5,0)),0)</f>
        <v>23973.4</v>
      </c>
      <c r="X597" s="2">
        <f>IF($H597&gt;J597,MIN($H597-J597,K597-J597)*INDEX('2018_commission_structure'!$A$5:$J$8,MATCH(Calculations!$E597,'2018_commission_structure'!$A$5:$A$8,0),MATCH(Calculations!X$1,'2018_commission_structure'!$A$5:$J$5,0)),0)</f>
        <v>0</v>
      </c>
      <c r="Y597" s="2">
        <f>IF($H597&gt;K597,MIN($H597-K597,L597-K597)*INDEX('2018_commission_structure'!$A$5:$J$8,MATCH(Calculations!$E597,'2018_commission_structure'!$A$5:$A$8,0),MATCH(Calculations!Y$1,'2018_commission_structure'!$A$5:$J$5,0)),0)</f>
        <v>0</v>
      </c>
      <c r="Z597" s="2">
        <f xml:space="preserve"> IF(H597&gt;L597,(H597-L597)*INDEX('2018_commission_structure'!$A$11:$I$14,MATCH(Calculations!$E597,'2018_commission_structure'!$A$11:$A$14,0),MATCH(Calculations!Z$1,'2018_commission_structure'!$A$11:$I$11,0)),0)</f>
        <v>0</v>
      </c>
      <c r="AA597" s="7">
        <f t="shared" si="88"/>
        <v>136473.4</v>
      </c>
      <c r="AB597" s="7">
        <f t="shared" si="89"/>
        <v>260348.4</v>
      </c>
    </row>
    <row r="598" spans="1:28" x14ac:dyDescent="0.25">
      <c r="A598">
        <v>4920920075</v>
      </c>
      <c r="B598" t="s">
        <v>1319</v>
      </c>
      <c r="C598" t="s">
        <v>1320</v>
      </c>
      <c r="D598" t="str">
        <f>B598&amp;" "&amp;C598</f>
        <v>Boycie Marten</v>
      </c>
      <c r="E598" t="s">
        <v>7</v>
      </c>
      <c r="F598">
        <v>54277</v>
      </c>
      <c r="G598">
        <f>COUNTIF(deals_closed!D:D,Calculations!A598)</f>
        <v>21</v>
      </c>
      <c r="H598" s="2">
        <f>SUMIF(deals_closed!D:D,Calculations!A598,deals_closed!C:C)</f>
        <v>732653</v>
      </c>
      <c r="I598" s="2">
        <f>VLOOKUP(E598,'2018_commission_structure'!$A$11:$I$14,9,FALSE)</f>
        <v>500000</v>
      </c>
      <c r="J598" s="2">
        <f t="shared" si="81"/>
        <v>625000</v>
      </c>
      <c r="K598" s="2">
        <f t="shared" si="82"/>
        <v>750000</v>
      </c>
      <c r="L598" s="2">
        <f t="shared" si="83"/>
        <v>1000000</v>
      </c>
      <c r="M598" s="6">
        <f t="shared" si="84"/>
        <v>1.465306</v>
      </c>
      <c r="N598" t="str">
        <f t="shared" si="85"/>
        <v>125-150%</v>
      </c>
      <c r="O598" s="7">
        <f>MIN(I598,H598)*INDEX('2018_commission_structure'!$A$11:$I$14,MATCH(Calculations!$E598,'2018_commission_structure'!$A$11:$A$14,0),MATCH(Calculations!O$1,'2018_commission_structure'!$A$11:$I$11,0))</f>
        <v>50000</v>
      </c>
      <c r="P598" s="7">
        <f>IF($H598&gt;I598,MIN($H598-I598,J598-I598)*INDEX('2018_commission_structure'!$A$11:$I$14,MATCH(Calculations!$E598,'2018_commission_structure'!$A$11:$A$14,0), MATCH(Calculations!P$1,'2018_commission_structure'!$A$11:$I$11,0)),0)</f>
        <v>18750</v>
      </c>
      <c r="Q598" s="7">
        <f>IF($H598&gt;J598,MIN($H598-J598,K598-J598)*INDEX('2018_commission_structure'!$A$11:$I$14,MATCH(Calculations!$E598,'2018_commission_structure'!$A$11:$A$14,0), MATCH(Calculations!Q$1,'2018_commission_structure'!$A$11:$I$11,0)),0)</f>
        <v>19377.54</v>
      </c>
      <c r="R598" s="7">
        <f>IF($H598&gt;K598,MIN($H598-K598,L598-K598)*INDEX('2018_commission_structure'!$A$11:$I$14,MATCH(Calculations!$E598,'2018_commission_structure'!$A$11:$A$14,0), MATCH(Calculations!R$1,'2018_commission_structure'!$A$11:$I$11,0)),0)</f>
        <v>0</v>
      </c>
      <c r="S598" s="7">
        <f>IF(H598&gt;L598,(H598-L598)*INDEX('2018_commission_structure'!$A$11:$I$14,MATCH(Calculations!$E598,'2018_commission_structure'!$A$11:$A$14,0),MATCH(Calculations!S$1,'2018_commission_structure'!$A$11:$I$11,0)),0)</f>
        <v>0</v>
      </c>
      <c r="T598" s="7">
        <f t="shared" si="86"/>
        <v>88127.540000000008</v>
      </c>
      <c r="U598" s="7">
        <f t="shared" si="87"/>
        <v>142404.54</v>
      </c>
      <c r="V598" s="7">
        <f>MIN(H598,I598)*INDEX('2018_commission_structure'!$A$5:$J$8,MATCH(Calculations!$E598,'2018_commission_structure'!$A$5:$A$8,0),MATCH(Calculations!V$1,'2018_commission_structure'!$A$5:$J$5,0))</f>
        <v>60000</v>
      </c>
      <c r="W598" s="2">
        <f>IF($H598&gt;I598,MIN($H598-I598,J598-I598)*INDEX('2018_commission_structure'!$A$5:$J$8,MATCH(Calculations!$E598,'2018_commission_structure'!$A$5:$A$8,0),MATCH(Calculations!W$1,'2018_commission_structure'!$A$5:$J$5,0)),0)</f>
        <v>21250</v>
      </c>
      <c r="X598" s="2">
        <f>IF($H598&gt;J598,MIN($H598-J598,K598-J598)*INDEX('2018_commission_structure'!$A$5:$J$8,MATCH(Calculations!$E598,'2018_commission_structure'!$A$5:$A$8,0),MATCH(Calculations!X$1,'2018_commission_structure'!$A$5:$J$5,0)),0)</f>
        <v>21530.600000000002</v>
      </c>
      <c r="Y598" s="2">
        <f>IF($H598&gt;K598,MIN($H598-K598,L598-K598)*INDEX('2018_commission_structure'!$A$5:$J$8,MATCH(Calculations!$E598,'2018_commission_structure'!$A$5:$A$8,0),MATCH(Calculations!Y$1,'2018_commission_structure'!$A$5:$J$5,0)),0)</f>
        <v>0</v>
      </c>
      <c r="Z598" s="2">
        <f xml:space="preserve"> IF(H598&gt;L598,(H598-L598)*INDEX('2018_commission_structure'!$A$11:$I$14,MATCH(Calculations!$E598,'2018_commission_structure'!$A$11:$A$14,0),MATCH(Calculations!Z$1,'2018_commission_structure'!$A$11:$I$11,0)),0)</f>
        <v>0</v>
      </c>
      <c r="AA598" s="7">
        <f t="shared" si="88"/>
        <v>102780.6</v>
      </c>
      <c r="AB598" s="7">
        <f t="shared" si="89"/>
        <v>157057.60000000001</v>
      </c>
    </row>
    <row r="599" spans="1:28" x14ac:dyDescent="0.25">
      <c r="A599">
        <v>1969484233</v>
      </c>
      <c r="B599" t="s">
        <v>921</v>
      </c>
      <c r="C599" t="s">
        <v>1122</v>
      </c>
      <c r="D599" t="str">
        <f>B599&amp;" "&amp;C599</f>
        <v>Elisabetta Martinec</v>
      </c>
      <c r="E599" t="s">
        <v>7</v>
      </c>
      <c r="F599">
        <v>40510</v>
      </c>
      <c r="G599">
        <f>COUNTIF(deals_closed!D:D,Calculations!A599)</f>
        <v>9</v>
      </c>
      <c r="H599" s="2">
        <f>SUMIF(deals_closed!D:D,Calculations!A599,deals_closed!C:C)</f>
        <v>330864</v>
      </c>
      <c r="I599" s="2">
        <f>VLOOKUP(E599,'2018_commission_structure'!$A$11:$I$14,9,FALSE)</f>
        <v>500000</v>
      </c>
      <c r="J599" s="2">
        <f t="shared" si="81"/>
        <v>625000</v>
      </c>
      <c r="K599" s="2">
        <f t="shared" si="82"/>
        <v>750000</v>
      </c>
      <c r="L599" s="2">
        <f t="shared" si="83"/>
        <v>1000000</v>
      </c>
      <c r="M599" s="6">
        <f t="shared" si="84"/>
        <v>0.66172799999999998</v>
      </c>
      <c r="N599" t="str">
        <f t="shared" si="85"/>
        <v>0-100%</v>
      </c>
      <c r="O599" s="7">
        <f>MIN(I599,H599)*INDEX('2018_commission_structure'!$A$11:$I$14,MATCH(Calculations!$E599,'2018_commission_structure'!$A$11:$A$14,0),MATCH(Calculations!O$1,'2018_commission_structure'!$A$11:$I$11,0))</f>
        <v>33086.400000000001</v>
      </c>
      <c r="P599" s="7">
        <f>IF($H599&gt;I599,MIN($H599-I599,J599-I599)*INDEX('2018_commission_structure'!$A$11:$I$14,MATCH(Calculations!$E599,'2018_commission_structure'!$A$11:$A$14,0), MATCH(Calculations!P$1,'2018_commission_structure'!$A$11:$I$11,0)),0)</f>
        <v>0</v>
      </c>
      <c r="Q599" s="7">
        <f>IF($H599&gt;J599,MIN($H599-J599,K599-J599)*INDEX('2018_commission_structure'!$A$11:$I$14,MATCH(Calculations!$E599,'2018_commission_structure'!$A$11:$A$14,0), MATCH(Calculations!Q$1,'2018_commission_structure'!$A$11:$I$11,0)),0)</f>
        <v>0</v>
      </c>
      <c r="R599" s="7">
        <f>IF($H599&gt;K599,MIN($H599-K599,L599-K599)*INDEX('2018_commission_structure'!$A$11:$I$14,MATCH(Calculations!$E599,'2018_commission_structure'!$A$11:$A$14,0), MATCH(Calculations!R$1,'2018_commission_structure'!$A$11:$I$11,0)),0)</f>
        <v>0</v>
      </c>
      <c r="S599" s="7">
        <f>IF(H599&gt;L599,(H599-L599)*INDEX('2018_commission_structure'!$A$11:$I$14,MATCH(Calculations!$E599,'2018_commission_structure'!$A$11:$A$14,0),MATCH(Calculations!S$1,'2018_commission_structure'!$A$11:$I$11,0)),0)</f>
        <v>0</v>
      </c>
      <c r="T599" s="7">
        <f t="shared" si="86"/>
        <v>33086.400000000001</v>
      </c>
      <c r="U599" s="7">
        <f t="shared" si="87"/>
        <v>73596.399999999994</v>
      </c>
      <c r="V599" s="7">
        <f>MIN(H599,I599)*INDEX('2018_commission_structure'!$A$5:$J$8,MATCH(Calculations!$E599,'2018_commission_structure'!$A$5:$A$8,0),MATCH(Calculations!V$1,'2018_commission_structure'!$A$5:$J$5,0))</f>
        <v>39703.68</v>
      </c>
      <c r="W599" s="2">
        <f>IF($H599&gt;I599,MIN($H599-I599,J599-I599)*INDEX('2018_commission_structure'!$A$5:$J$8,MATCH(Calculations!$E599,'2018_commission_structure'!$A$5:$A$8,0),MATCH(Calculations!W$1,'2018_commission_structure'!$A$5:$J$5,0)),0)</f>
        <v>0</v>
      </c>
      <c r="X599" s="2">
        <f>IF($H599&gt;J599,MIN($H599-J599,K599-J599)*INDEX('2018_commission_structure'!$A$5:$J$8,MATCH(Calculations!$E599,'2018_commission_structure'!$A$5:$A$8,0),MATCH(Calculations!X$1,'2018_commission_structure'!$A$5:$J$5,0)),0)</f>
        <v>0</v>
      </c>
      <c r="Y599" s="2">
        <f>IF($H599&gt;K599,MIN($H599-K599,L599-K599)*INDEX('2018_commission_structure'!$A$5:$J$8,MATCH(Calculations!$E599,'2018_commission_structure'!$A$5:$A$8,0),MATCH(Calculations!Y$1,'2018_commission_structure'!$A$5:$J$5,0)),0)</f>
        <v>0</v>
      </c>
      <c r="Z599" s="2">
        <f xml:space="preserve"> IF(H599&gt;L599,(H599-L599)*INDEX('2018_commission_structure'!$A$11:$I$14,MATCH(Calculations!$E599,'2018_commission_structure'!$A$11:$A$14,0),MATCH(Calculations!Z$1,'2018_commission_structure'!$A$11:$I$11,0)),0)</f>
        <v>0</v>
      </c>
      <c r="AA599" s="7">
        <f t="shared" si="88"/>
        <v>39703.68</v>
      </c>
      <c r="AB599" s="7">
        <f t="shared" si="89"/>
        <v>80213.679999999993</v>
      </c>
    </row>
    <row r="600" spans="1:28" x14ac:dyDescent="0.25">
      <c r="A600">
        <v>7628323464</v>
      </c>
      <c r="B600" t="s">
        <v>1160</v>
      </c>
      <c r="C600" t="s">
        <v>1161</v>
      </c>
      <c r="D600" t="str">
        <f>B600&amp;" "&amp;C600</f>
        <v>Jess Martini</v>
      </c>
      <c r="E600" t="s">
        <v>29</v>
      </c>
      <c r="F600">
        <v>79758</v>
      </c>
      <c r="G600">
        <f>COUNTIF(deals_closed!D:D,Calculations!A600)</f>
        <v>19</v>
      </c>
      <c r="H600" s="2">
        <f>SUMIF(deals_closed!D:D,Calculations!A600,deals_closed!C:C)</f>
        <v>694245</v>
      </c>
      <c r="I600" s="2">
        <f>VLOOKUP(E600,'2018_commission_structure'!$A$11:$I$14,9,FALSE)</f>
        <v>600000</v>
      </c>
      <c r="J600" s="2">
        <f t="shared" si="81"/>
        <v>750000</v>
      </c>
      <c r="K600" s="2">
        <f t="shared" si="82"/>
        <v>900000</v>
      </c>
      <c r="L600" s="2">
        <f t="shared" si="83"/>
        <v>1200000</v>
      </c>
      <c r="M600" s="6">
        <f t="shared" si="84"/>
        <v>1.1570750000000001</v>
      </c>
      <c r="N600" t="str">
        <f t="shared" si="85"/>
        <v>100-125%</v>
      </c>
      <c r="O600" s="7">
        <f>MIN(I600,H600)*INDEX('2018_commission_structure'!$A$11:$I$14,MATCH(Calculations!$E600,'2018_commission_structure'!$A$11:$A$14,0),MATCH(Calculations!O$1,'2018_commission_structure'!$A$11:$I$11,0))</f>
        <v>78000</v>
      </c>
      <c r="P600" s="7">
        <f>IF($H600&gt;I600,MIN($H600-I600,J600-I600)*INDEX('2018_commission_structure'!$A$11:$I$14,MATCH(Calculations!$E600,'2018_commission_structure'!$A$11:$A$14,0), MATCH(Calculations!P$1,'2018_commission_structure'!$A$11:$I$11,0)),0)</f>
        <v>16021.650000000001</v>
      </c>
      <c r="Q600" s="7">
        <f>IF($H600&gt;J600,MIN($H600-J600,K600-J600)*INDEX('2018_commission_structure'!$A$11:$I$14,MATCH(Calculations!$E600,'2018_commission_structure'!$A$11:$A$14,0), MATCH(Calculations!Q$1,'2018_commission_structure'!$A$11:$I$11,0)),0)</f>
        <v>0</v>
      </c>
      <c r="R600" s="7">
        <f>IF($H600&gt;K600,MIN($H600-K600,L600-K600)*INDEX('2018_commission_structure'!$A$11:$I$14,MATCH(Calculations!$E600,'2018_commission_structure'!$A$11:$A$14,0), MATCH(Calculations!R$1,'2018_commission_structure'!$A$11:$I$11,0)),0)</f>
        <v>0</v>
      </c>
      <c r="S600" s="7">
        <f>IF(H600&gt;L600,(H600-L600)*INDEX('2018_commission_structure'!$A$11:$I$14,MATCH(Calculations!$E600,'2018_commission_structure'!$A$11:$A$14,0),MATCH(Calculations!S$1,'2018_commission_structure'!$A$11:$I$11,0)),0)</f>
        <v>0</v>
      </c>
      <c r="T600" s="7">
        <f t="shared" si="86"/>
        <v>94021.65</v>
      </c>
      <c r="U600" s="7">
        <f t="shared" si="87"/>
        <v>173779.65</v>
      </c>
      <c r="V600" s="7">
        <f>MIN(H600,I600)*INDEX('2018_commission_structure'!$A$5:$J$8,MATCH(Calculations!$E600,'2018_commission_structure'!$A$5:$A$8,0),MATCH(Calculations!V$1,'2018_commission_structure'!$A$5:$J$5,0))</f>
        <v>90000</v>
      </c>
      <c r="W600" s="2">
        <f>IF($H600&gt;I600,MIN($H600-I600,J600-I600)*INDEX('2018_commission_structure'!$A$5:$J$8,MATCH(Calculations!$E600,'2018_commission_structure'!$A$5:$A$8,0),MATCH(Calculations!W$1,'2018_commission_structure'!$A$5:$J$5,0)),0)</f>
        <v>16964.099999999999</v>
      </c>
      <c r="X600" s="2">
        <f>IF($H600&gt;J600,MIN($H600-J600,K600-J600)*INDEX('2018_commission_structure'!$A$5:$J$8,MATCH(Calculations!$E600,'2018_commission_structure'!$A$5:$A$8,0),MATCH(Calculations!X$1,'2018_commission_structure'!$A$5:$J$5,0)),0)</f>
        <v>0</v>
      </c>
      <c r="Y600" s="2">
        <f>IF($H600&gt;K600,MIN($H600-K600,L600-K600)*INDEX('2018_commission_structure'!$A$5:$J$8,MATCH(Calculations!$E600,'2018_commission_structure'!$A$5:$A$8,0),MATCH(Calculations!Y$1,'2018_commission_structure'!$A$5:$J$5,0)),0)</f>
        <v>0</v>
      </c>
      <c r="Z600" s="2">
        <f xml:space="preserve"> IF(H600&gt;L600,(H600-L600)*INDEX('2018_commission_structure'!$A$11:$I$14,MATCH(Calculations!$E600,'2018_commission_structure'!$A$11:$A$14,0),MATCH(Calculations!Z$1,'2018_commission_structure'!$A$11:$I$11,0)),0)</f>
        <v>0</v>
      </c>
      <c r="AA600" s="7">
        <f t="shared" si="88"/>
        <v>106964.1</v>
      </c>
      <c r="AB600" s="7">
        <f t="shared" si="89"/>
        <v>186722.1</v>
      </c>
    </row>
    <row r="601" spans="1:28" x14ac:dyDescent="0.25">
      <c r="A601">
        <v>2158895349</v>
      </c>
      <c r="B601" t="s">
        <v>950</v>
      </c>
      <c r="C601" t="s">
        <v>951</v>
      </c>
      <c r="D601" t="str">
        <f>B601&amp;" "&amp;C601</f>
        <v>Nickolai Martins</v>
      </c>
      <c r="E601" t="s">
        <v>7</v>
      </c>
      <c r="F601">
        <v>35359</v>
      </c>
      <c r="G601">
        <f>COUNTIF(deals_closed!D:D,Calculations!A601)</f>
        <v>14</v>
      </c>
      <c r="H601" s="2">
        <f>SUMIF(deals_closed!D:D,Calculations!A601,deals_closed!C:C)</f>
        <v>430049</v>
      </c>
      <c r="I601" s="2">
        <f>VLOOKUP(E601,'2018_commission_structure'!$A$11:$I$14,9,FALSE)</f>
        <v>500000</v>
      </c>
      <c r="J601" s="2">
        <f t="shared" si="81"/>
        <v>625000</v>
      </c>
      <c r="K601" s="2">
        <f t="shared" si="82"/>
        <v>750000</v>
      </c>
      <c r="L601" s="2">
        <f t="shared" si="83"/>
        <v>1000000</v>
      </c>
      <c r="M601" s="6">
        <f t="shared" si="84"/>
        <v>0.86009800000000003</v>
      </c>
      <c r="N601" t="str">
        <f t="shared" si="85"/>
        <v>0-100%</v>
      </c>
      <c r="O601" s="7">
        <f>MIN(I601,H601)*INDEX('2018_commission_structure'!$A$11:$I$14,MATCH(Calculations!$E601,'2018_commission_structure'!$A$11:$A$14,0),MATCH(Calculations!O$1,'2018_commission_structure'!$A$11:$I$11,0))</f>
        <v>43004.9</v>
      </c>
      <c r="P601" s="7">
        <f>IF($H601&gt;I601,MIN($H601-I601,J601-I601)*INDEX('2018_commission_structure'!$A$11:$I$14,MATCH(Calculations!$E601,'2018_commission_structure'!$A$11:$A$14,0), MATCH(Calculations!P$1,'2018_commission_structure'!$A$11:$I$11,0)),0)</f>
        <v>0</v>
      </c>
      <c r="Q601" s="7">
        <f>IF($H601&gt;J601,MIN($H601-J601,K601-J601)*INDEX('2018_commission_structure'!$A$11:$I$14,MATCH(Calculations!$E601,'2018_commission_structure'!$A$11:$A$14,0), MATCH(Calculations!Q$1,'2018_commission_structure'!$A$11:$I$11,0)),0)</f>
        <v>0</v>
      </c>
      <c r="R601" s="7">
        <f>IF($H601&gt;K601,MIN($H601-K601,L601-K601)*INDEX('2018_commission_structure'!$A$11:$I$14,MATCH(Calculations!$E601,'2018_commission_structure'!$A$11:$A$14,0), MATCH(Calculations!R$1,'2018_commission_structure'!$A$11:$I$11,0)),0)</f>
        <v>0</v>
      </c>
      <c r="S601" s="7">
        <f>IF(H601&gt;L601,(H601-L601)*INDEX('2018_commission_structure'!$A$11:$I$14,MATCH(Calculations!$E601,'2018_commission_structure'!$A$11:$A$14,0),MATCH(Calculations!S$1,'2018_commission_structure'!$A$11:$I$11,0)),0)</f>
        <v>0</v>
      </c>
      <c r="T601" s="7">
        <f t="shared" si="86"/>
        <v>43004.9</v>
      </c>
      <c r="U601" s="7">
        <f t="shared" si="87"/>
        <v>78363.899999999994</v>
      </c>
      <c r="V601" s="7">
        <f>MIN(H601,I601)*INDEX('2018_commission_structure'!$A$5:$J$8,MATCH(Calculations!$E601,'2018_commission_structure'!$A$5:$A$8,0),MATCH(Calculations!V$1,'2018_commission_structure'!$A$5:$J$5,0))</f>
        <v>51605.88</v>
      </c>
      <c r="W601" s="2">
        <f>IF($H601&gt;I601,MIN($H601-I601,J601-I601)*INDEX('2018_commission_structure'!$A$5:$J$8,MATCH(Calculations!$E601,'2018_commission_structure'!$A$5:$A$8,0),MATCH(Calculations!W$1,'2018_commission_structure'!$A$5:$J$5,0)),0)</f>
        <v>0</v>
      </c>
      <c r="X601" s="2">
        <f>IF($H601&gt;J601,MIN($H601-J601,K601-J601)*INDEX('2018_commission_structure'!$A$5:$J$8,MATCH(Calculations!$E601,'2018_commission_structure'!$A$5:$A$8,0),MATCH(Calculations!X$1,'2018_commission_structure'!$A$5:$J$5,0)),0)</f>
        <v>0</v>
      </c>
      <c r="Y601" s="2">
        <f>IF($H601&gt;K601,MIN($H601-K601,L601-K601)*INDEX('2018_commission_structure'!$A$5:$J$8,MATCH(Calculations!$E601,'2018_commission_structure'!$A$5:$A$8,0),MATCH(Calculations!Y$1,'2018_commission_structure'!$A$5:$J$5,0)),0)</f>
        <v>0</v>
      </c>
      <c r="Z601" s="2">
        <f xml:space="preserve"> IF(H601&gt;L601,(H601-L601)*INDEX('2018_commission_structure'!$A$11:$I$14,MATCH(Calculations!$E601,'2018_commission_structure'!$A$11:$A$14,0),MATCH(Calculations!Z$1,'2018_commission_structure'!$A$11:$I$11,0)),0)</f>
        <v>0</v>
      </c>
      <c r="AA601" s="7">
        <f t="shared" si="88"/>
        <v>51605.88</v>
      </c>
      <c r="AB601" s="7">
        <f t="shared" si="89"/>
        <v>86964.88</v>
      </c>
    </row>
    <row r="602" spans="1:28" x14ac:dyDescent="0.25">
      <c r="A602">
        <v>8875305560</v>
      </c>
      <c r="B602" t="s">
        <v>551</v>
      </c>
      <c r="C602" t="s">
        <v>552</v>
      </c>
      <c r="D602" t="str">
        <f>B602&amp;" "&amp;C602</f>
        <v>Mab Marxsen</v>
      </c>
      <c r="E602" t="s">
        <v>29</v>
      </c>
      <c r="F602">
        <v>71613</v>
      </c>
      <c r="G602">
        <f>COUNTIF(deals_closed!D:D,Calculations!A602)</f>
        <v>31</v>
      </c>
      <c r="H602" s="2">
        <f>SUMIF(deals_closed!D:D,Calculations!A602,deals_closed!C:C)</f>
        <v>1026059</v>
      </c>
      <c r="I602" s="2">
        <f>VLOOKUP(E602,'2018_commission_structure'!$A$11:$I$14,9,FALSE)</f>
        <v>600000</v>
      </c>
      <c r="J602" s="2">
        <f t="shared" si="81"/>
        <v>750000</v>
      </c>
      <c r="K602" s="2">
        <f t="shared" si="82"/>
        <v>900000</v>
      </c>
      <c r="L602" s="2">
        <f t="shared" si="83"/>
        <v>1200000</v>
      </c>
      <c r="M602" s="6">
        <f t="shared" si="84"/>
        <v>1.7100983333333333</v>
      </c>
      <c r="N602" t="str">
        <f t="shared" si="85"/>
        <v>150-200%</v>
      </c>
      <c r="O602" s="7">
        <f>MIN(I602,H602)*INDEX('2018_commission_structure'!$A$11:$I$14,MATCH(Calculations!$E602,'2018_commission_structure'!$A$11:$A$14,0),MATCH(Calculations!O$1,'2018_commission_structure'!$A$11:$I$11,0))</f>
        <v>78000</v>
      </c>
      <c r="P602" s="7">
        <f>IF($H602&gt;I602,MIN($H602-I602,J602-I602)*INDEX('2018_commission_structure'!$A$11:$I$14,MATCH(Calculations!$E602,'2018_commission_structure'!$A$11:$A$14,0), MATCH(Calculations!P$1,'2018_commission_structure'!$A$11:$I$11,0)),0)</f>
        <v>25500.000000000004</v>
      </c>
      <c r="Q602" s="7">
        <f>IF($H602&gt;J602,MIN($H602-J602,K602-J602)*INDEX('2018_commission_structure'!$A$11:$I$14,MATCH(Calculations!$E602,'2018_commission_structure'!$A$11:$A$14,0), MATCH(Calculations!Q$1,'2018_commission_structure'!$A$11:$I$11,0)),0)</f>
        <v>31500</v>
      </c>
      <c r="R602" s="7">
        <f>IF($H602&gt;K602,MIN($H602-K602,L602-K602)*INDEX('2018_commission_structure'!$A$11:$I$14,MATCH(Calculations!$E602,'2018_commission_structure'!$A$11:$A$14,0), MATCH(Calculations!R$1,'2018_commission_structure'!$A$11:$I$11,0)),0)</f>
        <v>32775.340000000004</v>
      </c>
      <c r="S602" s="7">
        <f>IF(H602&gt;L602,(H602-L602)*INDEX('2018_commission_structure'!$A$11:$I$14,MATCH(Calculations!$E602,'2018_commission_structure'!$A$11:$A$14,0),MATCH(Calculations!S$1,'2018_commission_structure'!$A$11:$I$11,0)),0)</f>
        <v>0</v>
      </c>
      <c r="T602" s="7">
        <f t="shared" si="86"/>
        <v>167775.34</v>
      </c>
      <c r="U602" s="7">
        <f t="shared" si="87"/>
        <v>239388.34</v>
      </c>
      <c r="V602" s="7">
        <f>MIN(H602,I602)*INDEX('2018_commission_structure'!$A$5:$J$8,MATCH(Calculations!$E602,'2018_commission_structure'!$A$5:$A$8,0),MATCH(Calculations!V$1,'2018_commission_structure'!$A$5:$J$5,0))</f>
        <v>90000</v>
      </c>
      <c r="W602" s="2">
        <f>IF($H602&gt;I602,MIN($H602-I602,J602-I602)*INDEX('2018_commission_structure'!$A$5:$J$8,MATCH(Calculations!$E602,'2018_commission_structure'!$A$5:$A$8,0),MATCH(Calculations!W$1,'2018_commission_structure'!$A$5:$J$5,0)),0)</f>
        <v>27000</v>
      </c>
      <c r="X602" s="2">
        <f>IF($H602&gt;J602,MIN($H602-J602,K602-J602)*INDEX('2018_commission_structure'!$A$5:$J$8,MATCH(Calculations!$E602,'2018_commission_structure'!$A$5:$A$8,0),MATCH(Calculations!X$1,'2018_commission_structure'!$A$5:$J$5,0)),0)</f>
        <v>37500</v>
      </c>
      <c r="Y602" s="2">
        <f>IF($H602&gt;K602,MIN($H602-K602,L602-K602)*INDEX('2018_commission_structure'!$A$5:$J$8,MATCH(Calculations!$E602,'2018_commission_structure'!$A$5:$A$8,0),MATCH(Calculations!Y$1,'2018_commission_structure'!$A$5:$J$5,0)),0)</f>
        <v>37817.699999999997</v>
      </c>
      <c r="Z602" s="2">
        <f xml:space="preserve"> IF(H602&gt;L602,(H602-L602)*INDEX('2018_commission_structure'!$A$11:$I$14,MATCH(Calculations!$E602,'2018_commission_structure'!$A$11:$A$14,0),MATCH(Calculations!Z$1,'2018_commission_structure'!$A$11:$I$11,0)),0)</f>
        <v>0</v>
      </c>
      <c r="AA602" s="7">
        <f t="shared" si="88"/>
        <v>192317.7</v>
      </c>
      <c r="AB602" s="7">
        <f t="shared" si="89"/>
        <v>263930.7</v>
      </c>
    </row>
    <row r="603" spans="1:28" x14ac:dyDescent="0.25">
      <c r="A603">
        <v>8788824691</v>
      </c>
      <c r="B603" t="s">
        <v>1237</v>
      </c>
      <c r="C603" t="s">
        <v>1238</v>
      </c>
      <c r="D603" t="str">
        <f>B603&amp;" "&amp;C603</f>
        <v>Hamlin Matchitt</v>
      </c>
      <c r="E603" t="s">
        <v>7</v>
      </c>
      <c r="F603">
        <v>36801</v>
      </c>
      <c r="G603">
        <f>COUNTIF(deals_closed!D:D,Calculations!A603)</f>
        <v>15</v>
      </c>
      <c r="H603" s="2">
        <f>SUMIF(deals_closed!D:D,Calculations!A603,deals_closed!C:C)</f>
        <v>555207</v>
      </c>
      <c r="I603" s="2">
        <f>VLOOKUP(E603,'2018_commission_structure'!$A$11:$I$14,9,FALSE)</f>
        <v>500000</v>
      </c>
      <c r="J603" s="2">
        <f t="shared" si="81"/>
        <v>625000</v>
      </c>
      <c r="K603" s="2">
        <f t="shared" si="82"/>
        <v>750000</v>
      </c>
      <c r="L603" s="2">
        <f t="shared" si="83"/>
        <v>1000000</v>
      </c>
      <c r="M603" s="6">
        <f t="shared" si="84"/>
        <v>1.110414</v>
      </c>
      <c r="N603" t="str">
        <f t="shared" si="85"/>
        <v>100-125%</v>
      </c>
      <c r="O603" s="7">
        <f>MIN(I603,H603)*INDEX('2018_commission_structure'!$A$11:$I$14,MATCH(Calculations!$E603,'2018_commission_structure'!$A$11:$A$14,0),MATCH(Calculations!O$1,'2018_commission_structure'!$A$11:$I$11,0))</f>
        <v>50000</v>
      </c>
      <c r="P603" s="7">
        <f>IF($H603&gt;I603,MIN($H603-I603,J603-I603)*INDEX('2018_commission_structure'!$A$11:$I$14,MATCH(Calculations!$E603,'2018_commission_structure'!$A$11:$A$14,0), MATCH(Calculations!P$1,'2018_commission_structure'!$A$11:$I$11,0)),0)</f>
        <v>8281.0499999999993</v>
      </c>
      <c r="Q603" s="7">
        <f>IF($H603&gt;J603,MIN($H603-J603,K603-J603)*INDEX('2018_commission_structure'!$A$11:$I$14,MATCH(Calculations!$E603,'2018_commission_structure'!$A$11:$A$14,0), MATCH(Calculations!Q$1,'2018_commission_structure'!$A$11:$I$11,0)),0)</f>
        <v>0</v>
      </c>
      <c r="R603" s="7">
        <f>IF($H603&gt;K603,MIN($H603-K603,L603-K603)*INDEX('2018_commission_structure'!$A$11:$I$14,MATCH(Calculations!$E603,'2018_commission_structure'!$A$11:$A$14,0), MATCH(Calculations!R$1,'2018_commission_structure'!$A$11:$I$11,0)),0)</f>
        <v>0</v>
      </c>
      <c r="S603" s="7">
        <f>IF(H603&gt;L603,(H603-L603)*INDEX('2018_commission_structure'!$A$11:$I$14,MATCH(Calculations!$E603,'2018_commission_structure'!$A$11:$A$14,0),MATCH(Calculations!S$1,'2018_commission_structure'!$A$11:$I$11,0)),0)</f>
        <v>0</v>
      </c>
      <c r="T603" s="7">
        <f t="shared" si="86"/>
        <v>58281.05</v>
      </c>
      <c r="U603" s="7">
        <f t="shared" si="87"/>
        <v>95082.05</v>
      </c>
      <c r="V603" s="7">
        <f>MIN(H603,I603)*INDEX('2018_commission_structure'!$A$5:$J$8,MATCH(Calculations!$E603,'2018_commission_structure'!$A$5:$A$8,0),MATCH(Calculations!V$1,'2018_commission_structure'!$A$5:$J$5,0))</f>
        <v>60000</v>
      </c>
      <c r="W603" s="2">
        <f>IF($H603&gt;I603,MIN($H603-I603,J603-I603)*INDEX('2018_commission_structure'!$A$5:$J$8,MATCH(Calculations!$E603,'2018_commission_structure'!$A$5:$A$8,0),MATCH(Calculations!W$1,'2018_commission_structure'!$A$5:$J$5,0)),0)</f>
        <v>9385.19</v>
      </c>
      <c r="X603" s="2">
        <f>IF($H603&gt;J603,MIN($H603-J603,K603-J603)*INDEX('2018_commission_structure'!$A$5:$J$8,MATCH(Calculations!$E603,'2018_commission_structure'!$A$5:$A$8,0),MATCH(Calculations!X$1,'2018_commission_structure'!$A$5:$J$5,0)),0)</f>
        <v>0</v>
      </c>
      <c r="Y603" s="2">
        <f>IF($H603&gt;K603,MIN($H603-K603,L603-K603)*INDEX('2018_commission_structure'!$A$5:$J$8,MATCH(Calculations!$E603,'2018_commission_structure'!$A$5:$A$8,0),MATCH(Calculations!Y$1,'2018_commission_structure'!$A$5:$J$5,0)),0)</f>
        <v>0</v>
      </c>
      <c r="Z603" s="2">
        <f xml:space="preserve"> IF(H603&gt;L603,(H603-L603)*INDEX('2018_commission_structure'!$A$11:$I$14,MATCH(Calculations!$E603,'2018_commission_structure'!$A$11:$A$14,0),MATCH(Calculations!Z$1,'2018_commission_structure'!$A$11:$I$11,0)),0)</f>
        <v>0</v>
      </c>
      <c r="AA603" s="7">
        <f t="shared" si="88"/>
        <v>69385.19</v>
      </c>
      <c r="AB603" s="7">
        <f t="shared" si="89"/>
        <v>106186.19</v>
      </c>
    </row>
    <row r="604" spans="1:28" x14ac:dyDescent="0.25">
      <c r="A604">
        <v>8175279842</v>
      </c>
      <c r="B604" t="s">
        <v>1494</v>
      </c>
      <c r="C604" t="s">
        <v>1495</v>
      </c>
      <c r="D604" t="str">
        <f>B604&amp;" "&amp;C604</f>
        <v>Nicolette Matityahu</v>
      </c>
      <c r="E604" t="s">
        <v>29</v>
      </c>
      <c r="F604">
        <v>50337</v>
      </c>
      <c r="G604">
        <f>COUNTIF(deals_closed!D:D,Calculations!A604)</f>
        <v>16</v>
      </c>
      <c r="H604" s="2">
        <f>SUMIF(deals_closed!D:D,Calculations!A604,deals_closed!C:C)</f>
        <v>535986</v>
      </c>
      <c r="I604" s="2">
        <f>VLOOKUP(E604,'2018_commission_structure'!$A$11:$I$14,9,FALSE)</f>
        <v>600000</v>
      </c>
      <c r="J604" s="2">
        <f t="shared" si="81"/>
        <v>750000</v>
      </c>
      <c r="K604" s="2">
        <f t="shared" si="82"/>
        <v>900000</v>
      </c>
      <c r="L604" s="2">
        <f t="shared" si="83"/>
        <v>1200000</v>
      </c>
      <c r="M604" s="6">
        <f t="shared" si="84"/>
        <v>0.89331000000000005</v>
      </c>
      <c r="N604" t="str">
        <f t="shared" si="85"/>
        <v>0-100%</v>
      </c>
      <c r="O604" s="7">
        <f>MIN(I604,H604)*INDEX('2018_commission_structure'!$A$11:$I$14,MATCH(Calculations!$E604,'2018_commission_structure'!$A$11:$A$14,0),MATCH(Calculations!O$1,'2018_commission_structure'!$A$11:$I$11,0))</f>
        <v>69678.180000000008</v>
      </c>
      <c r="P604" s="7">
        <f>IF($H604&gt;I604,MIN($H604-I604,J604-I604)*INDEX('2018_commission_structure'!$A$11:$I$14,MATCH(Calculations!$E604,'2018_commission_structure'!$A$11:$A$14,0), MATCH(Calculations!P$1,'2018_commission_structure'!$A$11:$I$11,0)),0)</f>
        <v>0</v>
      </c>
      <c r="Q604" s="7">
        <f>IF($H604&gt;J604,MIN($H604-J604,K604-J604)*INDEX('2018_commission_structure'!$A$11:$I$14,MATCH(Calculations!$E604,'2018_commission_structure'!$A$11:$A$14,0), MATCH(Calculations!Q$1,'2018_commission_structure'!$A$11:$I$11,0)),0)</f>
        <v>0</v>
      </c>
      <c r="R604" s="7">
        <f>IF($H604&gt;K604,MIN($H604-K604,L604-K604)*INDEX('2018_commission_structure'!$A$11:$I$14,MATCH(Calculations!$E604,'2018_commission_structure'!$A$11:$A$14,0), MATCH(Calculations!R$1,'2018_commission_structure'!$A$11:$I$11,0)),0)</f>
        <v>0</v>
      </c>
      <c r="S604" s="7">
        <f>IF(H604&gt;L604,(H604-L604)*INDEX('2018_commission_structure'!$A$11:$I$14,MATCH(Calculations!$E604,'2018_commission_structure'!$A$11:$A$14,0),MATCH(Calculations!S$1,'2018_commission_structure'!$A$11:$I$11,0)),0)</f>
        <v>0</v>
      </c>
      <c r="T604" s="7">
        <f t="shared" si="86"/>
        <v>69678.180000000008</v>
      </c>
      <c r="U604" s="7">
        <f t="shared" si="87"/>
        <v>120015.18000000001</v>
      </c>
      <c r="V604" s="7">
        <f>MIN(H604,I604)*INDEX('2018_commission_structure'!$A$5:$J$8,MATCH(Calculations!$E604,'2018_commission_structure'!$A$5:$A$8,0),MATCH(Calculations!V$1,'2018_commission_structure'!$A$5:$J$5,0))</f>
        <v>80397.899999999994</v>
      </c>
      <c r="W604" s="2">
        <f>IF($H604&gt;I604,MIN($H604-I604,J604-I604)*INDEX('2018_commission_structure'!$A$5:$J$8,MATCH(Calculations!$E604,'2018_commission_structure'!$A$5:$A$8,0),MATCH(Calculations!W$1,'2018_commission_structure'!$A$5:$J$5,0)),0)</f>
        <v>0</v>
      </c>
      <c r="X604" s="2">
        <f>IF($H604&gt;J604,MIN($H604-J604,K604-J604)*INDEX('2018_commission_structure'!$A$5:$J$8,MATCH(Calculations!$E604,'2018_commission_structure'!$A$5:$A$8,0),MATCH(Calculations!X$1,'2018_commission_structure'!$A$5:$J$5,0)),0)</f>
        <v>0</v>
      </c>
      <c r="Y604" s="2">
        <f>IF($H604&gt;K604,MIN($H604-K604,L604-K604)*INDEX('2018_commission_structure'!$A$5:$J$8,MATCH(Calculations!$E604,'2018_commission_structure'!$A$5:$A$8,0),MATCH(Calculations!Y$1,'2018_commission_structure'!$A$5:$J$5,0)),0)</f>
        <v>0</v>
      </c>
      <c r="Z604" s="2">
        <f xml:space="preserve"> IF(H604&gt;L604,(H604-L604)*INDEX('2018_commission_structure'!$A$11:$I$14,MATCH(Calculations!$E604,'2018_commission_structure'!$A$11:$A$14,0),MATCH(Calculations!Z$1,'2018_commission_structure'!$A$11:$I$11,0)),0)</f>
        <v>0</v>
      </c>
      <c r="AA604" s="7">
        <f t="shared" si="88"/>
        <v>80397.899999999994</v>
      </c>
      <c r="AB604" s="7">
        <f t="shared" si="89"/>
        <v>130734.9</v>
      </c>
    </row>
    <row r="605" spans="1:28" x14ac:dyDescent="0.25">
      <c r="A605">
        <v>2130919499</v>
      </c>
      <c r="B605" t="s">
        <v>72</v>
      </c>
      <c r="C605" t="s">
        <v>73</v>
      </c>
      <c r="D605" t="str">
        <f>B605&amp;" "&amp;C605</f>
        <v>Odell Matterdace</v>
      </c>
      <c r="E605" t="s">
        <v>29</v>
      </c>
      <c r="F605">
        <v>76111</v>
      </c>
      <c r="G605">
        <f>COUNTIF(deals_closed!D:D,Calculations!A605)</f>
        <v>13</v>
      </c>
      <c r="H605" s="2">
        <f>SUMIF(deals_closed!D:D,Calculations!A605,deals_closed!C:C)</f>
        <v>523769</v>
      </c>
      <c r="I605" s="2">
        <f>VLOOKUP(E605,'2018_commission_structure'!$A$11:$I$14,9,FALSE)</f>
        <v>600000</v>
      </c>
      <c r="J605" s="2">
        <f t="shared" si="81"/>
        <v>750000</v>
      </c>
      <c r="K605" s="2">
        <f t="shared" si="82"/>
        <v>900000</v>
      </c>
      <c r="L605" s="2">
        <f t="shared" si="83"/>
        <v>1200000</v>
      </c>
      <c r="M605" s="6">
        <f t="shared" si="84"/>
        <v>0.87294833333333333</v>
      </c>
      <c r="N605" t="str">
        <f t="shared" si="85"/>
        <v>0-100%</v>
      </c>
      <c r="O605" s="7">
        <f>MIN(I605,H605)*INDEX('2018_commission_structure'!$A$11:$I$14,MATCH(Calculations!$E605,'2018_commission_structure'!$A$11:$A$14,0),MATCH(Calculations!O$1,'2018_commission_structure'!$A$11:$I$11,0))</f>
        <v>68089.97</v>
      </c>
      <c r="P605" s="7">
        <f>IF($H605&gt;I605,MIN($H605-I605,J605-I605)*INDEX('2018_commission_structure'!$A$11:$I$14,MATCH(Calculations!$E605,'2018_commission_structure'!$A$11:$A$14,0), MATCH(Calculations!P$1,'2018_commission_structure'!$A$11:$I$11,0)),0)</f>
        <v>0</v>
      </c>
      <c r="Q605" s="7">
        <f>IF($H605&gt;J605,MIN($H605-J605,K605-J605)*INDEX('2018_commission_structure'!$A$11:$I$14,MATCH(Calculations!$E605,'2018_commission_structure'!$A$11:$A$14,0), MATCH(Calculations!Q$1,'2018_commission_structure'!$A$11:$I$11,0)),0)</f>
        <v>0</v>
      </c>
      <c r="R605" s="7">
        <f>IF($H605&gt;K605,MIN($H605-K605,L605-K605)*INDEX('2018_commission_structure'!$A$11:$I$14,MATCH(Calculations!$E605,'2018_commission_structure'!$A$11:$A$14,0), MATCH(Calculations!R$1,'2018_commission_structure'!$A$11:$I$11,0)),0)</f>
        <v>0</v>
      </c>
      <c r="S605" s="7">
        <f>IF(H605&gt;L605,(H605-L605)*INDEX('2018_commission_structure'!$A$11:$I$14,MATCH(Calculations!$E605,'2018_commission_structure'!$A$11:$A$14,0),MATCH(Calculations!S$1,'2018_commission_structure'!$A$11:$I$11,0)),0)</f>
        <v>0</v>
      </c>
      <c r="T605" s="7">
        <f t="shared" si="86"/>
        <v>68089.97</v>
      </c>
      <c r="U605" s="7">
        <f t="shared" si="87"/>
        <v>144200.97</v>
      </c>
      <c r="V605" s="7">
        <f>MIN(H605,I605)*INDEX('2018_commission_structure'!$A$5:$J$8,MATCH(Calculations!$E605,'2018_commission_structure'!$A$5:$A$8,0),MATCH(Calculations!V$1,'2018_commission_structure'!$A$5:$J$5,0))</f>
        <v>78565.349999999991</v>
      </c>
      <c r="W605" s="2">
        <f>IF($H605&gt;I605,MIN($H605-I605,J605-I605)*INDEX('2018_commission_structure'!$A$5:$J$8,MATCH(Calculations!$E605,'2018_commission_structure'!$A$5:$A$8,0),MATCH(Calculations!W$1,'2018_commission_structure'!$A$5:$J$5,0)),0)</f>
        <v>0</v>
      </c>
      <c r="X605" s="2">
        <f>IF($H605&gt;J605,MIN($H605-J605,K605-J605)*INDEX('2018_commission_structure'!$A$5:$J$8,MATCH(Calculations!$E605,'2018_commission_structure'!$A$5:$A$8,0),MATCH(Calculations!X$1,'2018_commission_structure'!$A$5:$J$5,0)),0)</f>
        <v>0</v>
      </c>
      <c r="Y605" s="2">
        <f>IF($H605&gt;K605,MIN($H605-K605,L605-K605)*INDEX('2018_commission_structure'!$A$5:$J$8,MATCH(Calculations!$E605,'2018_commission_structure'!$A$5:$A$8,0),MATCH(Calculations!Y$1,'2018_commission_structure'!$A$5:$J$5,0)),0)</f>
        <v>0</v>
      </c>
      <c r="Z605" s="2">
        <f xml:space="preserve"> IF(H605&gt;L605,(H605-L605)*INDEX('2018_commission_structure'!$A$11:$I$14,MATCH(Calculations!$E605,'2018_commission_structure'!$A$11:$A$14,0),MATCH(Calculations!Z$1,'2018_commission_structure'!$A$11:$I$11,0)),0)</f>
        <v>0</v>
      </c>
      <c r="AA605" s="7">
        <f t="shared" si="88"/>
        <v>78565.349999999991</v>
      </c>
      <c r="AB605" s="7">
        <f t="shared" si="89"/>
        <v>154676.34999999998</v>
      </c>
    </row>
    <row r="606" spans="1:28" x14ac:dyDescent="0.25">
      <c r="A606">
        <v>689661541</v>
      </c>
      <c r="B606" t="s">
        <v>880</v>
      </c>
      <c r="C606" t="s">
        <v>881</v>
      </c>
      <c r="D606" t="str">
        <f>B606&amp;" "&amp;C606</f>
        <v>Barbi Matysiak</v>
      </c>
      <c r="E606" t="s">
        <v>29</v>
      </c>
      <c r="F606">
        <v>64134</v>
      </c>
      <c r="G606">
        <f>COUNTIF(deals_closed!D:D,Calculations!A606)</f>
        <v>18</v>
      </c>
      <c r="H606" s="2">
        <f>SUMIF(deals_closed!D:D,Calculations!A606,deals_closed!C:C)</f>
        <v>602312</v>
      </c>
      <c r="I606" s="2">
        <f>VLOOKUP(E606,'2018_commission_structure'!$A$11:$I$14,9,FALSE)</f>
        <v>600000</v>
      </c>
      <c r="J606" s="2">
        <f t="shared" si="81"/>
        <v>750000</v>
      </c>
      <c r="K606" s="2">
        <f t="shared" si="82"/>
        <v>900000</v>
      </c>
      <c r="L606" s="2">
        <f t="shared" si="83"/>
        <v>1200000</v>
      </c>
      <c r="M606" s="6">
        <f t="shared" si="84"/>
        <v>1.0038533333333333</v>
      </c>
      <c r="N606" t="str">
        <f t="shared" si="85"/>
        <v>100-125%</v>
      </c>
      <c r="O606" s="7">
        <f>MIN(I606,H606)*INDEX('2018_commission_structure'!$A$11:$I$14,MATCH(Calculations!$E606,'2018_commission_structure'!$A$11:$A$14,0),MATCH(Calculations!O$1,'2018_commission_structure'!$A$11:$I$11,0))</f>
        <v>78000</v>
      </c>
      <c r="P606" s="7">
        <f>IF($H606&gt;I606,MIN($H606-I606,J606-I606)*INDEX('2018_commission_structure'!$A$11:$I$14,MATCH(Calculations!$E606,'2018_commission_structure'!$A$11:$A$14,0), MATCH(Calculations!P$1,'2018_commission_structure'!$A$11:$I$11,0)),0)</f>
        <v>393.04</v>
      </c>
      <c r="Q606" s="7">
        <f>IF($H606&gt;J606,MIN($H606-J606,K606-J606)*INDEX('2018_commission_structure'!$A$11:$I$14,MATCH(Calculations!$E606,'2018_commission_structure'!$A$11:$A$14,0), MATCH(Calculations!Q$1,'2018_commission_structure'!$A$11:$I$11,0)),0)</f>
        <v>0</v>
      </c>
      <c r="R606" s="7">
        <f>IF($H606&gt;K606,MIN($H606-K606,L606-K606)*INDEX('2018_commission_structure'!$A$11:$I$14,MATCH(Calculations!$E606,'2018_commission_structure'!$A$11:$A$14,0), MATCH(Calculations!R$1,'2018_commission_structure'!$A$11:$I$11,0)),0)</f>
        <v>0</v>
      </c>
      <c r="S606" s="7">
        <f>IF(H606&gt;L606,(H606-L606)*INDEX('2018_commission_structure'!$A$11:$I$14,MATCH(Calculations!$E606,'2018_commission_structure'!$A$11:$A$14,0),MATCH(Calculations!S$1,'2018_commission_structure'!$A$11:$I$11,0)),0)</f>
        <v>0</v>
      </c>
      <c r="T606" s="7">
        <f t="shared" si="86"/>
        <v>78393.039999999994</v>
      </c>
      <c r="U606" s="7">
        <f t="shared" si="87"/>
        <v>142527.03999999998</v>
      </c>
      <c r="V606" s="7">
        <f>MIN(H606,I606)*INDEX('2018_commission_structure'!$A$5:$J$8,MATCH(Calculations!$E606,'2018_commission_structure'!$A$5:$A$8,0),MATCH(Calculations!V$1,'2018_commission_structure'!$A$5:$J$5,0))</f>
        <v>90000</v>
      </c>
      <c r="W606" s="2">
        <f>IF($H606&gt;I606,MIN($H606-I606,J606-I606)*INDEX('2018_commission_structure'!$A$5:$J$8,MATCH(Calculations!$E606,'2018_commission_structure'!$A$5:$A$8,0),MATCH(Calculations!W$1,'2018_commission_structure'!$A$5:$J$5,0)),0)</f>
        <v>416.15999999999997</v>
      </c>
      <c r="X606" s="2">
        <f>IF($H606&gt;J606,MIN($H606-J606,K606-J606)*INDEX('2018_commission_structure'!$A$5:$J$8,MATCH(Calculations!$E606,'2018_commission_structure'!$A$5:$A$8,0),MATCH(Calculations!X$1,'2018_commission_structure'!$A$5:$J$5,0)),0)</f>
        <v>0</v>
      </c>
      <c r="Y606" s="2">
        <f>IF($H606&gt;K606,MIN($H606-K606,L606-K606)*INDEX('2018_commission_structure'!$A$5:$J$8,MATCH(Calculations!$E606,'2018_commission_structure'!$A$5:$A$8,0),MATCH(Calculations!Y$1,'2018_commission_structure'!$A$5:$J$5,0)),0)</f>
        <v>0</v>
      </c>
      <c r="Z606" s="2">
        <f xml:space="preserve"> IF(H606&gt;L606,(H606-L606)*INDEX('2018_commission_structure'!$A$11:$I$14,MATCH(Calculations!$E606,'2018_commission_structure'!$A$11:$A$14,0),MATCH(Calculations!Z$1,'2018_commission_structure'!$A$11:$I$11,0)),0)</f>
        <v>0</v>
      </c>
      <c r="AA606" s="7">
        <f t="shared" si="88"/>
        <v>90416.16</v>
      </c>
      <c r="AB606" s="7">
        <f t="shared" si="89"/>
        <v>154550.16</v>
      </c>
    </row>
    <row r="607" spans="1:28" x14ac:dyDescent="0.25">
      <c r="A607">
        <v>1462119603</v>
      </c>
      <c r="B607" t="s">
        <v>1674</v>
      </c>
      <c r="C607" t="s">
        <v>1675</v>
      </c>
      <c r="D607" t="str">
        <f>B607&amp;" "&amp;C607</f>
        <v>Carce Maund</v>
      </c>
      <c r="E607" t="s">
        <v>10</v>
      </c>
      <c r="F607">
        <v>101235</v>
      </c>
      <c r="G607">
        <f>COUNTIF(deals_closed!D:D,Calculations!A607)</f>
        <v>20</v>
      </c>
      <c r="H607" s="2">
        <f>SUMIF(deals_closed!D:D,Calculations!A607,deals_closed!C:C)</f>
        <v>653912</v>
      </c>
      <c r="I607" s="2">
        <f>VLOOKUP(E607,'2018_commission_structure'!$A$11:$I$14,9,FALSE)</f>
        <v>750000</v>
      </c>
      <c r="J607" s="2">
        <f t="shared" si="81"/>
        <v>937500</v>
      </c>
      <c r="K607" s="2">
        <f t="shared" si="82"/>
        <v>1125000</v>
      </c>
      <c r="L607" s="2">
        <f t="shared" si="83"/>
        <v>1500000</v>
      </c>
      <c r="M607" s="6">
        <f t="shared" si="84"/>
        <v>0.87188266666666669</v>
      </c>
      <c r="N607" t="str">
        <f t="shared" si="85"/>
        <v>0-100%</v>
      </c>
      <c r="O607" s="7">
        <f>MIN(I607,H607)*INDEX('2018_commission_structure'!$A$11:$I$14,MATCH(Calculations!$E607,'2018_commission_structure'!$A$11:$A$14,0),MATCH(Calculations!O$1,'2018_commission_structure'!$A$11:$I$11,0))</f>
        <v>98086.8</v>
      </c>
      <c r="P607" s="7">
        <f>IF($H607&gt;I607,MIN($H607-I607,J607-I607)*INDEX('2018_commission_structure'!$A$11:$I$14,MATCH(Calculations!$E607,'2018_commission_structure'!$A$11:$A$14,0), MATCH(Calculations!P$1,'2018_commission_structure'!$A$11:$I$11,0)),0)</f>
        <v>0</v>
      </c>
      <c r="Q607" s="7">
        <f>IF($H607&gt;J607,MIN($H607-J607,K607-J607)*INDEX('2018_commission_structure'!$A$11:$I$14,MATCH(Calculations!$E607,'2018_commission_structure'!$A$11:$A$14,0), MATCH(Calculations!Q$1,'2018_commission_structure'!$A$11:$I$11,0)),0)</f>
        <v>0</v>
      </c>
      <c r="R607" s="7">
        <f>IF($H607&gt;K607,MIN($H607-K607,L607-K607)*INDEX('2018_commission_structure'!$A$11:$I$14,MATCH(Calculations!$E607,'2018_commission_structure'!$A$11:$A$14,0), MATCH(Calculations!R$1,'2018_commission_structure'!$A$11:$I$11,0)),0)</f>
        <v>0</v>
      </c>
      <c r="S607" s="7">
        <f>IF(H607&gt;L607,(H607-L607)*INDEX('2018_commission_structure'!$A$11:$I$14,MATCH(Calculations!$E607,'2018_commission_structure'!$A$11:$A$14,0),MATCH(Calculations!S$1,'2018_commission_structure'!$A$11:$I$11,0)),0)</f>
        <v>0</v>
      </c>
      <c r="T607" s="7">
        <f t="shared" si="86"/>
        <v>98086.8</v>
      </c>
      <c r="U607" s="7">
        <f t="shared" si="87"/>
        <v>199321.8</v>
      </c>
      <c r="V607" s="7">
        <f>MIN(H607,I607)*INDEX('2018_commission_structure'!$A$5:$J$8,MATCH(Calculations!$E607,'2018_commission_structure'!$A$5:$A$8,0),MATCH(Calculations!V$1,'2018_commission_structure'!$A$5:$J$5,0))</f>
        <v>98086.8</v>
      </c>
      <c r="W607" s="2">
        <f>IF($H607&gt;I607,MIN($H607-I607,J607-I607)*INDEX('2018_commission_structure'!$A$5:$J$8,MATCH(Calculations!$E607,'2018_commission_structure'!$A$5:$A$8,0),MATCH(Calculations!W$1,'2018_commission_structure'!$A$5:$J$5,0)),0)</f>
        <v>0</v>
      </c>
      <c r="X607" s="2">
        <f>IF($H607&gt;J607,MIN($H607-J607,K607-J607)*INDEX('2018_commission_structure'!$A$5:$J$8,MATCH(Calculations!$E607,'2018_commission_structure'!$A$5:$A$8,0),MATCH(Calculations!X$1,'2018_commission_structure'!$A$5:$J$5,0)),0)</f>
        <v>0</v>
      </c>
      <c r="Y607" s="2">
        <f>IF($H607&gt;K607,MIN($H607-K607,L607-K607)*INDEX('2018_commission_structure'!$A$5:$J$8,MATCH(Calculations!$E607,'2018_commission_structure'!$A$5:$A$8,0),MATCH(Calculations!Y$1,'2018_commission_structure'!$A$5:$J$5,0)),0)</f>
        <v>0</v>
      </c>
      <c r="Z607" s="2">
        <f xml:space="preserve"> IF(H607&gt;L607,(H607-L607)*INDEX('2018_commission_structure'!$A$11:$I$14,MATCH(Calculations!$E607,'2018_commission_structure'!$A$11:$A$14,0),MATCH(Calculations!Z$1,'2018_commission_structure'!$A$11:$I$11,0)),0)</f>
        <v>0</v>
      </c>
      <c r="AA607" s="7">
        <f t="shared" si="88"/>
        <v>98086.8</v>
      </c>
      <c r="AB607" s="7">
        <f t="shared" si="89"/>
        <v>199321.8</v>
      </c>
    </row>
    <row r="608" spans="1:28" x14ac:dyDescent="0.25">
      <c r="A608">
        <v>1081492333</v>
      </c>
      <c r="B608" t="s">
        <v>1859</v>
      </c>
      <c r="C608" t="s">
        <v>1860</v>
      </c>
      <c r="D608" t="str">
        <f>B608&amp;" "&amp;C608</f>
        <v>Barnabe McCaighey</v>
      </c>
      <c r="E608" t="s">
        <v>10</v>
      </c>
      <c r="F608">
        <v>115135</v>
      </c>
      <c r="G608">
        <f>COUNTIF(deals_closed!D:D,Calculations!A608)</f>
        <v>32</v>
      </c>
      <c r="H608" s="2">
        <f>SUMIF(deals_closed!D:D,Calculations!A608,deals_closed!C:C)</f>
        <v>1172724</v>
      </c>
      <c r="I608" s="2">
        <f>VLOOKUP(E608,'2018_commission_structure'!$A$11:$I$14,9,FALSE)</f>
        <v>750000</v>
      </c>
      <c r="J608" s="2">
        <f t="shared" si="81"/>
        <v>937500</v>
      </c>
      <c r="K608" s="2">
        <f t="shared" si="82"/>
        <v>1125000</v>
      </c>
      <c r="L608" s="2">
        <f t="shared" si="83"/>
        <v>1500000</v>
      </c>
      <c r="M608" s="6">
        <f t="shared" si="84"/>
        <v>1.5636319999999999</v>
      </c>
      <c r="N608" t="str">
        <f t="shared" si="85"/>
        <v>150-200%</v>
      </c>
      <c r="O608" s="7">
        <f>MIN(I608,H608)*INDEX('2018_commission_structure'!$A$11:$I$14,MATCH(Calculations!$E608,'2018_commission_structure'!$A$11:$A$14,0),MATCH(Calculations!O$1,'2018_commission_structure'!$A$11:$I$11,0))</f>
        <v>112500</v>
      </c>
      <c r="P608" s="7">
        <f>IF($H608&gt;I608,MIN($H608-I608,J608-I608)*INDEX('2018_commission_structure'!$A$11:$I$14,MATCH(Calculations!$E608,'2018_commission_structure'!$A$11:$A$14,0), MATCH(Calculations!P$1,'2018_commission_structure'!$A$11:$I$11,0)),0)</f>
        <v>35625</v>
      </c>
      <c r="Q608" s="7">
        <f>IF($H608&gt;J608,MIN($H608-J608,K608-J608)*INDEX('2018_commission_structure'!$A$11:$I$14,MATCH(Calculations!$E608,'2018_commission_structure'!$A$11:$A$14,0), MATCH(Calculations!Q$1,'2018_commission_structure'!$A$11:$I$11,0)),0)</f>
        <v>43125</v>
      </c>
      <c r="R608" s="7">
        <f>IF($H608&gt;K608,MIN($H608-K608,L608-K608)*INDEX('2018_commission_structure'!$A$11:$I$14,MATCH(Calculations!$E608,'2018_commission_structure'!$A$11:$A$14,0), MATCH(Calculations!R$1,'2018_commission_structure'!$A$11:$I$11,0)),0)</f>
        <v>14317.199999999999</v>
      </c>
      <c r="S608" s="7">
        <f>IF(H608&gt;L608,(H608-L608)*INDEX('2018_commission_structure'!$A$11:$I$14,MATCH(Calculations!$E608,'2018_commission_structure'!$A$11:$A$14,0),MATCH(Calculations!S$1,'2018_commission_structure'!$A$11:$I$11,0)),0)</f>
        <v>0</v>
      </c>
      <c r="T608" s="7">
        <f t="shared" si="86"/>
        <v>205567.2</v>
      </c>
      <c r="U608" s="7">
        <f t="shared" si="87"/>
        <v>320702.2</v>
      </c>
      <c r="V608" s="7">
        <f>MIN(H608,I608)*INDEX('2018_commission_structure'!$A$5:$J$8,MATCH(Calculations!$E608,'2018_commission_structure'!$A$5:$A$8,0),MATCH(Calculations!V$1,'2018_commission_structure'!$A$5:$J$5,0))</f>
        <v>112500</v>
      </c>
      <c r="W608" s="2">
        <f>IF($H608&gt;I608,MIN($H608-I608,J608-I608)*INDEX('2018_commission_structure'!$A$5:$J$8,MATCH(Calculations!$E608,'2018_commission_structure'!$A$5:$A$8,0),MATCH(Calculations!W$1,'2018_commission_structure'!$A$5:$J$5,0)),0)</f>
        <v>41250</v>
      </c>
      <c r="X608" s="2">
        <f>IF($H608&gt;J608,MIN($H608-J608,K608-J608)*INDEX('2018_commission_structure'!$A$5:$J$8,MATCH(Calculations!$E608,'2018_commission_structure'!$A$5:$A$8,0),MATCH(Calculations!X$1,'2018_commission_structure'!$A$5:$J$5,0)),0)</f>
        <v>46875</v>
      </c>
      <c r="Y608" s="2">
        <f>IF($H608&gt;K608,MIN($H608-K608,L608-K608)*INDEX('2018_commission_structure'!$A$5:$J$8,MATCH(Calculations!$E608,'2018_commission_structure'!$A$5:$A$8,0),MATCH(Calculations!Y$1,'2018_commission_structure'!$A$5:$J$5,0)),0)</f>
        <v>15748.92</v>
      </c>
      <c r="Z608" s="2">
        <f xml:space="preserve"> IF(H608&gt;L608,(H608-L608)*INDEX('2018_commission_structure'!$A$11:$I$14,MATCH(Calculations!$E608,'2018_commission_structure'!$A$11:$A$14,0),MATCH(Calculations!Z$1,'2018_commission_structure'!$A$11:$I$11,0)),0)</f>
        <v>0</v>
      </c>
      <c r="AA608" s="7">
        <f t="shared" si="88"/>
        <v>216373.92</v>
      </c>
      <c r="AB608" s="7">
        <f t="shared" si="89"/>
        <v>331508.92000000004</v>
      </c>
    </row>
    <row r="609" spans="1:28" x14ac:dyDescent="0.25">
      <c r="A609">
        <v>8507800106</v>
      </c>
      <c r="B609" t="s">
        <v>899</v>
      </c>
      <c r="C609" t="s">
        <v>900</v>
      </c>
      <c r="D609" t="str">
        <f>B609&amp;" "&amp;C609</f>
        <v>Nisse McCauley</v>
      </c>
      <c r="E609" t="s">
        <v>7</v>
      </c>
      <c r="F609">
        <v>48566</v>
      </c>
      <c r="G609">
        <f>COUNTIF(deals_closed!D:D,Calculations!A609)</f>
        <v>23</v>
      </c>
      <c r="H609" s="2">
        <f>SUMIF(deals_closed!D:D,Calculations!A609,deals_closed!C:C)</f>
        <v>726495</v>
      </c>
      <c r="I609" s="2">
        <f>VLOOKUP(E609,'2018_commission_structure'!$A$11:$I$14,9,FALSE)</f>
        <v>500000</v>
      </c>
      <c r="J609" s="2">
        <f t="shared" si="81"/>
        <v>625000</v>
      </c>
      <c r="K609" s="2">
        <f t="shared" si="82"/>
        <v>750000</v>
      </c>
      <c r="L609" s="2">
        <f t="shared" si="83"/>
        <v>1000000</v>
      </c>
      <c r="M609" s="6">
        <f t="shared" si="84"/>
        <v>1.45299</v>
      </c>
      <c r="N609" t="str">
        <f t="shared" si="85"/>
        <v>125-150%</v>
      </c>
      <c r="O609" s="7">
        <f>MIN(I609,H609)*INDEX('2018_commission_structure'!$A$11:$I$14,MATCH(Calculations!$E609,'2018_commission_structure'!$A$11:$A$14,0),MATCH(Calculations!O$1,'2018_commission_structure'!$A$11:$I$11,0))</f>
        <v>50000</v>
      </c>
      <c r="P609" s="7">
        <f>IF($H609&gt;I609,MIN($H609-I609,J609-I609)*INDEX('2018_commission_structure'!$A$11:$I$14,MATCH(Calculations!$E609,'2018_commission_structure'!$A$11:$A$14,0), MATCH(Calculations!P$1,'2018_commission_structure'!$A$11:$I$11,0)),0)</f>
        <v>18750</v>
      </c>
      <c r="Q609" s="7">
        <f>IF($H609&gt;J609,MIN($H609-J609,K609-J609)*INDEX('2018_commission_structure'!$A$11:$I$14,MATCH(Calculations!$E609,'2018_commission_structure'!$A$11:$A$14,0), MATCH(Calculations!Q$1,'2018_commission_structure'!$A$11:$I$11,0)),0)</f>
        <v>18269.099999999999</v>
      </c>
      <c r="R609" s="7">
        <f>IF($H609&gt;K609,MIN($H609-K609,L609-K609)*INDEX('2018_commission_structure'!$A$11:$I$14,MATCH(Calculations!$E609,'2018_commission_structure'!$A$11:$A$14,0), MATCH(Calculations!R$1,'2018_commission_structure'!$A$11:$I$11,0)),0)</f>
        <v>0</v>
      </c>
      <c r="S609" s="7">
        <f>IF(H609&gt;L609,(H609-L609)*INDEX('2018_commission_structure'!$A$11:$I$14,MATCH(Calculations!$E609,'2018_commission_structure'!$A$11:$A$14,0),MATCH(Calculations!S$1,'2018_commission_structure'!$A$11:$I$11,0)),0)</f>
        <v>0</v>
      </c>
      <c r="T609" s="7">
        <f t="shared" si="86"/>
        <v>87019.1</v>
      </c>
      <c r="U609" s="7">
        <f t="shared" si="87"/>
        <v>135585.1</v>
      </c>
      <c r="V609" s="7">
        <f>MIN(H609,I609)*INDEX('2018_commission_structure'!$A$5:$J$8,MATCH(Calculations!$E609,'2018_commission_structure'!$A$5:$A$8,0),MATCH(Calculations!V$1,'2018_commission_structure'!$A$5:$J$5,0))</f>
        <v>60000</v>
      </c>
      <c r="W609" s="2">
        <f>IF($H609&gt;I609,MIN($H609-I609,J609-I609)*INDEX('2018_commission_structure'!$A$5:$J$8,MATCH(Calculations!$E609,'2018_commission_structure'!$A$5:$A$8,0),MATCH(Calculations!W$1,'2018_commission_structure'!$A$5:$J$5,0)),0)</f>
        <v>21250</v>
      </c>
      <c r="X609" s="2">
        <f>IF($H609&gt;J609,MIN($H609-J609,K609-J609)*INDEX('2018_commission_structure'!$A$5:$J$8,MATCH(Calculations!$E609,'2018_commission_structure'!$A$5:$A$8,0),MATCH(Calculations!X$1,'2018_commission_structure'!$A$5:$J$5,0)),0)</f>
        <v>20299</v>
      </c>
      <c r="Y609" s="2">
        <f>IF($H609&gt;K609,MIN($H609-K609,L609-K609)*INDEX('2018_commission_structure'!$A$5:$J$8,MATCH(Calculations!$E609,'2018_commission_structure'!$A$5:$A$8,0),MATCH(Calculations!Y$1,'2018_commission_structure'!$A$5:$J$5,0)),0)</f>
        <v>0</v>
      </c>
      <c r="Z609" s="2">
        <f xml:space="preserve"> IF(H609&gt;L609,(H609-L609)*INDEX('2018_commission_structure'!$A$11:$I$14,MATCH(Calculations!$E609,'2018_commission_structure'!$A$11:$A$14,0),MATCH(Calculations!Z$1,'2018_commission_structure'!$A$11:$I$11,0)),0)</f>
        <v>0</v>
      </c>
      <c r="AA609" s="7">
        <f t="shared" si="88"/>
        <v>101549</v>
      </c>
      <c r="AB609" s="7">
        <f t="shared" si="89"/>
        <v>150115</v>
      </c>
    </row>
    <row r="610" spans="1:28" x14ac:dyDescent="0.25">
      <c r="A610">
        <v>7263964236</v>
      </c>
      <c r="B610" t="s">
        <v>347</v>
      </c>
      <c r="C610" t="s">
        <v>348</v>
      </c>
      <c r="D610" t="str">
        <f>B610&amp;" "&amp;C610</f>
        <v>Chev McConnal</v>
      </c>
      <c r="E610" t="s">
        <v>10</v>
      </c>
      <c r="F610">
        <v>93512</v>
      </c>
      <c r="G610">
        <f>COUNTIF(deals_closed!D:D,Calculations!A610)</f>
        <v>15</v>
      </c>
      <c r="H610" s="2">
        <f>SUMIF(deals_closed!D:D,Calculations!A610,deals_closed!C:C)</f>
        <v>400606</v>
      </c>
      <c r="I610" s="2">
        <f>VLOOKUP(E610,'2018_commission_structure'!$A$11:$I$14,9,FALSE)</f>
        <v>750000</v>
      </c>
      <c r="J610" s="2">
        <f t="shared" si="81"/>
        <v>937500</v>
      </c>
      <c r="K610" s="2">
        <f t="shared" si="82"/>
        <v>1125000</v>
      </c>
      <c r="L610" s="2">
        <f t="shared" si="83"/>
        <v>1500000</v>
      </c>
      <c r="M610" s="6">
        <f t="shared" si="84"/>
        <v>0.53414133333333336</v>
      </c>
      <c r="N610" t="str">
        <f t="shared" si="85"/>
        <v>0-100%</v>
      </c>
      <c r="O610" s="7">
        <f>MIN(I610,H610)*INDEX('2018_commission_structure'!$A$11:$I$14,MATCH(Calculations!$E610,'2018_commission_structure'!$A$11:$A$14,0),MATCH(Calculations!O$1,'2018_commission_structure'!$A$11:$I$11,0))</f>
        <v>60090.899999999994</v>
      </c>
      <c r="P610" s="7">
        <f>IF($H610&gt;I610,MIN($H610-I610,J610-I610)*INDEX('2018_commission_structure'!$A$11:$I$14,MATCH(Calculations!$E610,'2018_commission_structure'!$A$11:$A$14,0), MATCH(Calculations!P$1,'2018_commission_structure'!$A$11:$I$11,0)),0)</f>
        <v>0</v>
      </c>
      <c r="Q610" s="7">
        <f>IF($H610&gt;J610,MIN($H610-J610,K610-J610)*INDEX('2018_commission_structure'!$A$11:$I$14,MATCH(Calculations!$E610,'2018_commission_structure'!$A$11:$A$14,0), MATCH(Calculations!Q$1,'2018_commission_structure'!$A$11:$I$11,0)),0)</f>
        <v>0</v>
      </c>
      <c r="R610" s="7">
        <f>IF($H610&gt;K610,MIN($H610-K610,L610-K610)*INDEX('2018_commission_structure'!$A$11:$I$14,MATCH(Calculations!$E610,'2018_commission_structure'!$A$11:$A$14,0), MATCH(Calculations!R$1,'2018_commission_structure'!$A$11:$I$11,0)),0)</f>
        <v>0</v>
      </c>
      <c r="S610" s="7">
        <f>IF(H610&gt;L610,(H610-L610)*INDEX('2018_commission_structure'!$A$11:$I$14,MATCH(Calculations!$E610,'2018_commission_structure'!$A$11:$A$14,0),MATCH(Calculations!S$1,'2018_commission_structure'!$A$11:$I$11,0)),0)</f>
        <v>0</v>
      </c>
      <c r="T610" s="7">
        <f t="shared" si="86"/>
        <v>60090.899999999994</v>
      </c>
      <c r="U610" s="7">
        <f t="shared" si="87"/>
        <v>153602.9</v>
      </c>
      <c r="V610" s="7">
        <f>MIN(H610,I610)*INDEX('2018_commission_structure'!$A$5:$J$8,MATCH(Calculations!$E610,'2018_commission_structure'!$A$5:$A$8,0),MATCH(Calculations!V$1,'2018_commission_structure'!$A$5:$J$5,0))</f>
        <v>60090.899999999994</v>
      </c>
      <c r="W610" s="2">
        <f>IF($H610&gt;I610,MIN($H610-I610,J610-I610)*INDEX('2018_commission_structure'!$A$5:$J$8,MATCH(Calculations!$E610,'2018_commission_structure'!$A$5:$A$8,0),MATCH(Calculations!W$1,'2018_commission_structure'!$A$5:$J$5,0)),0)</f>
        <v>0</v>
      </c>
      <c r="X610" s="2">
        <f>IF($H610&gt;J610,MIN($H610-J610,K610-J610)*INDEX('2018_commission_structure'!$A$5:$J$8,MATCH(Calculations!$E610,'2018_commission_structure'!$A$5:$A$8,0),MATCH(Calculations!X$1,'2018_commission_structure'!$A$5:$J$5,0)),0)</f>
        <v>0</v>
      </c>
      <c r="Y610" s="2">
        <f>IF($H610&gt;K610,MIN($H610-K610,L610-K610)*INDEX('2018_commission_structure'!$A$5:$J$8,MATCH(Calculations!$E610,'2018_commission_structure'!$A$5:$A$8,0),MATCH(Calculations!Y$1,'2018_commission_structure'!$A$5:$J$5,0)),0)</f>
        <v>0</v>
      </c>
      <c r="Z610" s="2">
        <f xml:space="preserve"> IF(H610&gt;L610,(H610-L610)*INDEX('2018_commission_structure'!$A$11:$I$14,MATCH(Calculations!$E610,'2018_commission_structure'!$A$11:$A$14,0),MATCH(Calculations!Z$1,'2018_commission_structure'!$A$11:$I$11,0)),0)</f>
        <v>0</v>
      </c>
      <c r="AA610" s="7">
        <f t="shared" si="88"/>
        <v>60090.899999999994</v>
      </c>
      <c r="AB610" s="7">
        <f t="shared" si="89"/>
        <v>153602.9</v>
      </c>
    </row>
    <row r="611" spans="1:28" x14ac:dyDescent="0.25">
      <c r="A611">
        <v>4372257910</v>
      </c>
      <c r="B611" t="s">
        <v>1753</v>
      </c>
      <c r="C611" t="s">
        <v>1754</v>
      </c>
      <c r="D611" t="str">
        <f>B611&amp;" "&amp;C611</f>
        <v>Heddi McCurley</v>
      </c>
      <c r="E611" t="s">
        <v>29</v>
      </c>
      <c r="F611">
        <v>58343</v>
      </c>
      <c r="G611">
        <f>COUNTIF(deals_closed!D:D,Calculations!A611)</f>
        <v>16</v>
      </c>
      <c r="H611" s="2">
        <f>SUMIF(deals_closed!D:D,Calculations!A611,deals_closed!C:C)</f>
        <v>644947</v>
      </c>
      <c r="I611" s="2">
        <f>VLOOKUP(E611,'2018_commission_structure'!$A$11:$I$14,9,FALSE)</f>
        <v>600000</v>
      </c>
      <c r="J611" s="2">
        <f t="shared" si="81"/>
        <v>750000</v>
      </c>
      <c r="K611" s="2">
        <f t="shared" si="82"/>
        <v>900000</v>
      </c>
      <c r="L611" s="2">
        <f t="shared" si="83"/>
        <v>1200000</v>
      </c>
      <c r="M611" s="6">
        <f t="shared" si="84"/>
        <v>1.0749116666666667</v>
      </c>
      <c r="N611" t="str">
        <f t="shared" si="85"/>
        <v>100-125%</v>
      </c>
      <c r="O611" s="7">
        <f>MIN(I611,H611)*INDEX('2018_commission_structure'!$A$11:$I$14,MATCH(Calculations!$E611,'2018_commission_structure'!$A$11:$A$14,0),MATCH(Calculations!O$1,'2018_commission_structure'!$A$11:$I$11,0))</f>
        <v>78000</v>
      </c>
      <c r="P611" s="7">
        <f>IF($H611&gt;I611,MIN($H611-I611,J611-I611)*INDEX('2018_commission_structure'!$A$11:$I$14,MATCH(Calculations!$E611,'2018_commission_structure'!$A$11:$A$14,0), MATCH(Calculations!P$1,'2018_commission_structure'!$A$11:$I$11,0)),0)</f>
        <v>7640.9900000000007</v>
      </c>
      <c r="Q611" s="7">
        <f>IF($H611&gt;J611,MIN($H611-J611,K611-J611)*INDEX('2018_commission_structure'!$A$11:$I$14,MATCH(Calculations!$E611,'2018_commission_structure'!$A$11:$A$14,0), MATCH(Calculations!Q$1,'2018_commission_structure'!$A$11:$I$11,0)),0)</f>
        <v>0</v>
      </c>
      <c r="R611" s="7">
        <f>IF($H611&gt;K611,MIN($H611-K611,L611-K611)*INDEX('2018_commission_structure'!$A$11:$I$14,MATCH(Calculations!$E611,'2018_commission_structure'!$A$11:$A$14,0), MATCH(Calculations!R$1,'2018_commission_structure'!$A$11:$I$11,0)),0)</f>
        <v>0</v>
      </c>
      <c r="S611" s="7">
        <f>IF(H611&gt;L611,(H611-L611)*INDEX('2018_commission_structure'!$A$11:$I$14,MATCH(Calculations!$E611,'2018_commission_structure'!$A$11:$A$14,0),MATCH(Calculations!S$1,'2018_commission_structure'!$A$11:$I$11,0)),0)</f>
        <v>0</v>
      </c>
      <c r="T611" s="7">
        <f t="shared" si="86"/>
        <v>85640.99</v>
      </c>
      <c r="U611" s="7">
        <f t="shared" si="87"/>
        <v>143983.99</v>
      </c>
      <c r="V611" s="7">
        <f>MIN(H611,I611)*INDEX('2018_commission_structure'!$A$5:$J$8,MATCH(Calculations!$E611,'2018_commission_structure'!$A$5:$A$8,0),MATCH(Calculations!V$1,'2018_commission_structure'!$A$5:$J$5,0))</f>
        <v>90000</v>
      </c>
      <c r="W611" s="2">
        <f>IF($H611&gt;I611,MIN($H611-I611,J611-I611)*INDEX('2018_commission_structure'!$A$5:$J$8,MATCH(Calculations!$E611,'2018_commission_structure'!$A$5:$A$8,0),MATCH(Calculations!W$1,'2018_commission_structure'!$A$5:$J$5,0)),0)</f>
        <v>8090.46</v>
      </c>
      <c r="X611" s="2">
        <f>IF($H611&gt;J611,MIN($H611-J611,K611-J611)*INDEX('2018_commission_structure'!$A$5:$J$8,MATCH(Calculations!$E611,'2018_commission_structure'!$A$5:$A$8,0),MATCH(Calculations!X$1,'2018_commission_structure'!$A$5:$J$5,0)),0)</f>
        <v>0</v>
      </c>
      <c r="Y611" s="2">
        <f>IF($H611&gt;K611,MIN($H611-K611,L611-K611)*INDEX('2018_commission_structure'!$A$5:$J$8,MATCH(Calculations!$E611,'2018_commission_structure'!$A$5:$A$8,0),MATCH(Calculations!Y$1,'2018_commission_structure'!$A$5:$J$5,0)),0)</f>
        <v>0</v>
      </c>
      <c r="Z611" s="2">
        <f xml:space="preserve"> IF(H611&gt;L611,(H611-L611)*INDEX('2018_commission_structure'!$A$11:$I$14,MATCH(Calculations!$E611,'2018_commission_structure'!$A$11:$A$14,0),MATCH(Calculations!Z$1,'2018_commission_structure'!$A$11:$I$11,0)),0)</f>
        <v>0</v>
      </c>
      <c r="AA611" s="7">
        <f t="shared" si="88"/>
        <v>98090.46</v>
      </c>
      <c r="AB611" s="7">
        <f t="shared" si="89"/>
        <v>156433.46000000002</v>
      </c>
    </row>
    <row r="612" spans="1:28" x14ac:dyDescent="0.25">
      <c r="A612">
        <v>4656574848</v>
      </c>
      <c r="B612" t="s">
        <v>268</v>
      </c>
      <c r="C612" t="s">
        <v>269</v>
      </c>
      <c r="D612" t="str">
        <f>B612&amp;" "&amp;C612</f>
        <v>Kathrine McDougald</v>
      </c>
      <c r="E612" t="s">
        <v>7</v>
      </c>
      <c r="F612">
        <v>62869</v>
      </c>
      <c r="G612">
        <f>COUNTIF(deals_closed!D:D,Calculations!A612)</f>
        <v>17</v>
      </c>
      <c r="H612" s="2">
        <f>SUMIF(deals_closed!D:D,Calculations!A612,deals_closed!C:C)</f>
        <v>551295</v>
      </c>
      <c r="I612" s="2">
        <f>VLOOKUP(E612,'2018_commission_structure'!$A$11:$I$14,9,FALSE)</f>
        <v>500000</v>
      </c>
      <c r="J612" s="2">
        <f t="shared" si="81"/>
        <v>625000</v>
      </c>
      <c r="K612" s="2">
        <f t="shared" si="82"/>
        <v>750000</v>
      </c>
      <c r="L612" s="2">
        <f t="shared" si="83"/>
        <v>1000000</v>
      </c>
      <c r="M612" s="6">
        <f t="shared" si="84"/>
        <v>1.10259</v>
      </c>
      <c r="N612" t="str">
        <f t="shared" si="85"/>
        <v>100-125%</v>
      </c>
      <c r="O612" s="7">
        <f>MIN(I612,H612)*INDEX('2018_commission_structure'!$A$11:$I$14,MATCH(Calculations!$E612,'2018_commission_structure'!$A$11:$A$14,0),MATCH(Calculations!O$1,'2018_commission_structure'!$A$11:$I$11,0))</f>
        <v>50000</v>
      </c>
      <c r="P612" s="7">
        <f>IF($H612&gt;I612,MIN($H612-I612,J612-I612)*INDEX('2018_commission_structure'!$A$11:$I$14,MATCH(Calculations!$E612,'2018_commission_structure'!$A$11:$A$14,0), MATCH(Calculations!P$1,'2018_commission_structure'!$A$11:$I$11,0)),0)</f>
        <v>7694.25</v>
      </c>
      <c r="Q612" s="7">
        <f>IF($H612&gt;J612,MIN($H612-J612,K612-J612)*INDEX('2018_commission_structure'!$A$11:$I$14,MATCH(Calculations!$E612,'2018_commission_structure'!$A$11:$A$14,0), MATCH(Calculations!Q$1,'2018_commission_structure'!$A$11:$I$11,0)),0)</f>
        <v>0</v>
      </c>
      <c r="R612" s="7">
        <f>IF($H612&gt;K612,MIN($H612-K612,L612-K612)*INDEX('2018_commission_structure'!$A$11:$I$14,MATCH(Calculations!$E612,'2018_commission_structure'!$A$11:$A$14,0), MATCH(Calculations!R$1,'2018_commission_structure'!$A$11:$I$11,0)),0)</f>
        <v>0</v>
      </c>
      <c r="S612" s="7">
        <f>IF(H612&gt;L612,(H612-L612)*INDEX('2018_commission_structure'!$A$11:$I$14,MATCH(Calculations!$E612,'2018_commission_structure'!$A$11:$A$14,0),MATCH(Calculations!S$1,'2018_commission_structure'!$A$11:$I$11,0)),0)</f>
        <v>0</v>
      </c>
      <c r="T612" s="7">
        <f t="shared" si="86"/>
        <v>57694.25</v>
      </c>
      <c r="U612" s="7">
        <f t="shared" si="87"/>
        <v>120563.25</v>
      </c>
      <c r="V612" s="7">
        <f>MIN(H612,I612)*INDEX('2018_commission_structure'!$A$5:$J$8,MATCH(Calculations!$E612,'2018_commission_structure'!$A$5:$A$8,0),MATCH(Calculations!V$1,'2018_commission_structure'!$A$5:$J$5,0))</f>
        <v>60000</v>
      </c>
      <c r="W612" s="2">
        <f>IF($H612&gt;I612,MIN($H612-I612,J612-I612)*INDEX('2018_commission_structure'!$A$5:$J$8,MATCH(Calculations!$E612,'2018_commission_structure'!$A$5:$A$8,0),MATCH(Calculations!W$1,'2018_commission_structure'!$A$5:$J$5,0)),0)</f>
        <v>8720.1500000000015</v>
      </c>
      <c r="X612" s="2">
        <f>IF($H612&gt;J612,MIN($H612-J612,K612-J612)*INDEX('2018_commission_structure'!$A$5:$J$8,MATCH(Calculations!$E612,'2018_commission_structure'!$A$5:$A$8,0),MATCH(Calculations!X$1,'2018_commission_structure'!$A$5:$J$5,0)),0)</f>
        <v>0</v>
      </c>
      <c r="Y612" s="2">
        <f>IF($H612&gt;K612,MIN($H612-K612,L612-K612)*INDEX('2018_commission_structure'!$A$5:$J$8,MATCH(Calculations!$E612,'2018_commission_structure'!$A$5:$A$8,0),MATCH(Calculations!Y$1,'2018_commission_structure'!$A$5:$J$5,0)),0)</f>
        <v>0</v>
      </c>
      <c r="Z612" s="2">
        <f xml:space="preserve"> IF(H612&gt;L612,(H612-L612)*INDEX('2018_commission_structure'!$A$11:$I$14,MATCH(Calculations!$E612,'2018_commission_structure'!$A$11:$A$14,0),MATCH(Calculations!Z$1,'2018_commission_structure'!$A$11:$I$11,0)),0)</f>
        <v>0</v>
      </c>
      <c r="AA612" s="7">
        <f t="shared" si="88"/>
        <v>68720.149999999994</v>
      </c>
      <c r="AB612" s="7">
        <f t="shared" si="89"/>
        <v>131589.15</v>
      </c>
    </row>
    <row r="613" spans="1:28" x14ac:dyDescent="0.25">
      <c r="A613">
        <v>5861892008</v>
      </c>
      <c r="B613" t="s">
        <v>679</v>
      </c>
      <c r="C613" t="s">
        <v>680</v>
      </c>
      <c r="D613" t="str">
        <f>B613&amp;" "&amp;C613</f>
        <v>Massimo McDougle</v>
      </c>
      <c r="E613" t="s">
        <v>10</v>
      </c>
      <c r="F613">
        <v>98780</v>
      </c>
      <c r="G613">
        <f>COUNTIF(deals_closed!D:D,Calculations!A613)</f>
        <v>22</v>
      </c>
      <c r="H613" s="2">
        <f>SUMIF(deals_closed!D:D,Calculations!A613,deals_closed!C:C)</f>
        <v>789567</v>
      </c>
      <c r="I613" s="2">
        <f>VLOOKUP(E613,'2018_commission_structure'!$A$11:$I$14,9,FALSE)</f>
        <v>750000</v>
      </c>
      <c r="J613" s="2">
        <f t="shared" si="81"/>
        <v>937500</v>
      </c>
      <c r="K613" s="2">
        <f t="shared" si="82"/>
        <v>1125000</v>
      </c>
      <c r="L613" s="2">
        <f t="shared" si="83"/>
        <v>1500000</v>
      </c>
      <c r="M613" s="6">
        <f t="shared" si="84"/>
        <v>1.052756</v>
      </c>
      <c r="N613" t="str">
        <f t="shared" si="85"/>
        <v>100-125%</v>
      </c>
      <c r="O613" s="7">
        <f>MIN(I613,H613)*INDEX('2018_commission_structure'!$A$11:$I$14,MATCH(Calculations!$E613,'2018_commission_structure'!$A$11:$A$14,0),MATCH(Calculations!O$1,'2018_commission_structure'!$A$11:$I$11,0))</f>
        <v>112500</v>
      </c>
      <c r="P613" s="7">
        <f>IF($H613&gt;I613,MIN($H613-I613,J613-I613)*INDEX('2018_commission_structure'!$A$11:$I$14,MATCH(Calculations!$E613,'2018_commission_structure'!$A$11:$A$14,0), MATCH(Calculations!P$1,'2018_commission_structure'!$A$11:$I$11,0)),0)</f>
        <v>7517.7300000000005</v>
      </c>
      <c r="Q613" s="7">
        <f>IF($H613&gt;J613,MIN($H613-J613,K613-J613)*INDEX('2018_commission_structure'!$A$11:$I$14,MATCH(Calculations!$E613,'2018_commission_structure'!$A$11:$A$14,0), MATCH(Calculations!Q$1,'2018_commission_structure'!$A$11:$I$11,0)),0)</f>
        <v>0</v>
      </c>
      <c r="R613" s="7">
        <f>IF($H613&gt;K613,MIN($H613-K613,L613-K613)*INDEX('2018_commission_structure'!$A$11:$I$14,MATCH(Calculations!$E613,'2018_commission_structure'!$A$11:$A$14,0), MATCH(Calculations!R$1,'2018_commission_structure'!$A$11:$I$11,0)),0)</f>
        <v>0</v>
      </c>
      <c r="S613" s="7">
        <f>IF(H613&gt;L613,(H613-L613)*INDEX('2018_commission_structure'!$A$11:$I$14,MATCH(Calculations!$E613,'2018_commission_structure'!$A$11:$A$14,0),MATCH(Calculations!S$1,'2018_commission_structure'!$A$11:$I$11,0)),0)</f>
        <v>0</v>
      </c>
      <c r="T613" s="7">
        <f t="shared" si="86"/>
        <v>120017.73</v>
      </c>
      <c r="U613" s="7">
        <f t="shared" si="87"/>
        <v>218797.72999999998</v>
      </c>
      <c r="V613" s="7">
        <f>MIN(H613,I613)*INDEX('2018_commission_structure'!$A$5:$J$8,MATCH(Calculations!$E613,'2018_commission_structure'!$A$5:$A$8,0),MATCH(Calculations!V$1,'2018_commission_structure'!$A$5:$J$5,0))</f>
        <v>112500</v>
      </c>
      <c r="W613" s="2">
        <f>IF($H613&gt;I613,MIN($H613-I613,J613-I613)*INDEX('2018_commission_structure'!$A$5:$J$8,MATCH(Calculations!$E613,'2018_commission_structure'!$A$5:$A$8,0),MATCH(Calculations!W$1,'2018_commission_structure'!$A$5:$J$5,0)),0)</f>
        <v>8704.74</v>
      </c>
      <c r="X613" s="2">
        <f>IF($H613&gt;J613,MIN($H613-J613,K613-J613)*INDEX('2018_commission_structure'!$A$5:$J$8,MATCH(Calculations!$E613,'2018_commission_structure'!$A$5:$A$8,0),MATCH(Calculations!X$1,'2018_commission_structure'!$A$5:$J$5,0)),0)</f>
        <v>0</v>
      </c>
      <c r="Y613" s="2">
        <f>IF($H613&gt;K613,MIN($H613-K613,L613-K613)*INDEX('2018_commission_structure'!$A$5:$J$8,MATCH(Calculations!$E613,'2018_commission_structure'!$A$5:$A$8,0),MATCH(Calculations!Y$1,'2018_commission_structure'!$A$5:$J$5,0)),0)</f>
        <v>0</v>
      </c>
      <c r="Z613" s="2">
        <f xml:space="preserve"> IF(H613&gt;L613,(H613-L613)*INDEX('2018_commission_structure'!$A$11:$I$14,MATCH(Calculations!$E613,'2018_commission_structure'!$A$11:$A$14,0),MATCH(Calculations!Z$1,'2018_commission_structure'!$A$11:$I$11,0)),0)</f>
        <v>0</v>
      </c>
      <c r="AA613" s="7">
        <f t="shared" si="88"/>
        <v>121204.74</v>
      </c>
      <c r="AB613" s="7">
        <f t="shared" si="89"/>
        <v>219984.74</v>
      </c>
    </row>
    <row r="614" spans="1:28" x14ac:dyDescent="0.25">
      <c r="A614">
        <v>7914395587</v>
      </c>
      <c r="B614" t="s">
        <v>1265</v>
      </c>
      <c r="C614" t="s">
        <v>1266</v>
      </c>
      <c r="D614" t="str">
        <f>B614&amp;" "&amp;C614</f>
        <v>Amandie McDyer</v>
      </c>
      <c r="E614" t="s">
        <v>29</v>
      </c>
      <c r="F614">
        <v>69724</v>
      </c>
      <c r="G614">
        <f>COUNTIF(deals_closed!D:D,Calculations!A614)</f>
        <v>21</v>
      </c>
      <c r="H614" s="2">
        <f>SUMIF(deals_closed!D:D,Calculations!A614,deals_closed!C:C)</f>
        <v>839903</v>
      </c>
      <c r="I614" s="2">
        <f>VLOOKUP(E614,'2018_commission_structure'!$A$11:$I$14,9,FALSE)</f>
        <v>600000</v>
      </c>
      <c r="J614" s="2">
        <f t="shared" si="81"/>
        <v>750000</v>
      </c>
      <c r="K614" s="2">
        <f t="shared" si="82"/>
        <v>900000</v>
      </c>
      <c r="L614" s="2">
        <f t="shared" si="83"/>
        <v>1200000</v>
      </c>
      <c r="M614" s="6">
        <f t="shared" si="84"/>
        <v>1.3998383333333333</v>
      </c>
      <c r="N614" t="str">
        <f t="shared" si="85"/>
        <v>125-150%</v>
      </c>
      <c r="O614" s="7">
        <f>MIN(I614,H614)*INDEX('2018_commission_structure'!$A$11:$I$14,MATCH(Calculations!$E614,'2018_commission_structure'!$A$11:$A$14,0),MATCH(Calculations!O$1,'2018_commission_structure'!$A$11:$I$11,0))</f>
        <v>78000</v>
      </c>
      <c r="P614" s="7">
        <f>IF($H614&gt;I614,MIN($H614-I614,J614-I614)*INDEX('2018_commission_structure'!$A$11:$I$14,MATCH(Calculations!$E614,'2018_commission_structure'!$A$11:$A$14,0), MATCH(Calculations!P$1,'2018_commission_structure'!$A$11:$I$11,0)),0)</f>
        <v>25500.000000000004</v>
      </c>
      <c r="Q614" s="7">
        <f>IF($H614&gt;J614,MIN($H614-J614,K614-J614)*INDEX('2018_commission_structure'!$A$11:$I$14,MATCH(Calculations!$E614,'2018_commission_structure'!$A$11:$A$14,0), MATCH(Calculations!Q$1,'2018_commission_structure'!$A$11:$I$11,0)),0)</f>
        <v>18879.63</v>
      </c>
      <c r="R614" s="7">
        <f>IF($H614&gt;K614,MIN($H614-K614,L614-K614)*INDEX('2018_commission_structure'!$A$11:$I$14,MATCH(Calculations!$E614,'2018_commission_structure'!$A$11:$A$14,0), MATCH(Calculations!R$1,'2018_commission_structure'!$A$11:$I$11,0)),0)</f>
        <v>0</v>
      </c>
      <c r="S614" s="7">
        <f>IF(H614&gt;L614,(H614-L614)*INDEX('2018_commission_structure'!$A$11:$I$14,MATCH(Calculations!$E614,'2018_commission_structure'!$A$11:$A$14,0),MATCH(Calculations!S$1,'2018_commission_structure'!$A$11:$I$11,0)),0)</f>
        <v>0</v>
      </c>
      <c r="T614" s="7">
        <f t="shared" si="86"/>
        <v>122379.63</v>
      </c>
      <c r="U614" s="7">
        <f t="shared" si="87"/>
        <v>192103.63</v>
      </c>
      <c r="V614" s="7">
        <f>MIN(H614,I614)*INDEX('2018_commission_structure'!$A$5:$J$8,MATCH(Calculations!$E614,'2018_commission_structure'!$A$5:$A$8,0),MATCH(Calculations!V$1,'2018_commission_structure'!$A$5:$J$5,0))</f>
        <v>90000</v>
      </c>
      <c r="W614" s="2">
        <f>IF($H614&gt;I614,MIN($H614-I614,J614-I614)*INDEX('2018_commission_structure'!$A$5:$J$8,MATCH(Calculations!$E614,'2018_commission_structure'!$A$5:$A$8,0),MATCH(Calculations!W$1,'2018_commission_structure'!$A$5:$J$5,0)),0)</f>
        <v>27000</v>
      </c>
      <c r="X614" s="2">
        <f>IF($H614&gt;J614,MIN($H614-J614,K614-J614)*INDEX('2018_commission_structure'!$A$5:$J$8,MATCH(Calculations!$E614,'2018_commission_structure'!$A$5:$A$8,0),MATCH(Calculations!X$1,'2018_commission_structure'!$A$5:$J$5,0)),0)</f>
        <v>22475.75</v>
      </c>
      <c r="Y614" s="2">
        <f>IF($H614&gt;K614,MIN($H614-K614,L614-K614)*INDEX('2018_commission_structure'!$A$5:$J$8,MATCH(Calculations!$E614,'2018_commission_structure'!$A$5:$A$8,0),MATCH(Calculations!Y$1,'2018_commission_structure'!$A$5:$J$5,0)),0)</f>
        <v>0</v>
      </c>
      <c r="Z614" s="2">
        <f xml:space="preserve"> IF(H614&gt;L614,(H614-L614)*INDEX('2018_commission_structure'!$A$11:$I$14,MATCH(Calculations!$E614,'2018_commission_structure'!$A$11:$A$14,0),MATCH(Calculations!Z$1,'2018_commission_structure'!$A$11:$I$11,0)),0)</f>
        <v>0</v>
      </c>
      <c r="AA614" s="7">
        <f t="shared" si="88"/>
        <v>139475.75</v>
      </c>
      <c r="AB614" s="7">
        <f t="shared" si="89"/>
        <v>209199.75</v>
      </c>
    </row>
    <row r="615" spans="1:28" x14ac:dyDescent="0.25">
      <c r="A615">
        <v>9483290694</v>
      </c>
      <c r="B615" t="s">
        <v>1657</v>
      </c>
      <c r="C615" t="s">
        <v>1658</v>
      </c>
      <c r="D615" t="str">
        <f>B615&amp;" "&amp;C615</f>
        <v>Barth McGifford</v>
      </c>
      <c r="E615" t="s">
        <v>7</v>
      </c>
      <c r="F615">
        <v>41287</v>
      </c>
      <c r="G615">
        <f>COUNTIF(deals_closed!D:D,Calculations!A615)</f>
        <v>26</v>
      </c>
      <c r="H615" s="2">
        <f>SUMIF(deals_closed!D:D,Calculations!A615,deals_closed!C:C)</f>
        <v>937682</v>
      </c>
      <c r="I615" s="2">
        <f>VLOOKUP(E615,'2018_commission_structure'!$A$11:$I$14,9,FALSE)</f>
        <v>500000</v>
      </c>
      <c r="J615" s="2">
        <f t="shared" si="81"/>
        <v>625000</v>
      </c>
      <c r="K615" s="2">
        <f t="shared" si="82"/>
        <v>750000</v>
      </c>
      <c r="L615" s="2">
        <f t="shared" si="83"/>
        <v>1000000</v>
      </c>
      <c r="M615" s="6">
        <f t="shared" si="84"/>
        <v>1.875364</v>
      </c>
      <c r="N615" t="str">
        <f t="shared" si="85"/>
        <v>150-200%</v>
      </c>
      <c r="O615" s="7">
        <f>MIN(I615,H615)*INDEX('2018_commission_structure'!$A$11:$I$14,MATCH(Calculations!$E615,'2018_commission_structure'!$A$11:$A$14,0),MATCH(Calculations!O$1,'2018_commission_structure'!$A$11:$I$11,0))</f>
        <v>50000</v>
      </c>
      <c r="P615" s="7">
        <f>IF($H615&gt;I615,MIN($H615-I615,J615-I615)*INDEX('2018_commission_structure'!$A$11:$I$14,MATCH(Calculations!$E615,'2018_commission_structure'!$A$11:$A$14,0), MATCH(Calculations!P$1,'2018_commission_structure'!$A$11:$I$11,0)),0)</f>
        <v>18750</v>
      </c>
      <c r="Q615" s="7">
        <f>IF($H615&gt;J615,MIN($H615-J615,K615-J615)*INDEX('2018_commission_structure'!$A$11:$I$14,MATCH(Calculations!$E615,'2018_commission_structure'!$A$11:$A$14,0), MATCH(Calculations!Q$1,'2018_commission_structure'!$A$11:$I$11,0)),0)</f>
        <v>22500</v>
      </c>
      <c r="R615" s="7">
        <f>IF($H615&gt;K615,MIN($H615-K615,L615-K615)*INDEX('2018_commission_structure'!$A$11:$I$14,MATCH(Calculations!$E615,'2018_commission_structure'!$A$11:$A$14,0), MATCH(Calculations!R$1,'2018_commission_structure'!$A$11:$I$11,0)),0)</f>
        <v>41290.04</v>
      </c>
      <c r="S615" s="7">
        <f>IF(H615&gt;L615,(H615-L615)*INDEX('2018_commission_structure'!$A$11:$I$14,MATCH(Calculations!$E615,'2018_commission_structure'!$A$11:$A$14,0),MATCH(Calculations!S$1,'2018_commission_structure'!$A$11:$I$11,0)),0)</f>
        <v>0</v>
      </c>
      <c r="T615" s="7">
        <f t="shared" si="86"/>
        <v>132540.04</v>
      </c>
      <c r="U615" s="7">
        <f t="shared" si="87"/>
        <v>173827.04</v>
      </c>
      <c r="V615" s="7">
        <f>MIN(H615,I615)*INDEX('2018_commission_structure'!$A$5:$J$8,MATCH(Calculations!$E615,'2018_commission_structure'!$A$5:$A$8,0),MATCH(Calculations!V$1,'2018_commission_structure'!$A$5:$J$5,0))</f>
        <v>60000</v>
      </c>
      <c r="W615" s="2">
        <f>IF($H615&gt;I615,MIN($H615-I615,J615-I615)*INDEX('2018_commission_structure'!$A$5:$J$8,MATCH(Calculations!$E615,'2018_commission_structure'!$A$5:$A$8,0),MATCH(Calculations!W$1,'2018_commission_structure'!$A$5:$J$5,0)),0)</f>
        <v>21250</v>
      </c>
      <c r="X615" s="2">
        <f>IF($H615&gt;J615,MIN($H615-J615,K615-J615)*INDEX('2018_commission_structure'!$A$5:$J$8,MATCH(Calculations!$E615,'2018_commission_structure'!$A$5:$A$8,0),MATCH(Calculations!X$1,'2018_commission_structure'!$A$5:$J$5,0)),0)</f>
        <v>25000</v>
      </c>
      <c r="Y615" s="2">
        <f>IF($H615&gt;K615,MIN($H615-K615,L615-K615)*INDEX('2018_commission_structure'!$A$5:$J$8,MATCH(Calculations!$E615,'2018_commission_structure'!$A$5:$A$8,0),MATCH(Calculations!Y$1,'2018_commission_structure'!$A$5:$J$5,0)),0)</f>
        <v>41290.04</v>
      </c>
      <c r="Z615" s="2">
        <f xml:space="preserve"> IF(H615&gt;L615,(H615-L615)*INDEX('2018_commission_structure'!$A$11:$I$14,MATCH(Calculations!$E615,'2018_commission_structure'!$A$11:$A$14,0),MATCH(Calculations!Z$1,'2018_commission_structure'!$A$11:$I$11,0)),0)</f>
        <v>0</v>
      </c>
      <c r="AA615" s="7">
        <f t="shared" si="88"/>
        <v>147540.04</v>
      </c>
      <c r="AB615" s="7">
        <f t="shared" si="89"/>
        <v>188827.04</v>
      </c>
    </row>
    <row r="616" spans="1:28" x14ac:dyDescent="0.25">
      <c r="A616">
        <v>6019132307</v>
      </c>
      <c r="B616" t="s">
        <v>1484</v>
      </c>
      <c r="C616" t="s">
        <v>1485</v>
      </c>
      <c r="D616" t="str">
        <f>B616&amp;" "&amp;C616</f>
        <v>Veriee McGillacoell</v>
      </c>
      <c r="E616" t="s">
        <v>29</v>
      </c>
      <c r="F616">
        <v>72064</v>
      </c>
      <c r="G616">
        <f>COUNTIF(deals_closed!D:D,Calculations!A616)</f>
        <v>19</v>
      </c>
      <c r="H616" s="2">
        <f>SUMIF(deals_closed!D:D,Calculations!A616,deals_closed!C:C)</f>
        <v>677458</v>
      </c>
      <c r="I616" s="2">
        <f>VLOOKUP(E616,'2018_commission_structure'!$A$11:$I$14,9,FALSE)</f>
        <v>600000</v>
      </c>
      <c r="J616" s="2">
        <f t="shared" si="81"/>
        <v>750000</v>
      </c>
      <c r="K616" s="2">
        <f t="shared" si="82"/>
        <v>900000</v>
      </c>
      <c r="L616" s="2">
        <f t="shared" si="83"/>
        <v>1200000</v>
      </c>
      <c r="M616" s="6">
        <f t="shared" si="84"/>
        <v>1.1290966666666666</v>
      </c>
      <c r="N616" t="str">
        <f t="shared" si="85"/>
        <v>100-125%</v>
      </c>
      <c r="O616" s="7">
        <f>MIN(I616,H616)*INDEX('2018_commission_structure'!$A$11:$I$14,MATCH(Calculations!$E616,'2018_commission_structure'!$A$11:$A$14,0),MATCH(Calculations!O$1,'2018_commission_structure'!$A$11:$I$11,0))</f>
        <v>78000</v>
      </c>
      <c r="P616" s="7">
        <f>IF($H616&gt;I616,MIN($H616-I616,J616-I616)*INDEX('2018_commission_structure'!$A$11:$I$14,MATCH(Calculations!$E616,'2018_commission_structure'!$A$11:$A$14,0), MATCH(Calculations!P$1,'2018_commission_structure'!$A$11:$I$11,0)),0)</f>
        <v>13167.86</v>
      </c>
      <c r="Q616" s="7">
        <f>IF($H616&gt;J616,MIN($H616-J616,K616-J616)*INDEX('2018_commission_structure'!$A$11:$I$14,MATCH(Calculations!$E616,'2018_commission_structure'!$A$11:$A$14,0), MATCH(Calculations!Q$1,'2018_commission_structure'!$A$11:$I$11,0)),0)</f>
        <v>0</v>
      </c>
      <c r="R616" s="7">
        <f>IF($H616&gt;K616,MIN($H616-K616,L616-K616)*INDEX('2018_commission_structure'!$A$11:$I$14,MATCH(Calculations!$E616,'2018_commission_structure'!$A$11:$A$14,0), MATCH(Calculations!R$1,'2018_commission_structure'!$A$11:$I$11,0)),0)</f>
        <v>0</v>
      </c>
      <c r="S616" s="7">
        <f>IF(H616&gt;L616,(H616-L616)*INDEX('2018_commission_structure'!$A$11:$I$14,MATCH(Calculations!$E616,'2018_commission_structure'!$A$11:$A$14,0),MATCH(Calculations!S$1,'2018_commission_structure'!$A$11:$I$11,0)),0)</f>
        <v>0</v>
      </c>
      <c r="T616" s="7">
        <f t="shared" si="86"/>
        <v>91167.86</v>
      </c>
      <c r="U616" s="7">
        <f t="shared" si="87"/>
        <v>163231.85999999999</v>
      </c>
      <c r="V616" s="7">
        <f>MIN(H616,I616)*INDEX('2018_commission_structure'!$A$5:$J$8,MATCH(Calculations!$E616,'2018_commission_structure'!$A$5:$A$8,0),MATCH(Calculations!V$1,'2018_commission_structure'!$A$5:$J$5,0))</f>
        <v>90000</v>
      </c>
      <c r="W616" s="2">
        <f>IF($H616&gt;I616,MIN($H616-I616,J616-I616)*INDEX('2018_commission_structure'!$A$5:$J$8,MATCH(Calculations!$E616,'2018_commission_structure'!$A$5:$A$8,0),MATCH(Calculations!W$1,'2018_commission_structure'!$A$5:$J$5,0)),0)</f>
        <v>13942.439999999999</v>
      </c>
      <c r="X616" s="2">
        <f>IF($H616&gt;J616,MIN($H616-J616,K616-J616)*INDEX('2018_commission_structure'!$A$5:$J$8,MATCH(Calculations!$E616,'2018_commission_structure'!$A$5:$A$8,0),MATCH(Calculations!X$1,'2018_commission_structure'!$A$5:$J$5,0)),0)</f>
        <v>0</v>
      </c>
      <c r="Y616" s="2">
        <f>IF($H616&gt;K616,MIN($H616-K616,L616-K616)*INDEX('2018_commission_structure'!$A$5:$J$8,MATCH(Calculations!$E616,'2018_commission_structure'!$A$5:$A$8,0),MATCH(Calculations!Y$1,'2018_commission_structure'!$A$5:$J$5,0)),0)</f>
        <v>0</v>
      </c>
      <c r="Z616" s="2">
        <f xml:space="preserve"> IF(H616&gt;L616,(H616-L616)*INDEX('2018_commission_structure'!$A$11:$I$14,MATCH(Calculations!$E616,'2018_commission_structure'!$A$11:$A$14,0),MATCH(Calculations!Z$1,'2018_commission_structure'!$A$11:$I$11,0)),0)</f>
        <v>0</v>
      </c>
      <c r="AA616" s="7">
        <f t="shared" si="88"/>
        <v>103942.44</v>
      </c>
      <c r="AB616" s="7">
        <f t="shared" si="89"/>
        <v>176006.44</v>
      </c>
    </row>
    <row r="617" spans="1:28" x14ac:dyDescent="0.25">
      <c r="A617">
        <v>6854809452</v>
      </c>
      <c r="B617" t="s">
        <v>1393</v>
      </c>
      <c r="C617" t="s">
        <v>1394</v>
      </c>
      <c r="D617" t="str">
        <f>B617&amp;" "&amp;C617</f>
        <v>Sayer McGonagle</v>
      </c>
      <c r="E617" t="s">
        <v>10</v>
      </c>
      <c r="F617">
        <v>88836</v>
      </c>
      <c r="G617">
        <f>COUNTIF(deals_closed!D:D,Calculations!A617)</f>
        <v>24</v>
      </c>
      <c r="H617" s="2">
        <f>SUMIF(deals_closed!D:D,Calculations!A617,deals_closed!C:C)</f>
        <v>843239</v>
      </c>
      <c r="I617" s="2">
        <f>VLOOKUP(E617,'2018_commission_structure'!$A$11:$I$14,9,FALSE)</f>
        <v>750000</v>
      </c>
      <c r="J617" s="2">
        <f t="shared" si="81"/>
        <v>937500</v>
      </c>
      <c r="K617" s="2">
        <f t="shared" si="82"/>
        <v>1125000</v>
      </c>
      <c r="L617" s="2">
        <f t="shared" si="83"/>
        <v>1500000</v>
      </c>
      <c r="M617" s="6">
        <f t="shared" si="84"/>
        <v>1.1243186666666667</v>
      </c>
      <c r="N617" t="str">
        <f t="shared" si="85"/>
        <v>100-125%</v>
      </c>
      <c r="O617" s="7">
        <f>MIN(I617,H617)*INDEX('2018_commission_structure'!$A$11:$I$14,MATCH(Calculations!$E617,'2018_commission_structure'!$A$11:$A$14,0),MATCH(Calculations!O$1,'2018_commission_structure'!$A$11:$I$11,0))</f>
        <v>112500</v>
      </c>
      <c r="P617" s="7">
        <f>IF($H617&gt;I617,MIN($H617-I617,J617-I617)*INDEX('2018_commission_structure'!$A$11:$I$14,MATCH(Calculations!$E617,'2018_commission_structure'!$A$11:$A$14,0), MATCH(Calculations!P$1,'2018_commission_structure'!$A$11:$I$11,0)),0)</f>
        <v>17715.41</v>
      </c>
      <c r="Q617" s="7">
        <f>IF($H617&gt;J617,MIN($H617-J617,K617-J617)*INDEX('2018_commission_structure'!$A$11:$I$14,MATCH(Calculations!$E617,'2018_commission_structure'!$A$11:$A$14,0), MATCH(Calculations!Q$1,'2018_commission_structure'!$A$11:$I$11,0)),0)</f>
        <v>0</v>
      </c>
      <c r="R617" s="7">
        <f>IF($H617&gt;K617,MIN($H617-K617,L617-K617)*INDEX('2018_commission_structure'!$A$11:$I$14,MATCH(Calculations!$E617,'2018_commission_structure'!$A$11:$A$14,0), MATCH(Calculations!R$1,'2018_commission_structure'!$A$11:$I$11,0)),0)</f>
        <v>0</v>
      </c>
      <c r="S617" s="7">
        <f>IF(H617&gt;L617,(H617-L617)*INDEX('2018_commission_structure'!$A$11:$I$14,MATCH(Calculations!$E617,'2018_commission_structure'!$A$11:$A$14,0),MATCH(Calculations!S$1,'2018_commission_structure'!$A$11:$I$11,0)),0)</f>
        <v>0</v>
      </c>
      <c r="T617" s="7">
        <f t="shared" si="86"/>
        <v>130215.41</v>
      </c>
      <c r="U617" s="7">
        <f t="shared" si="87"/>
        <v>219051.41</v>
      </c>
      <c r="V617" s="7">
        <f>MIN(H617,I617)*INDEX('2018_commission_structure'!$A$5:$J$8,MATCH(Calculations!$E617,'2018_commission_structure'!$A$5:$A$8,0),MATCH(Calculations!V$1,'2018_commission_structure'!$A$5:$J$5,0))</f>
        <v>112500</v>
      </c>
      <c r="W617" s="2">
        <f>IF($H617&gt;I617,MIN($H617-I617,J617-I617)*INDEX('2018_commission_structure'!$A$5:$J$8,MATCH(Calculations!$E617,'2018_commission_structure'!$A$5:$A$8,0),MATCH(Calculations!W$1,'2018_commission_structure'!$A$5:$J$5,0)),0)</f>
        <v>20512.580000000002</v>
      </c>
      <c r="X617" s="2">
        <f>IF($H617&gt;J617,MIN($H617-J617,K617-J617)*INDEX('2018_commission_structure'!$A$5:$J$8,MATCH(Calculations!$E617,'2018_commission_structure'!$A$5:$A$8,0),MATCH(Calculations!X$1,'2018_commission_structure'!$A$5:$J$5,0)),0)</f>
        <v>0</v>
      </c>
      <c r="Y617" s="2">
        <f>IF($H617&gt;K617,MIN($H617-K617,L617-K617)*INDEX('2018_commission_structure'!$A$5:$J$8,MATCH(Calculations!$E617,'2018_commission_structure'!$A$5:$A$8,0),MATCH(Calculations!Y$1,'2018_commission_structure'!$A$5:$J$5,0)),0)</f>
        <v>0</v>
      </c>
      <c r="Z617" s="2">
        <f xml:space="preserve"> IF(H617&gt;L617,(H617-L617)*INDEX('2018_commission_structure'!$A$11:$I$14,MATCH(Calculations!$E617,'2018_commission_structure'!$A$11:$A$14,0),MATCH(Calculations!Z$1,'2018_commission_structure'!$A$11:$I$11,0)),0)</f>
        <v>0</v>
      </c>
      <c r="AA617" s="7">
        <f t="shared" si="88"/>
        <v>133012.58000000002</v>
      </c>
      <c r="AB617" s="7">
        <f t="shared" si="89"/>
        <v>221848.58000000002</v>
      </c>
    </row>
    <row r="618" spans="1:28" x14ac:dyDescent="0.25">
      <c r="A618">
        <v>7979647432</v>
      </c>
      <c r="B618" t="s">
        <v>1723</v>
      </c>
      <c r="C618" t="s">
        <v>1724</v>
      </c>
      <c r="D618" t="str">
        <f>B618&amp;" "&amp;C618</f>
        <v>Arabella McGriffin</v>
      </c>
      <c r="E618" t="s">
        <v>10</v>
      </c>
      <c r="F618">
        <v>85383</v>
      </c>
      <c r="G618">
        <f>COUNTIF(deals_closed!D:D,Calculations!A618)</f>
        <v>19</v>
      </c>
      <c r="H618" s="2">
        <f>SUMIF(deals_closed!D:D,Calculations!A618,deals_closed!C:C)</f>
        <v>681974</v>
      </c>
      <c r="I618" s="2">
        <f>VLOOKUP(E618,'2018_commission_structure'!$A$11:$I$14,9,FALSE)</f>
        <v>750000</v>
      </c>
      <c r="J618" s="2">
        <f t="shared" si="81"/>
        <v>937500</v>
      </c>
      <c r="K618" s="2">
        <f t="shared" si="82"/>
        <v>1125000</v>
      </c>
      <c r="L618" s="2">
        <f t="shared" si="83"/>
        <v>1500000</v>
      </c>
      <c r="M618" s="6">
        <f t="shared" si="84"/>
        <v>0.9092986666666667</v>
      </c>
      <c r="N618" t="str">
        <f t="shared" si="85"/>
        <v>0-100%</v>
      </c>
      <c r="O618" s="7">
        <f>MIN(I618,H618)*INDEX('2018_commission_structure'!$A$11:$I$14,MATCH(Calculations!$E618,'2018_commission_structure'!$A$11:$A$14,0),MATCH(Calculations!O$1,'2018_commission_structure'!$A$11:$I$11,0))</f>
        <v>102296.09999999999</v>
      </c>
      <c r="P618" s="7">
        <f>IF($H618&gt;I618,MIN($H618-I618,J618-I618)*INDEX('2018_commission_structure'!$A$11:$I$14,MATCH(Calculations!$E618,'2018_commission_structure'!$A$11:$A$14,0), MATCH(Calculations!P$1,'2018_commission_structure'!$A$11:$I$11,0)),0)</f>
        <v>0</v>
      </c>
      <c r="Q618" s="7">
        <f>IF($H618&gt;J618,MIN($H618-J618,K618-J618)*INDEX('2018_commission_structure'!$A$11:$I$14,MATCH(Calculations!$E618,'2018_commission_structure'!$A$11:$A$14,0), MATCH(Calculations!Q$1,'2018_commission_structure'!$A$11:$I$11,0)),0)</f>
        <v>0</v>
      </c>
      <c r="R618" s="7">
        <f>IF($H618&gt;K618,MIN($H618-K618,L618-K618)*INDEX('2018_commission_structure'!$A$11:$I$14,MATCH(Calculations!$E618,'2018_commission_structure'!$A$11:$A$14,0), MATCH(Calculations!R$1,'2018_commission_structure'!$A$11:$I$11,0)),0)</f>
        <v>0</v>
      </c>
      <c r="S618" s="7">
        <f>IF(H618&gt;L618,(H618-L618)*INDEX('2018_commission_structure'!$A$11:$I$14,MATCH(Calculations!$E618,'2018_commission_structure'!$A$11:$A$14,0),MATCH(Calculations!S$1,'2018_commission_structure'!$A$11:$I$11,0)),0)</f>
        <v>0</v>
      </c>
      <c r="T618" s="7">
        <f t="shared" si="86"/>
        <v>102296.09999999999</v>
      </c>
      <c r="U618" s="7">
        <f t="shared" si="87"/>
        <v>187679.09999999998</v>
      </c>
      <c r="V618" s="7">
        <f>MIN(H618,I618)*INDEX('2018_commission_structure'!$A$5:$J$8,MATCH(Calculations!$E618,'2018_commission_structure'!$A$5:$A$8,0),MATCH(Calculations!V$1,'2018_commission_structure'!$A$5:$J$5,0))</f>
        <v>102296.09999999999</v>
      </c>
      <c r="W618" s="2">
        <f>IF($H618&gt;I618,MIN($H618-I618,J618-I618)*INDEX('2018_commission_structure'!$A$5:$J$8,MATCH(Calculations!$E618,'2018_commission_structure'!$A$5:$A$8,0),MATCH(Calculations!W$1,'2018_commission_structure'!$A$5:$J$5,0)),0)</f>
        <v>0</v>
      </c>
      <c r="X618" s="2">
        <f>IF($H618&gt;J618,MIN($H618-J618,K618-J618)*INDEX('2018_commission_structure'!$A$5:$J$8,MATCH(Calculations!$E618,'2018_commission_structure'!$A$5:$A$8,0),MATCH(Calculations!X$1,'2018_commission_structure'!$A$5:$J$5,0)),0)</f>
        <v>0</v>
      </c>
      <c r="Y618" s="2">
        <f>IF($H618&gt;K618,MIN($H618-K618,L618-K618)*INDEX('2018_commission_structure'!$A$5:$J$8,MATCH(Calculations!$E618,'2018_commission_structure'!$A$5:$A$8,0),MATCH(Calculations!Y$1,'2018_commission_structure'!$A$5:$J$5,0)),0)</f>
        <v>0</v>
      </c>
      <c r="Z618" s="2">
        <f xml:space="preserve"> IF(H618&gt;L618,(H618-L618)*INDEX('2018_commission_structure'!$A$11:$I$14,MATCH(Calculations!$E618,'2018_commission_structure'!$A$11:$A$14,0),MATCH(Calculations!Z$1,'2018_commission_structure'!$A$11:$I$11,0)),0)</f>
        <v>0</v>
      </c>
      <c r="AA618" s="7">
        <f t="shared" si="88"/>
        <v>102296.09999999999</v>
      </c>
      <c r="AB618" s="7">
        <f t="shared" si="89"/>
        <v>187679.09999999998</v>
      </c>
    </row>
    <row r="619" spans="1:28" x14ac:dyDescent="0.25">
      <c r="A619">
        <v>3509620267</v>
      </c>
      <c r="B619" t="s">
        <v>1445</v>
      </c>
      <c r="C619" t="s">
        <v>1446</v>
      </c>
      <c r="D619" t="str">
        <f>B619&amp;" "&amp;C619</f>
        <v>Henka McInulty</v>
      </c>
      <c r="E619" t="s">
        <v>10</v>
      </c>
      <c r="F619">
        <v>87823</v>
      </c>
      <c r="G619">
        <f>COUNTIF(deals_closed!D:D,Calculations!A619)</f>
        <v>17</v>
      </c>
      <c r="H619" s="2">
        <f>SUMIF(deals_closed!D:D,Calculations!A619,deals_closed!C:C)</f>
        <v>791364</v>
      </c>
      <c r="I619" s="2">
        <f>VLOOKUP(E619,'2018_commission_structure'!$A$11:$I$14,9,FALSE)</f>
        <v>750000</v>
      </c>
      <c r="J619" s="2">
        <f t="shared" si="81"/>
        <v>937500</v>
      </c>
      <c r="K619" s="2">
        <f t="shared" si="82"/>
        <v>1125000</v>
      </c>
      <c r="L619" s="2">
        <f t="shared" si="83"/>
        <v>1500000</v>
      </c>
      <c r="M619" s="6">
        <f t="shared" si="84"/>
        <v>1.0551520000000001</v>
      </c>
      <c r="N619" t="str">
        <f t="shared" si="85"/>
        <v>100-125%</v>
      </c>
      <c r="O619" s="7">
        <f>MIN(I619,H619)*INDEX('2018_commission_structure'!$A$11:$I$14,MATCH(Calculations!$E619,'2018_commission_structure'!$A$11:$A$14,0),MATCH(Calculations!O$1,'2018_commission_structure'!$A$11:$I$11,0))</f>
        <v>112500</v>
      </c>
      <c r="P619" s="7">
        <f>IF($H619&gt;I619,MIN($H619-I619,J619-I619)*INDEX('2018_commission_structure'!$A$11:$I$14,MATCH(Calculations!$E619,'2018_commission_structure'!$A$11:$A$14,0), MATCH(Calculations!P$1,'2018_commission_structure'!$A$11:$I$11,0)),0)</f>
        <v>7859.16</v>
      </c>
      <c r="Q619" s="7">
        <f>IF($H619&gt;J619,MIN($H619-J619,K619-J619)*INDEX('2018_commission_structure'!$A$11:$I$14,MATCH(Calculations!$E619,'2018_commission_structure'!$A$11:$A$14,0), MATCH(Calculations!Q$1,'2018_commission_structure'!$A$11:$I$11,0)),0)</f>
        <v>0</v>
      </c>
      <c r="R619" s="7">
        <f>IF($H619&gt;K619,MIN($H619-K619,L619-K619)*INDEX('2018_commission_structure'!$A$11:$I$14,MATCH(Calculations!$E619,'2018_commission_structure'!$A$11:$A$14,0), MATCH(Calculations!R$1,'2018_commission_structure'!$A$11:$I$11,0)),0)</f>
        <v>0</v>
      </c>
      <c r="S619" s="7">
        <f>IF(H619&gt;L619,(H619-L619)*INDEX('2018_commission_structure'!$A$11:$I$14,MATCH(Calculations!$E619,'2018_commission_structure'!$A$11:$A$14,0),MATCH(Calculations!S$1,'2018_commission_structure'!$A$11:$I$11,0)),0)</f>
        <v>0</v>
      </c>
      <c r="T619" s="7">
        <f t="shared" si="86"/>
        <v>120359.16</v>
      </c>
      <c r="U619" s="7">
        <f t="shared" si="87"/>
        <v>208182.16</v>
      </c>
      <c r="V619" s="7">
        <f>MIN(H619,I619)*INDEX('2018_commission_structure'!$A$5:$J$8,MATCH(Calculations!$E619,'2018_commission_structure'!$A$5:$A$8,0),MATCH(Calculations!V$1,'2018_commission_structure'!$A$5:$J$5,0))</f>
        <v>112500</v>
      </c>
      <c r="W619" s="2">
        <f>IF($H619&gt;I619,MIN($H619-I619,J619-I619)*INDEX('2018_commission_structure'!$A$5:$J$8,MATCH(Calculations!$E619,'2018_commission_structure'!$A$5:$A$8,0),MATCH(Calculations!W$1,'2018_commission_structure'!$A$5:$J$5,0)),0)</f>
        <v>9100.08</v>
      </c>
      <c r="X619" s="2">
        <f>IF($H619&gt;J619,MIN($H619-J619,K619-J619)*INDEX('2018_commission_structure'!$A$5:$J$8,MATCH(Calculations!$E619,'2018_commission_structure'!$A$5:$A$8,0),MATCH(Calculations!X$1,'2018_commission_structure'!$A$5:$J$5,0)),0)</f>
        <v>0</v>
      </c>
      <c r="Y619" s="2">
        <f>IF($H619&gt;K619,MIN($H619-K619,L619-K619)*INDEX('2018_commission_structure'!$A$5:$J$8,MATCH(Calculations!$E619,'2018_commission_structure'!$A$5:$A$8,0),MATCH(Calculations!Y$1,'2018_commission_structure'!$A$5:$J$5,0)),0)</f>
        <v>0</v>
      </c>
      <c r="Z619" s="2">
        <f xml:space="preserve"> IF(H619&gt;L619,(H619-L619)*INDEX('2018_commission_structure'!$A$11:$I$14,MATCH(Calculations!$E619,'2018_commission_structure'!$A$11:$A$14,0),MATCH(Calculations!Z$1,'2018_commission_structure'!$A$11:$I$11,0)),0)</f>
        <v>0</v>
      </c>
      <c r="AA619" s="7">
        <f t="shared" si="88"/>
        <v>121600.08</v>
      </c>
      <c r="AB619" s="7">
        <f t="shared" si="89"/>
        <v>209423.08000000002</v>
      </c>
    </row>
    <row r="620" spans="1:28" x14ac:dyDescent="0.25">
      <c r="A620">
        <v>1855604000</v>
      </c>
      <c r="B620" t="s">
        <v>381</v>
      </c>
      <c r="C620" t="s">
        <v>382</v>
      </c>
      <c r="D620" t="str">
        <f>B620&amp;" "&amp;C620</f>
        <v>Massimiliano McIver</v>
      </c>
      <c r="E620" t="s">
        <v>10</v>
      </c>
      <c r="F620">
        <v>102711</v>
      </c>
      <c r="G620">
        <f>COUNTIF(deals_closed!D:D,Calculations!A620)</f>
        <v>18</v>
      </c>
      <c r="H620" s="2">
        <f>SUMIF(deals_closed!D:D,Calculations!A620,deals_closed!C:C)</f>
        <v>659526</v>
      </c>
      <c r="I620" s="2">
        <f>VLOOKUP(E620,'2018_commission_structure'!$A$11:$I$14,9,FALSE)</f>
        <v>750000</v>
      </c>
      <c r="J620" s="2">
        <f t="shared" si="81"/>
        <v>937500</v>
      </c>
      <c r="K620" s="2">
        <f t="shared" si="82"/>
        <v>1125000</v>
      </c>
      <c r="L620" s="2">
        <f t="shared" si="83"/>
        <v>1500000</v>
      </c>
      <c r="M620" s="6">
        <f t="shared" si="84"/>
        <v>0.87936800000000004</v>
      </c>
      <c r="N620" t="str">
        <f t="shared" si="85"/>
        <v>0-100%</v>
      </c>
      <c r="O620" s="7">
        <f>MIN(I620,H620)*INDEX('2018_commission_structure'!$A$11:$I$14,MATCH(Calculations!$E620,'2018_commission_structure'!$A$11:$A$14,0),MATCH(Calculations!O$1,'2018_commission_structure'!$A$11:$I$11,0))</f>
        <v>98928.9</v>
      </c>
      <c r="P620" s="7">
        <f>IF($H620&gt;I620,MIN($H620-I620,J620-I620)*INDEX('2018_commission_structure'!$A$11:$I$14,MATCH(Calculations!$E620,'2018_commission_structure'!$A$11:$A$14,0), MATCH(Calculations!P$1,'2018_commission_structure'!$A$11:$I$11,0)),0)</f>
        <v>0</v>
      </c>
      <c r="Q620" s="7">
        <f>IF($H620&gt;J620,MIN($H620-J620,K620-J620)*INDEX('2018_commission_structure'!$A$11:$I$14,MATCH(Calculations!$E620,'2018_commission_structure'!$A$11:$A$14,0), MATCH(Calculations!Q$1,'2018_commission_structure'!$A$11:$I$11,0)),0)</f>
        <v>0</v>
      </c>
      <c r="R620" s="7">
        <f>IF($H620&gt;K620,MIN($H620-K620,L620-K620)*INDEX('2018_commission_structure'!$A$11:$I$14,MATCH(Calculations!$E620,'2018_commission_structure'!$A$11:$A$14,0), MATCH(Calculations!R$1,'2018_commission_structure'!$A$11:$I$11,0)),0)</f>
        <v>0</v>
      </c>
      <c r="S620" s="7">
        <f>IF(H620&gt;L620,(H620-L620)*INDEX('2018_commission_structure'!$A$11:$I$14,MATCH(Calculations!$E620,'2018_commission_structure'!$A$11:$A$14,0),MATCH(Calculations!S$1,'2018_commission_structure'!$A$11:$I$11,0)),0)</f>
        <v>0</v>
      </c>
      <c r="T620" s="7">
        <f t="shared" si="86"/>
        <v>98928.9</v>
      </c>
      <c r="U620" s="7">
        <f t="shared" si="87"/>
        <v>201639.9</v>
      </c>
      <c r="V620" s="7">
        <f>MIN(H620,I620)*INDEX('2018_commission_structure'!$A$5:$J$8,MATCH(Calculations!$E620,'2018_commission_structure'!$A$5:$A$8,0),MATCH(Calculations!V$1,'2018_commission_structure'!$A$5:$J$5,0))</f>
        <v>98928.9</v>
      </c>
      <c r="W620" s="2">
        <f>IF($H620&gt;I620,MIN($H620-I620,J620-I620)*INDEX('2018_commission_structure'!$A$5:$J$8,MATCH(Calculations!$E620,'2018_commission_structure'!$A$5:$A$8,0),MATCH(Calculations!W$1,'2018_commission_structure'!$A$5:$J$5,0)),0)</f>
        <v>0</v>
      </c>
      <c r="X620" s="2">
        <f>IF($H620&gt;J620,MIN($H620-J620,K620-J620)*INDEX('2018_commission_structure'!$A$5:$J$8,MATCH(Calculations!$E620,'2018_commission_structure'!$A$5:$A$8,0),MATCH(Calculations!X$1,'2018_commission_structure'!$A$5:$J$5,0)),0)</f>
        <v>0</v>
      </c>
      <c r="Y620" s="2">
        <f>IF($H620&gt;K620,MIN($H620-K620,L620-K620)*INDEX('2018_commission_structure'!$A$5:$J$8,MATCH(Calculations!$E620,'2018_commission_structure'!$A$5:$A$8,0),MATCH(Calculations!Y$1,'2018_commission_structure'!$A$5:$J$5,0)),0)</f>
        <v>0</v>
      </c>
      <c r="Z620" s="2">
        <f xml:space="preserve"> IF(H620&gt;L620,(H620-L620)*INDEX('2018_commission_structure'!$A$11:$I$14,MATCH(Calculations!$E620,'2018_commission_structure'!$A$11:$A$14,0),MATCH(Calculations!Z$1,'2018_commission_structure'!$A$11:$I$11,0)),0)</f>
        <v>0</v>
      </c>
      <c r="AA620" s="7">
        <f t="shared" si="88"/>
        <v>98928.9</v>
      </c>
      <c r="AB620" s="7">
        <f t="shared" si="89"/>
        <v>201639.9</v>
      </c>
    </row>
    <row r="621" spans="1:28" x14ac:dyDescent="0.25">
      <c r="A621">
        <v>7326611955</v>
      </c>
      <c r="B621" t="s">
        <v>1808</v>
      </c>
      <c r="C621" t="s">
        <v>1809</v>
      </c>
      <c r="D621" t="str">
        <f>B621&amp;" "&amp;C621</f>
        <v>Sanders McKinstry</v>
      </c>
      <c r="E621" t="s">
        <v>7</v>
      </c>
      <c r="F621">
        <v>52116</v>
      </c>
      <c r="G621">
        <f>COUNTIF(deals_closed!D:D,Calculations!A621)</f>
        <v>23</v>
      </c>
      <c r="H621" s="2">
        <f>SUMIF(deals_closed!D:D,Calculations!A621,deals_closed!C:C)</f>
        <v>807853</v>
      </c>
      <c r="I621" s="2">
        <f>VLOOKUP(E621,'2018_commission_structure'!$A$11:$I$14,9,FALSE)</f>
        <v>500000</v>
      </c>
      <c r="J621" s="2">
        <f t="shared" si="81"/>
        <v>625000</v>
      </c>
      <c r="K621" s="2">
        <f t="shared" si="82"/>
        <v>750000</v>
      </c>
      <c r="L621" s="2">
        <f t="shared" si="83"/>
        <v>1000000</v>
      </c>
      <c r="M621" s="6">
        <f t="shared" si="84"/>
        <v>1.6157060000000001</v>
      </c>
      <c r="N621" t="str">
        <f t="shared" si="85"/>
        <v>150-200%</v>
      </c>
      <c r="O621" s="7">
        <f>MIN(I621,H621)*INDEX('2018_commission_structure'!$A$11:$I$14,MATCH(Calculations!$E621,'2018_commission_structure'!$A$11:$A$14,0),MATCH(Calculations!O$1,'2018_commission_structure'!$A$11:$I$11,0))</f>
        <v>50000</v>
      </c>
      <c r="P621" s="7">
        <f>IF($H621&gt;I621,MIN($H621-I621,J621-I621)*INDEX('2018_commission_structure'!$A$11:$I$14,MATCH(Calculations!$E621,'2018_commission_structure'!$A$11:$A$14,0), MATCH(Calculations!P$1,'2018_commission_structure'!$A$11:$I$11,0)),0)</f>
        <v>18750</v>
      </c>
      <c r="Q621" s="7">
        <f>IF($H621&gt;J621,MIN($H621-J621,K621-J621)*INDEX('2018_commission_structure'!$A$11:$I$14,MATCH(Calculations!$E621,'2018_commission_structure'!$A$11:$A$14,0), MATCH(Calculations!Q$1,'2018_commission_structure'!$A$11:$I$11,0)),0)</f>
        <v>22500</v>
      </c>
      <c r="R621" s="7">
        <f>IF($H621&gt;K621,MIN($H621-K621,L621-K621)*INDEX('2018_commission_structure'!$A$11:$I$14,MATCH(Calculations!$E621,'2018_commission_structure'!$A$11:$A$14,0), MATCH(Calculations!R$1,'2018_commission_structure'!$A$11:$I$11,0)),0)</f>
        <v>12727.66</v>
      </c>
      <c r="S621" s="7">
        <f>IF(H621&gt;L621,(H621-L621)*INDEX('2018_commission_structure'!$A$11:$I$14,MATCH(Calculations!$E621,'2018_commission_structure'!$A$11:$A$14,0),MATCH(Calculations!S$1,'2018_commission_structure'!$A$11:$I$11,0)),0)</f>
        <v>0</v>
      </c>
      <c r="T621" s="7">
        <f t="shared" si="86"/>
        <v>103977.66</v>
      </c>
      <c r="U621" s="7">
        <f t="shared" si="87"/>
        <v>156093.66</v>
      </c>
      <c r="V621" s="7">
        <f>MIN(H621,I621)*INDEX('2018_commission_structure'!$A$5:$J$8,MATCH(Calculations!$E621,'2018_commission_structure'!$A$5:$A$8,0),MATCH(Calculations!V$1,'2018_commission_structure'!$A$5:$J$5,0))</f>
        <v>60000</v>
      </c>
      <c r="W621" s="2">
        <f>IF($H621&gt;I621,MIN($H621-I621,J621-I621)*INDEX('2018_commission_structure'!$A$5:$J$8,MATCH(Calculations!$E621,'2018_commission_structure'!$A$5:$A$8,0),MATCH(Calculations!W$1,'2018_commission_structure'!$A$5:$J$5,0)),0)</f>
        <v>21250</v>
      </c>
      <c r="X621" s="2">
        <f>IF($H621&gt;J621,MIN($H621-J621,K621-J621)*INDEX('2018_commission_structure'!$A$5:$J$8,MATCH(Calculations!$E621,'2018_commission_structure'!$A$5:$A$8,0),MATCH(Calculations!X$1,'2018_commission_structure'!$A$5:$J$5,0)),0)</f>
        <v>25000</v>
      </c>
      <c r="Y621" s="2">
        <f>IF($H621&gt;K621,MIN($H621-K621,L621-K621)*INDEX('2018_commission_structure'!$A$5:$J$8,MATCH(Calculations!$E621,'2018_commission_structure'!$A$5:$A$8,0),MATCH(Calculations!Y$1,'2018_commission_structure'!$A$5:$J$5,0)),0)</f>
        <v>12727.66</v>
      </c>
      <c r="Z621" s="2">
        <f xml:space="preserve"> IF(H621&gt;L621,(H621-L621)*INDEX('2018_commission_structure'!$A$11:$I$14,MATCH(Calculations!$E621,'2018_commission_structure'!$A$11:$A$14,0),MATCH(Calculations!Z$1,'2018_commission_structure'!$A$11:$I$11,0)),0)</f>
        <v>0</v>
      </c>
      <c r="AA621" s="7">
        <f t="shared" si="88"/>
        <v>118977.66</v>
      </c>
      <c r="AB621" s="7">
        <f t="shared" si="89"/>
        <v>171093.66</v>
      </c>
    </row>
    <row r="622" spans="1:28" x14ac:dyDescent="0.25">
      <c r="A622">
        <v>7521557441</v>
      </c>
      <c r="B622" t="s">
        <v>1872</v>
      </c>
      <c r="C622" t="s">
        <v>1873</v>
      </c>
      <c r="D622" t="str">
        <f>B622&amp;" "&amp;C622</f>
        <v>Daniela McMichael</v>
      </c>
      <c r="E622" t="s">
        <v>10</v>
      </c>
      <c r="F622">
        <v>91279</v>
      </c>
      <c r="G622">
        <f>COUNTIF(deals_closed!D:D,Calculations!A622)</f>
        <v>15</v>
      </c>
      <c r="H622" s="2">
        <f>SUMIF(deals_closed!D:D,Calculations!A622,deals_closed!C:C)</f>
        <v>437601</v>
      </c>
      <c r="I622" s="2">
        <f>VLOOKUP(E622,'2018_commission_structure'!$A$11:$I$14,9,FALSE)</f>
        <v>750000</v>
      </c>
      <c r="J622" s="2">
        <f t="shared" si="81"/>
        <v>937500</v>
      </c>
      <c r="K622" s="2">
        <f t="shared" si="82"/>
        <v>1125000</v>
      </c>
      <c r="L622" s="2">
        <f t="shared" si="83"/>
        <v>1500000</v>
      </c>
      <c r="M622" s="6">
        <f t="shared" si="84"/>
        <v>0.58346799999999999</v>
      </c>
      <c r="N622" t="str">
        <f t="shared" si="85"/>
        <v>0-100%</v>
      </c>
      <c r="O622" s="7">
        <f>MIN(I622,H622)*INDEX('2018_commission_structure'!$A$11:$I$14,MATCH(Calculations!$E622,'2018_commission_structure'!$A$11:$A$14,0),MATCH(Calculations!O$1,'2018_commission_structure'!$A$11:$I$11,0))</f>
        <v>65640.149999999994</v>
      </c>
      <c r="P622" s="7">
        <f>IF($H622&gt;I622,MIN($H622-I622,J622-I622)*INDEX('2018_commission_structure'!$A$11:$I$14,MATCH(Calculations!$E622,'2018_commission_structure'!$A$11:$A$14,0), MATCH(Calculations!P$1,'2018_commission_structure'!$A$11:$I$11,0)),0)</f>
        <v>0</v>
      </c>
      <c r="Q622" s="7">
        <f>IF($H622&gt;J622,MIN($H622-J622,K622-J622)*INDEX('2018_commission_structure'!$A$11:$I$14,MATCH(Calculations!$E622,'2018_commission_structure'!$A$11:$A$14,0), MATCH(Calculations!Q$1,'2018_commission_structure'!$A$11:$I$11,0)),0)</f>
        <v>0</v>
      </c>
      <c r="R622" s="7">
        <f>IF($H622&gt;K622,MIN($H622-K622,L622-K622)*INDEX('2018_commission_structure'!$A$11:$I$14,MATCH(Calculations!$E622,'2018_commission_structure'!$A$11:$A$14,0), MATCH(Calculations!R$1,'2018_commission_structure'!$A$11:$I$11,0)),0)</f>
        <v>0</v>
      </c>
      <c r="S622" s="7">
        <f>IF(H622&gt;L622,(H622-L622)*INDEX('2018_commission_structure'!$A$11:$I$14,MATCH(Calculations!$E622,'2018_commission_structure'!$A$11:$A$14,0),MATCH(Calculations!S$1,'2018_commission_structure'!$A$11:$I$11,0)),0)</f>
        <v>0</v>
      </c>
      <c r="T622" s="7">
        <f t="shared" si="86"/>
        <v>65640.149999999994</v>
      </c>
      <c r="U622" s="7">
        <f t="shared" si="87"/>
        <v>156919.15</v>
      </c>
      <c r="V622" s="7">
        <f>MIN(H622,I622)*INDEX('2018_commission_structure'!$A$5:$J$8,MATCH(Calculations!$E622,'2018_commission_structure'!$A$5:$A$8,0),MATCH(Calculations!V$1,'2018_commission_structure'!$A$5:$J$5,0))</f>
        <v>65640.149999999994</v>
      </c>
      <c r="W622" s="2">
        <f>IF($H622&gt;I622,MIN($H622-I622,J622-I622)*INDEX('2018_commission_structure'!$A$5:$J$8,MATCH(Calculations!$E622,'2018_commission_structure'!$A$5:$A$8,0),MATCH(Calculations!W$1,'2018_commission_structure'!$A$5:$J$5,0)),0)</f>
        <v>0</v>
      </c>
      <c r="X622" s="2">
        <f>IF($H622&gt;J622,MIN($H622-J622,K622-J622)*INDEX('2018_commission_structure'!$A$5:$J$8,MATCH(Calculations!$E622,'2018_commission_structure'!$A$5:$A$8,0),MATCH(Calculations!X$1,'2018_commission_structure'!$A$5:$J$5,0)),0)</f>
        <v>0</v>
      </c>
      <c r="Y622" s="2">
        <f>IF($H622&gt;K622,MIN($H622-K622,L622-K622)*INDEX('2018_commission_structure'!$A$5:$J$8,MATCH(Calculations!$E622,'2018_commission_structure'!$A$5:$A$8,0),MATCH(Calculations!Y$1,'2018_commission_structure'!$A$5:$J$5,0)),0)</f>
        <v>0</v>
      </c>
      <c r="Z622" s="2">
        <f xml:space="preserve"> IF(H622&gt;L622,(H622-L622)*INDEX('2018_commission_structure'!$A$11:$I$14,MATCH(Calculations!$E622,'2018_commission_structure'!$A$11:$A$14,0),MATCH(Calculations!Z$1,'2018_commission_structure'!$A$11:$I$11,0)),0)</f>
        <v>0</v>
      </c>
      <c r="AA622" s="7">
        <f t="shared" si="88"/>
        <v>65640.149999999994</v>
      </c>
      <c r="AB622" s="7">
        <f t="shared" si="89"/>
        <v>156919.15</v>
      </c>
    </row>
    <row r="623" spans="1:28" x14ac:dyDescent="0.25">
      <c r="A623">
        <v>4639895275</v>
      </c>
      <c r="B623" t="s">
        <v>1346</v>
      </c>
      <c r="C623" t="s">
        <v>1347</v>
      </c>
      <c r="D623" t="str">
        <f>B623&amp;" "&amp;C623</f>
        <v>Alric McNaught</v>
      </c>
      <c r="E623" t="s">
        <v>10</v>
      </c>
      <c r="F623">
        <v>80883</v>
      </c>
      <c r="G623">
        <f>COUNTIF(deals_closed!D:D,Calculations!A623)</f>
        <v>18</v>
      </c>
      <c r="H623" s="2">
        <f>SUMIF(deals_closed!D:D,Calculations!A623,deals_closed!C:C)</f>
        <v>622265</v>
      </c>
      <c r="I623" s="2">
        <f>VLOOKUP(E623,'2018_commission_structure'!$A$11:$I$14,9,FALSE)</f>
        <v>750000</v>
      </c>
      <c r="J623" s="2">
        <f t="shared" si="81"/>
        <v>937500</v>
      </c>
      <c r="K623" s="2">
        <f t="shared" si="82"/>
        <v>1125000</v>
      </c>
      <c r="L623" s="2">
        <f t="shared" si="83"/>
        <v>1500000</v>
      </c>
      <c r="M623" s="6">
        <f t="shared" si="84"/>
        <v>0.82968666666666668</v>
      </c>
      <c r="N623" t="str">
        <f t="shared" si="85"/>
        <v>0-100%</v>
      </c>
      <c r="O623" s="7">
        <f>MIN(I623,H623)*INDEX('2018_commission_structure'!$A$11:$I$14,MATCH(Calculations!$E623,'2018_commission_structure'!$A$11:$A$14,0),MATCH(Calculations!O$1,'2018_commission_structure'!$A$11:$I$11,0))</f>
        <v>93339.75</v>
      </c>
      <c r="P623" s="7">
        <f>IF($H623&gt;I623,MIN($H623-I623,J623-I623)*INDEX('2018_commission_structure'!$A$11:$I$14,MATCH(Calculations!$E623,'2018_commission_structure'!$A$11:$A$14,0), MATCH(Calculations!P$1,'2018_commission_structure'!$A$11:$I$11,0)),0)</f>
        <v>0</v>
      </c>
      <c r="Q623" s="7">
        <f>IF($H623&gt;J623,MIN($H623-J623,K623-J623)*INDEX('2018_commission_structure'!$A$11:$I$14,MATCH(Calculations!$E623,'2018_commission_structure'!$A$11:$A$14,0), MATCH(Calculations!Q$1,'2018_commission_structure'!$A$11:$I$11,0)),0)</f>
        <v>0</v>
      </c>
      <c r="R623" s="7">
        <f>IF($H623&gt;K623,MIN($H623-K623,L623-K623)*INDEX('2018_commission_structure'!$A$11:$I$14,MATCH(Calculations!$E623,'2018_commission_structure'!$A$11:$A$14,0), MATCH(Calculations!R$1,'2018_commission_structure'!$A$11:$I$11,0)),0)</f>
        <v>0</v>
      </c>
      <c r="S623" s="7">
        <f>IF(H623&gt;L623,(H623-L623)*INDEX('2018_commission_structure'!$A$11:$I$14,MATCH(Calculations!$E623,'2018_commission_structure'!$A$11:$A$14,0),MATCH(Calculations!S$1,'2018_commission_structure'!$A$11:$I$11,0)),0)</f>
        <v>0</v>
      </c>
      <c r="T623" s="7">
        <f t="shared" si="86"/>
        <v>93339.75</v>
      </c>
      <c r="U623" s="7">
        <f t="shared" si="87"/>
        <v>174222.75</v>
      </c>
      <c r="V623" s="7">
        <f>MIN(H623,I623)*INDEX('2018_commission_structure'!$A$5:$J$8,MATCH(Calculations!$E623,'2018_commission_structure'!$A$5:$A$8,0),MATCH(Calculations!V$1,'2018_commission_structure'!$A$5:$J$5,0))</f>
        <v>93339.75</v>
      </c>
      <c r="W623" s="2">
        <f>IF($H623&gt;I623,MIN($H623-I623,J623-I623)*INDEX('2018_commission_structure'!$A$5:$J$8,MATCH(Calculations!$E623,'2018_commission_structure'!$A$5:$A$8,0),MATCH(Calculations!W$1,'2018_commission_structure'!$A$5:$J$5,0)),0)</f>
        <v>0</v>
      </c>
      <c r="X623" s="2">
        <f>IF($H623&gt;J623,MIN($H623-J623,K623-J623)*INDEX('2018_commission_structure'!$A$5:$J$8,MATCH(Calculations!$E623,'2018_commission_structure'!$A$5:$A$8,0),MATCH(Calculations!X$1,'2018_commission_structure'!$A$5:$J$5,0)),0)</f>
        <v>0</v>
      </c>
      <c r="Y623" s="2">
        <f>IF($H623&gt;K623,MIN($H623-K623,L623-K623)*INDEX('2018_commission_structure'!$A$5:$J$8,MATCH(Calculations!$E623,'2018_commission_structure'!$A$5:$A$8,0),MATCH(Calculations!Y$1,'2018_commission_structure'!$A$5:$J$5,0)),0)</f>
        <v>0</v>
      </c>
      <c r="Z623" s="2">
        <f xml:space="preserve"> IF(H623&gt;L623,(H623-L623)*INDEX('2018_commission_structure'!$A$11:$I$14,MATCH(Calculations!$E623,'2018_commission_structure'!$A$11:$A$14,0),MATCH(Calculations!Z$1,'2018_commission_structure'!$A$11:$I$11,0)),0)</f>
        <v>0</v>
      </c>
      <c r="AA623" s="7">
        <f t="shared" si="88"/>
        <v>93339.75</v>
      </c>
      <c r="AB623" s="7">
        <f t="shared" si="89"/>
        <v>174222.75</v>
      </c>
    </row>
    <row r="624" spans="1:28" x14ac:dyDescent="0.25">
      <c r="A624">
        <v>7659816853</v>
      </c>
      <c r="B624" t="s">
        <v>1251</v>
      </c>
      <c r="C624" t="s">
        <v>1252</v>
      </c>
      <c r="D624" t="str">
        <f>B624&amp;" "&amp;C624</f>
        <v>Anthe McNish</v>
      </c>
      <c r="E624" t="s">
        <v>29</v>
      </c>
      <c r="F624">
        <v>75955</v>
      </c>
      <c r="G624">
        <f>COUNTIF(deals_closed!D:D,Calculations!A624)</f>
        <v>21</v>
      </c>
      <c r="H624" s="2">
        <f>SUMIF(deals_closed!D:D,Calculations!A624,deals_closed!C:C)</f>
        <v>760093</v>
      </c>
      <c r="I624" s="2">
        <f>VLOOKUP(E624,'2018_commission_structure'!$A$11:$I$14,9,FALSE)</f>
        <v>600000</v>
      </c>
      <c r="J624" s="2">
        <f t="shared" si="81"/>
        <v>750000</v>
      </c>
      <c r="K624" s="2">
        <f t="shared" si="82"/>
        <v>900000</v>
      </c>
      <c r="L624" s="2">
        <f t="shared" si="83"/>
        <v>1200000</v>
      </c>
      <c r="M624" s="6">
        <f t="shared" si="84"/>
        <v>1.2668216666666667</v>
      </c>
      <c r="N624" t="str">
        <f t="shared" si="85"/>
        <v>125-150%</v>
      </c>
      <c r="O624" s="7">
        <f>MIN(I624,H624)*INDEX('2018_commission_structure'!$A$11:$I$14,MATCH(Calculations!$E624,'2018_commission_structure'!$A$11:$A$14,0),MATCH(Calculations!O$1,'2018_commission_structure'!$A$11:$I$11,0))</f>
        <v>78000</v>
      </c>
      <c r="P624" s="7">
        <f>IF($H624&gt;I624,MIN($H624-I624,J624-I624)*INDEX('2018_commission_structure'!$A$11:$I$14,MATCH(Calculations!$E624,'2018_commission_structure'!$A$11:$A$14,0), MATCH(Calculations!P$1,'2018_commission_structure'!$A$11:$I$11,0)),0)</f>
        <v>25500.000000000004</v>
      </c>
      <c r="Q624" s="7">
        <f>IF($H624&gt;J624,MIN($H624-J624,K624-J624)*INDEX('2018_commission_structure'!$A$11:$I$14,MATCH(Calculations!$E624,'2018_commission_structure'!$A$11:$A$14,0), MATCH(Calculations!Q$1,'2018_commission_structure'!$A$11:$I$11,0)),0)</f>
        <v>2119.5299999999997</v>
      </c>
      <c r="R624" s="7">
        <f>IF($H624&gt;K624,MIN($H624-K624,L624-K624)*INDEX('2018_commission_structure'!$A$11:$I$14,MATCH(Calculations!$E624,'2018_commission_structure'!$A$11:$A$14,0), MATCH(Calculations!R$1,'2018_commission_structure'!$A$11:$I$11,0)),0)</f>
        <v>0</v>
      </c>
      <c r="S624" s="7">
        <f>IF(H624&gt;L624,(H624-L624)*INDEX('2018_commission_structure'!$A$11:$I$14,MATCH(Calculations!$E624,'2018_commission_structure'!$A$11:$A$14,0),MATCH(Calculations!S$1,'2018_commission_structure'!$A$11:$I$11,0)),0)</f>
        <v>0</v>
      </c>
      <c r="T624" s="7">
        <f t="shared" si="86"/>
        <v>105619.53</v>
      </c>
      <c r="U624" s="7">
        <f t="shared" si="87"/>
        <v>181574.53</v>
      </c>
      <c r="V624" s="7">
        <f>MIN(H624,I624)*INDEX('2018_commission_structure'!$A$5:$J$8,MATCH(Calculations!$E624,'2018_commission_structure'!$A$5:$A$8,0),MATCH(Calculations!V$1,'2018_commission_structure'!$A$5:$J$5,0))</f>
        <v>90000</v>
      </c>
      <c r="W624" s="2">
        <f>IF($H624&gt;I624,MIN($H624-I624,J624-I624)*INDEX('2018_commission_structure'!$A$5:$J$8,MATCH(Calculations!$E624,'2018_commission_structure'!$A$5:$A$8,0),MATCH(Calculations!W$1,'2018_commission_structure'!$A$5:$J$5,0)),0)</f>
        <v>27000</v>
      </c>
      <c r="X624" s="2">
        <f>IF($H624&gt;J624,MIN($H624-J624,K624-J624)*INDEX('2018_commission_structure'!$A$5:$J$8,MATCH(Calculations!$E624,'2018_commission_structure'!$A$5:$A$8,0),MATCH(Calculations!X$1,'2018_commission_structure'!$A$5:$J$5,0)),0)</f>
        <v>2523.25</v>
      </c>
      <c r="Y624" s="2">
        <f>IF($H624&gt;K624,MIN($H624-K624,L624-K624)*INDEX('2018_commission_structure'!$A$5:$J$8,MATCH(Calculations!$E624,'2018_commission_structure'!$A$5:$A$8,0),MATCH(Calculations!Y$1,'2018_commission_structure'!$A$5:$J$5,0)),0)</f>
        <v>0</v>
      </c>
      <c r="Z624" s="2">
        <f xml:space="preserve"> IF(H624&gt;L624,(H624-L624)*INDEX('2018_commission_structure'!$A$11:$I$14,MATCH(Calculations!$E624,'2018_commission_structure'!$A$11:$A$14,0),MATCH(Calculations!Z$1,'2018_commission_structure'!$A$11:$I$11,0)),0)</f>
        <v>0</v>
      </c>
      <c r="AA624" s="7">
        <f t="shared" si="88"/>
        <v>119523.25</v>
      </c>
      <c r="AB624" s="7">
        <f t="shared" si="89"/>
        <v>195478.25</v>
      </c>
    </row>
    <row r="625" spans="1:28" x14ac:dyDescent="0.25">
      <c r="A625">
        <v>7098438871</v>
      </c>
      <c r="B625" t="s">
        <v>1585</v>
      </c>
      <c r="C625" t="s">
        <v>1586</v>
      </c>
      <c r="D625" t="str">
        <f>B625&amp;" "&amp;C625</f>
        <v>Jammal McPhee</v>
      </c>
      <c r="E625" t="s">
        <v>29</v>
      </c>
      <c r="F625">
        <v>57781</v>
      </c>
      <c r="G625">
        <f>COUNTIF(deals_closed!D:D,Calculations!A625)</f>
        <v>23</v>
      </c>
      <c r="H625" s="2">
        <f>SUMIF(deals_closed!D:D,Calculations!A625,deals_closed!C:C)</f>
        <v>659507</v>
      </c>
      <c r="I625" s="2">
        <f>VLOOKUP(E625,'2018_commission_structure'!$A$11:$I$14,9,FALSE)</f>
        <v>600000</v>
      </c>
      <c r="J625" s="2">
        <f t="shared" si="81"/>
        <v>750000</v>
      </c>
      <c r="K625" s="2">
        <f t="shared" si="82"/>
        <v>900000</v>
      </c>
      <c r="L625" s="2">
        <f t="shared" si="83"/>
        <v>1200000</v>
      </c>
      <c r="M625" s="6">
        <f t="shared" si="84"/>
        <v>1.0991783333333334</v>
      </c>
      <c r="N625" t="str">
        <f t="shared" si="85"/>
        <v>100-125%</v>
      </c>
      <c r="O625" s="7">
        <f>MIN(I625,H625)*INDEX('2018_commission_structure'!$A$11:$I$14,MATCH(Calculations!$E625,'2018_commission_structure'!$A$11:$A$14,0),MATCH(Calculations!O$1,'2018_commission_structure'!$A$11:$I$11,0))</f>
        <v>78000</v>
      </c>
      <c r="P625" s="7">
        <f>IF($H625&gt;I625,MIN($H625-I625,J625-I625)*INDEX('2018_commission_structure'!$A$11:$I$14,MATCH(Calculations!$E625,'2018_commission_structure'!$A$11:$A$14,0), MATCH(Calculations!P$1,'2018_commission_structure'!$A$11:$I$11,0)),0)</f>
        <v>10116.19</v>
      </c>
      <c r="Q625" s="7">
        <f>IF($H625&gt;J625,MIN($H625-J625,K625-J625)*INDEX('2018_commission_structure'!$A$11:$I$14,MATCH(Calculations!$E625,'2018_commission_structure'!$A$11:$A$14,0), MATCH(Calculations!Q$1,'2018_commission_structure'!$A$11:$I$11,0)),0)</f>
        <v>0</v>
      </c>
      <c r="R625" s="7">
        <f>IF($H625&gt;K625,MIN($H625-K625,L625-K625)*INDEX('2018_commission_structure'!$A$11:$I$14,MATCH(Calculations!$E625,'2018_commission_structure'!$A$11:$A$14,0), MATCH(Calculations!R$1,'2018_commission_structure'!$A$11:$I$11,0)),0)</f>
        <v>0</v>
      </c>
      <c r="S625" s="7">
        <f>IF(H625&gt;L625,(H625-L625)*INDEX('2018_commission_structure'!$A$11:$I$14,MATCH(Calculations!$E625,'2018_commission_structure'!$A$11:$A$14,0),MATCH(Calculations!S$1,'2018_commission_structure'!$A$11:$I$11,0)),0)</f>
        <v>0</v>
      </c>
      <c r="T625" s="7">
        <f t="shared" si="86"/>
        <v>88116.19</v>
      </c>
      <c r="U625" s="7">
        <f t="shared" si="87"/>
        <v>145897.19</v>
      </c>
      <c r="V625" s="7">
        <f>MIN(H625,I625)*INDEX('2018_commission_structure'!$A$5:$J$8,MATCH(Calculations!$E625,'2018_commission_structure'!$A$5:$A$8,0),MATCH(Calculations!V$1,'2018_commission_structure'!$A$5:$J$5,0))</f>
        <v>90000</v>
      </c>
      <c r="W625" s="2">
        <f>IF($H625&gt;I625,MIN($H625-I625,J625-I625)*INDEX('2018_commission_structure'!$A$5:$J$8,MATCH(Calculations!$E625,'2018_commission_structure'!$A$5:$A$8,0),MATCH(Calculations!W$1,'2018_commission_structure'!$A$5:$J$5,0)),0)</f>
        <v>10711.26</v>
      </c>
      <c r="X625" s="2">
        <f>IF($H625&gt;J625,MIN($H625-J625,K625-J625)*INDEX('2018_commission_structure'!$A$5:$J$8,MATCH(Calculations!$E625,'2018_commission_structure'!$A$5:$A$8,0),MATCH(Calculations!X$1,'2018_commission_structure'!$A$5:$J$5,0)),0)</f>
        <v>0</v>
      </c>
      <c r="Y625" s="2">
        <f>IF($H625&gt;K625,MIN($H625-K625,L625-K625)*INDEX('2018_commission_structure'!$A$5:$J$8,MATCH(Calculations!$E625,'2018_commission_structure'!$A$5:$A$8,0),MATCH(Calculations!Y$1,'2018_commission_structure'!$A$5:$J$5,0)),0)</f>
        <v>0</v>
      </c>
      <c r="Z625" s="2">
        <f xml:space="preserve"> IF(H625&gt;L625,(H625-L625)*INDEX('2018_commission_structure'!$A$11:$I$14,MATCH(Calculations!$E625,'2018_commission_structure'!$A$11:$A$14,0),MATCH(Calculations!Z$1,'2018_commission_structure'!$A$11:$I$11,0)),0)</f>
        <v>0</v>
      </c>
      <c r="AA625" s="7">
        <f t="shared" si="88"/>
        <v>100711.26</v>
      </c>
      <c r="AB625" s="7">
        <f t="shared" si="89"/>
        <v>158492.26</v>
      </c>
    </row>
    <row r="626" spans="1:28" x14ac:dyDescent="0.25">
      <c r="A626">
        <v>9373778889</v>
      </c>
      <c r="B626" t="s">
        <v>716</v>
      </c>
      <c r="C626" t="s">
        <v>717</v>
      </c>
      <c r="D626" t="str">
        <f>B626&amp;" "&amp;C626</f>
        <v>Helyn McQuaker</v>
      </c>
      <c r="E626" t="s">
        <v>10</v>
      </c>
      <c r="F626">
        <v>82655</v>
      </c>
      <c r="G626">
        <f>COUNTIF(deals_closed!D:D,Calculations!A626)</f>
        <v>11</v>
      </c>
      <c r="H626" s="2">
        <f>SUMIF(deals_closed!D:D,Calculations!A626,deals_closed!C:C)</f>
        <v>456999</v>
      </c>
      <c r="I626" s="2">
        <f>VLOOKUP(E626,'2018_commission_structure'!$A$11:$I$14,9,FALSE)</f>
        <v>750000</v>
      </c>
      <c r="J626" s="2">
        <f t="shared" si="81"/>
        <v>937500</v>
      </c>
      <c r="K626" s="2">
        <f t="shared" si="82"/>
        <v>1125000</v>
      </c>
      <c r="L626" s="2">
        <f t="shared" si="83"/>
        <v>1500000</v>
      </c>
      <c r="M626" s="6">
        <f t="shared" si="84"/>
        <v>0.60933199999999998</v>
      </c>
      <c r="N626" t="str">
        <f t="shared" si="85"/>
        <v>0-100%</v>
      </c>
      <c r="O626" s="7">
        <f>MIN(I626,H626)*INDEX('2018_commission_structure'!$A$11:$I$14,MATCH(Calculations!$E626,'2018_commission_structure'!$A$11:$A$14,0),MATCH(Calculations!O$1,'2018_commission_structure'!$A$11:$I$11,0))</f>
        <v>68549.849999999991</v>
      </c>
      <c r="P626" s="7">
        <f>IF($H626&gt;I626,MIN($H626-I626,J626-I626)*INDEX('2018_commission_structure'!$A$11:$I$14,MATCH(Calculations!$E626,'2018_commission_structure'!$A$11:$A$14,0), MATCH(Calculations!P$1,'2018_commission_structure'!$A$11:$I$11,0)),0)</f>
        <v>0</v>
      </c>
      <c r="Q626" s="7">
        <f>IF($H626&gt;J626,MIN($H626-J626,K626-J626)*INDEX('2018_commission_structure'!$A$11:$I$14,MATCH(Calculations!$E626,'2018_commission_structure'!$A$11:$A$14,0), MATCH(Calculations!Q$1,'2018_commission_structure'!$A$11:$I$11,0)),0)</f>
        <v>0</v>
      </c>
      <c r="R626" s="7">
        <f>IF($H626&gt;K626,MIN($H626-K626,L626-K626)*INDEX('2018_commission_structure'!$A$11:$I$14,MATCH(Calculations!$E626,'2018_commission_structure'!$A$11:$A$14,0), MATCH(Calculations!R$1,'2018_commission_structure'!$A$11:$I$11,0)),0)</f>
        <v>0</v>
      </c>
      <c r="S626" s="7">
        <f>IF(H626&gt;L626,(H626-L626)*INDEX('2018_commission_structure'!$A$11:$I$14,MATCH(Calculations!$E626,'2018_commission_structure'!$A$11:$A$14,0),MATCH(Calculations!S$1,'2018_commission_structure'!$A$11:$I$11,0)),0)</f>
        <v>0</v>
      </c>
      <c r="T626" s="7">
        <f t="shared" si="86"/>
        <v>68549.849999999991</v>
      </c>
      <c r="U626" s="7">
        <f t="shared" si="87"/>
        <v>151204.84999999998</v>
      </c>
      <c r="V626" s="7">
        <f>MIN(H626,I626)*INDEX('2018_commission_structure'!$A$5:$J$8,MATCH(Calculations!$E626,'2018_commission_structure'!$A$5:$A$8,0),MATCH(Calculations!V$1,'2018_commission_structure'!$A$5:$J$5,0))</f>
        <v>68549.849999999991</v>
      </c>
      <c r="W626" s="2">
        <f>IF($H626&gt;I626,MIN($H626-I626,J626-I626)*INDEX('2018_commission_structure'!$A$5:$J$8,MATCH(Calculations!$E626,'2018_commission_structure'!$A$5:$A$8,0),MATCH(Calculations!W$1,'2018_commission_structure'!$A$5:$J$5,0)),0)</f>
        <v>0</v>
      </c>
      <c r="X626" s="2">
        <f>IF($H626&gt;J626,MIN($H626-J626,K626-J626)*INDEX('2018_commission_structure'!$A$5:$J$8,MATCH(Calculations!$E626,'2018_commission_structure'!$A$5:$A$8,0),MATCH(Calculations!X$1,'2018_commission_structure'!$A$5:$J$5,0)),0)</f>
        <v>0</v>
      </c>
      <c r="Y626" s="2">
        <f>IF($H626&gt;K626,MIN($H626-K626,L626-K626)*INDEX('2018_commission_structure'!$A$5:$J$8,MATCH(Calculations!$E626,'2018_commission_structure'!$A$5:$A$8,0),MATCH(Calculations!Y$1,'2018_commission_structure'!$A$5:$J$5,0)),0)</f>
        <v>0</v>
      </c>
      <c r="Z626" s="2">
        <f xml:space="preserve"> IF(H626&gt;L626,(H626-L626)*INDEX('2018_commission_structure'!$A$11:$I$14,MATCH(Calculations!$E626,'2018_commission_structure'!$A$11:$A$14,0),MATCH(Calculations!Z$1,'2018_commission_structure'!$A$11:$I$11,0)),0)</f>
        <v>0</v>
      </c>
      <c r="AA626" s="7">
        <f t="shared" si="88"/>
        <v>68549.849999999991</v>
      </c>
      <c r="AB626" s="7">
        <f t="shared" si="89"/>
        <v>151204.84999999998</v>
      </c>
    </row>
    <row r="627" spans="1:28" x14ac:dyDescent="0.25">
      <c r="A627">
        <v>8115985503</v>
      </c>
      <c r="B627" t="s">
        <v>1813</v>
      </c>
      <c r="C627" t="s">
        <v>1814</v>
      </c>
      <c r="D627" t="str">
        <f>B627&amp;" "&amp;C627</f>
        <v>Troy McQuarrie</v>
      </c>
      <c r="E627" t="s">
        <v>29</v>
      </c>
      <c r="F627">
        <v>72028</v>
      </c>
      <c r="G627">
        <f>COUNTIF(deals_closed!D:D,Calculations!A627)</f>
        <v>19</v>
      </c>
      <c r="H627" s="2">
        <f>SUMIF(deals_closed!D:D,Calculations!A627,deals_closed!C:C)</f>
        <v>624725</v>
      </c>
      <c r="I627" s="2">
        <f>VLOOKUP(E627,'2018_commission_structure'!$A$11:$I$14,9,FALSE)</f>
        <v>600000</v>
      </c>
      <c r="J627" s="2">
        <f t="shared" si="81"/>
        <v>750000</v>
      </c>
      <c r="K627" s="2">
        <f t="shared" si="82"/>
        <v>900000</v>
      </c>
      <c r="L627" s="2">
        <f t="shared" si="83"/>
        <v>1200000</v>
      </c>
      <c r="M627" s="6">
        <f t="shared" si="84"/>
        <v>1.0412083333333333</v>
      </c>
      <c r="N627" t="str">
        <f t="shared" si="85"/>
        <v>100-125%</v>
      </c>
      <c r="O627" s="7">
        <f>MIN(I627,H627)*INDEX('2018_commission_structure'!$A$11:$I$14,MATCH(Calculations!$E627,'2018_commission_structure'!$A$11:$A$14,0),MATCH(Calculations!O$1,'2018_commission_structure'!$A$11:$I$11,0))</f>
        <v>78000</v>
      </c>
      <c r="P627" s="7">
        <f>IF($H627&gt;I627,MIN($H627-I627,J627-I627)*INDEX('2018_commission_structure'!$A$11:$I$14,MATCH(Calculations!$E627,'2018_commission_structure'!$A$11:$A$14,0), MATCH(Calculations!P$1,'2018_commission_structure'!$A$11:$I$11,0)),0)</f>
        <v>4203.25</v>
      </c>
      <c r="Q627" s="7">
        <f>IF($H627&gt;J627,MIN($H627-J627,K627-J627)*INDEX('2018_commission_structure'!$A$11:$I$14,MATCH(Calculations!$E627,'2018_commission_structure'!$A$11:$A$14,0), MATCH(Calculations!Q$1,'2018_commission_structure'!$A$11:$I$11,0)),0)</f>
        <v>0</v>
      </c>
      <c r="R627" s="7">
        <f>IF($H627&gt;K627,MIN($H627-K627,L627-K627)*INDEX('2018_commission_structure'!$A$11:$I$14,MATCH(Calculations!$E627,'2018_commission_structure'!$A$11:$A$14,0), MATCH(Calculations!R$1,'2018_commission_structure'!$A$11:$I$11,0)),0)</f>
        <v>0</v>
      </c>
      <c r="S627" s="7">
        <f>IF(H627&gt;L627,(H627-L627)*INDEX('2018_commission_structure'!$A$11:$I$14,MATCH(Calculations!$E627,'2018_commission_structure'!$A$11:$A$14,0),MATCH(Calculations!S$1,'2018_commission_structure'!$A$11:$I$11,0)),0)</f>
        <v>0</v>
      </c>
      <c r="T627" s="7">
        <f t="shared" si="86"/>
        <v>82203.25</v>
      </c>
      <c r="U627" s="7">
        <f t="shared" si="87"/>
        <v>154231.25</v>
      </c>
      <c r="V627" s="7">
        <f>MIN(H627,I627)*INDEX('2018_commission_structure'!$A$5:$J$8,MATCH(Calculations!$E627,'2018_commission_structure'!$A$5:$A$8,0),MATCH(Calculations!V$1,'2018_commission_structure'!$A$5:$J$5,0))</f>
        <v>90000</v>
      </c>
      <c r="W627" s="2">
        <f>IF($H627&gt;I627,MIN($H627-I627,J627-I627)*INDEX('2018_commission_structure'!$A$5:$J$8,MATCH(Calculations!$E627,'2018_commission_structure'!$A$5:$A$8,0),MATCH(Calculations!W$1,'2018_commission_structure'!$A$5:$J$5,0)),0)</f>
        <v>4450.5</v>
      </c>
      <c r="X627" s="2">
        <f>IF($H627&gt;J627,MIN($H627-J627,K627-J627)*INDEX('2018_commission_structure'!$A$5:$J$8,MATCH(Calculations!$E627,'2018_commission_structure'!$A$5:$A$8,0),MATCH(Calculations!X$1,'2018_commission_structure'!$A$5:$J$5,0)),0)</f>
        <v>0</v>
      </c>
      <c r="Y627" s="2">
        <f>IF($H627&gt;K627,MIN($H627-K627,L627-K627)*INDEX('2018_commission_structure'!$A$5:$J$8,MATCH(Calculations!$E627,'2018_commission_structure'!$A$5:$A$8,0),MATCH(Calculations!Y$1,'2018_commission_structure'!$A$5:$J$5,0)),0)</f>
        <v>0</v>
      </c>
      <c r="Z627" s="2">
        <f xml:space="preserve"> IF(H627&gt;L627,(H627-L627)*INDEX('2018_commission_structure'!$A$11:$I$14,MATCH(Calculations!$E627,'2018_commission_structure'!$A$11:$A$14,0),MATCH(Calculations!Z$1,'2018_commission_structure'!$A$11:$I$11,0)),0)</f>
        <v>0</v>
      </c>
      <c r="AA627" s="7">
        <f t="shared" si="88"/>
        <v>94450.5</v>
      </c>
      <c r="AB627" s="7">
        <f t="shared" si="89"/>
        <v>166478.5</v>
      </c>
    </row>
    <row r="628" spans="1:28" x14ac:dyDescent="0.25">
      <c r="A628">
        <v>7560031153</v>
      </c>
      <c r="B628" t="s">
        <v>58</v>
      </c>
      <c r="C628" t="s">
        <v>59</v>
      </c>
      <c r="D628" t="str">
        <f>B628&amp;" "&amp;C628</f>
        <v>Gabriela McVicker</v>
      </c>
      <c r="E628" t="s">
        <v>10</v>
      </c>
      <c r="F628">
        <v>94464</v>
      </c>
      <c r="G628">
        <f>COUNTIF(deals_closed!D:D,Calculations!A628)</f>
        <v>14</v>
      </c>
      <c r="H628" s="2">
        <f>SUMIF(deals_closed!D:D,Calculations!A628,deals_closed!C:C)</f>
        <v>425190</v>
      </c>
      <c r="I628" s="2">
        <f>VLOOKUP(E628,'2018_commission_structure'!$A$11:$I$14,9,FALSE)</f>
        <v>750000</v>
      </c>
      <c r="J628" s="2">
        <f t="shared" si="81"/>
        <v>937500</v>
      </c>
      <c r="K628" s="2">
        <f t="shared" si="82"/>
        <v>1125000</v>
      </c>
      <c r="L628" s="2">
        <f t="shared" si="83"/>
        <v>1500000</v>
      </c>
      <c r="M628" s="6">
        <f t="shared" si="84"/>
        <v>0.56691999999999998</v>
      </c>
      <c r="N628" t="str">
        <f t="shared" si="85"/>
        <v>0-100%</v>
      </c>
      <c r="O628" s="7">
        <f>MIN(I628,H628)*INDEX('2018_commission_structure'!$A$11:$I$14,MATCH(Calculations!$E628,'2018_commission_structure'!$A$11:$A$14,0),MATCH(Calculations!O$1,'2018_commission_structure'!$A$11:$I$11,0))</f>
        <v>63778.5</v>
      </c>
      <c r="P628" s="7">
        <f>IF($H628&gt;I628,MIN($H628-I628,J628-I628)*INDEX('2018_commission_structure'!$A$11:$I$14,MATCH(Calculations!$E628,'2018_commission_structure'!$A$11:$A$14,0), MATCH(Calculations!P$1,'2018_commission_structure'!$A$11:$I$11,0)),0)</f>
        <v>0</v>
      </c>
      <c r="Q628" s="7">
        <f>IF($H628&gt;J628,MIN($H628-J628,K628-J628)*INDEX('2018_commission_structure'!$A$11:$I$14,MATCH(Calculations!$E628,'2018_commission_structure'!$A$11:$A$14,0), MATCH(Calculations!Q$1,'2018_commission_structure'!$A$11:$I$11,0)),0)</f>
        <v>0</v>
      </c>
      <c r="R628" s="7">
        <f>IF($H628&gt;K628,MIN($H628-K628,L628-K628)*INDEX('2018_commission_structure'!$A$11:$I$14,MATCH(Calculations!$E628,'2018_commission_structure'!$A$11:$A$14,0), MATCH(Calculations!R$1,'2018_commission_structure'!$A$11:$I$11,0)),0)</f>
        <v>0</v>
      </c>
      <c r="S628" s="7">
        <f>IF(H628&gt;L628,(H628-L628)*INDEX('2018_commission_structure'!$A$11:$I$14,MATCH(Calculations!$E628,'2018_commission_structure'!$A$11:$A$14,0),MATCH(Calculations!S$1,'2018_commission_structure'!$A$11:$I$11,0)),0)</f>
        <v>0</v>
      </c>
      <c r="T628" s="7">
        <f t="shared" si="86"/>
        <v>63778.5</v>
      </c>
      <c r="U628" s="7">
        <f t="shared" si="87"/>
        <v>158242.5</v>
      </c>
      <c r="V628" s="7">
        <f>MIN(H628,I628)*INDEX('2018_commission_structure'!$A$5:$J$8,MATCH(Calculations!$E628,'2018_commission_structure'!$A$5:$A$8,0),MATCH(Calculations!V$1,'2018_commission_structure'!$A$5:$J$5,0))</f>
        <v>63778.5</v>
      </c>
      <c r="W628" s="2">
        <f>IF($H628&gt;I628,MIN($H628-I628,J628-I628)*INDEX('2018_commission_structure'!$A$5:$J$8,MATCH(Calculations!$E628,'2018_commission_structure'!$A$5:$A$8,0),MATCH(Calculations!W$1,'2018_commission_structure'!$A$5:$J$5,0)),0)</f>
        <v>0</v>
      </c>
      <c r="X628" s="2">
        <f>IF($H628&gt;J628,MIN($H628-J628,K628-J628)*INDEX('2018_commission_structure'!$A$5:$J$8,MATCH(Calculations!$E628,'2018_commission_structure'!$A$5:$A$8,0),MATCH(Calculations!X$1,'2018_commission_structure'!$A$5:$J$5,0)),0)</f>
        <v>0</v>
      </c>
      <c r="Y628" s="2">
        <f>IF($H628&gt;K628,MIN($H628-K628,L628-K628)*INDEX('2018_commission_structure'!$A$5:$J$8,MATCH(Calculations!$E628,'2018_commission_structure'!$A$5:$A$8,0),MATCH(Calculations!Y$1,'2018_commission_structure'!$A$5:$J$5,0)),0)</f>
        <v>0</v>
      </c>
      <c r="Z628" s="2">
        <f xml:space="preserve"> IF(H628&gt;L628,(H628-L628)*INDEX('2018_commission_structure'!$A$11:$I$14,MATCH(Calculations!$E628,'2018_commission_structure'!$A$11:$A$14,0),MATCH(Calculations!Z$1,'2018_commission_structure'!$A$11:$I$11,0)),0)</f>
        <v>0</v>
      </c>
      <c r="AA628" s="7">
        <f t="shared" si="88"/>
        <v>63778.5</v>
      </c>
      <c r="AB628" s="7">
        <f t="shared" si="89"/>
        <v>158242.5</v>
      </c>
    </row>
    <row r="629" spans="1:28" x14ac:dyDescent="0.25">
      <c r="A629">
        <v>8419732141</v>
      </c>
      <c r="B629" t="s">
        <v>885</v>
      </c>
      <c r="C629" t="s">
        <v>886</v>
      </c>
      <c r="D629" t="str">
        <f>B629&amp;" "&amp;C629</f>
        <v>Ulrike Meagher</v>
      </c>
      <c r="E629" t="s">
        <v>29</v>
      </c>
      <c r="F629">
        <v>63701</v>
      </c>
      <c r="G629">
        <f>COUNTIF(deals_closed!D:D,Calculations!A629)</f>
        <v>20</v>
      </c>
      <c r="H629" s="2">
        <f>SUMIF(deals_closed!D:D,Calculations!A629,deals_closed!C:C)</f>
        <v>607358</v>
      </c>
      <c r="I629" s="2">
        <f>VLOOKUP(E629,'2018_commission_structure'!$A$11:$I$14,9,FALSE)</f>
        <v>600000</v>
      </c>
      <c r="J629" s="2">
        <f t="shared" si="81"/>
        <v>750000</v>
      </c>
      <c r="K629" s="2">
        <f t="shared" si="82"/>
        <v>900000</v>
      </c>
      <c r="L629" s="2">
        <f t="shared" si="83"/>
        <v>1200000</v>
      </c>
      <c r="M629" s="6">
        <f t="shared" si="84"/>
        <v>1.0122633333333333</v>
      </c>
      <c r="N629" t="str">
        <f t="shared" si="85"/>
        <v>100-125%</v>
      </c>
      <c r="O629" s="7">
        <f>MIN(I629,H629)*INDEX('2018_commission_structure'!$A$11:$I$14,MATCH(Calculations!$E629,'2018_commission_structure'!$A$11:$A$14,0),MATCH(Calculations!O$1,'2018_commission_structure'!$A$11:$I$11,0))</f>
        <v>78000</v>
      </c>
      <c r="P629" s="7">
        <f>IF($H629&gt;I629,MIN($H629-I629,J629-I629)*INDEX('2018_commission_structure'!$A$11:$I$14,MATCH(Calculations!$E629,'2018_commission_structure'!$A$11:$A$14,0), MATCH(Calculations!P$1,'2018_commission_structure'!$A$11:$I$11,0)),0)</f>
        <v>1250.8600000000001</v>
      </c>
      <c r="Q629" s="7">
        <f>IF($H629&gt;J629,MIN($H629-J629,K629-J629)*INDEX('2018_commission_structure'!$A$11:$I$14,MATCH(Calculations!$E629,'2018_commission_structure'!$A$11:$A$14,0), MATCH(Calculations!Q$1,'2018_commission_structure'!$A$11:$I$11,0)),0)</f>
        <v>0</v>
      </c>
      <c r="R629" s="7">
        <f>IF($H629&gt;K629,MIN($H629-K629,L629-K629)*INDEX('2018_commission_structure'!$A$11:$I$14,MATCH(Calculations!$E629,'2018_commission_structure'!$A$11:$A$14,0), MATCH(Calculations!R$1,'2018_commission_structure'!$A$11:$I$11,0)),0)</f>
        <v>0</v>
      </c>
      <c r="S629" s="7">
        <f>IF(H629&gt;L629,(H629-L629)*INDEX('2018_commission_structure'!$A$11:$I$14,MATCH(Calculations!$E629,'2018_commission_structure'!$A$11:$A$14,0),MATCH(Calculations!S$1,'2018_commission_structure'!$A$11:$I$11,0)),0)</f>
        <v>0</v>
      </c>
      <c r="T629" s="7">
        <f t="shared" si="86"/>
        <v>79250.86</v>
      </c>
      <c r="U629" s="7">
        <f t="shared" si="87"/>
        <v>142951.85999999999</v>
      </c>
      <c r="V629" s="7">
        <f>MIN(H629,I629)*INDEX('2018_commission_structure'!$A$5:$J$8,MATCH(Calculations!$E629,'2018_commission_structure'!$A$5:$A$8,0),MATCH(Calculations!V$1,'2018_commission_structure'!$A$5:$J$5,0))</f>
        <v>90000</v>
      </c>
      <c r="W629" s="2">
        <f>IF($H629&gt;I629,MIN($H629-I629,J629-I629)*INDEX('2018_commission_structure'!$A$5:$J$8,MATCH(Calculations!$E629,'2018_commission_structure'!$A$5:$A$8,0),MATCH(Calculations!W$1,'2018_commission_structure'!$A$5:$J$5,0)),0)</f>
        <v>1324.44</v>
      </c>
      <c r="X629" s="2">
        <f>IF($H629&gt;J629,MIN($H629-J629,K629-J629)*INDEX('2018_commission_structure'!$A$5:$J$8,MATCH(Calculations!$E629,'2018_commission_structure'!$A$5:$A$8,0),MATCH(Calculations!X$1,'2018_commission_structure'!$A$5:$J$5,0)),0)</f>
        <v>0</v>
      </c>
      <c r="Y629" s="2">
        <f>IF($H629&gt;K629,MIN($H629-K629,L629-K629)*INDEX('2018_commission_structure'!$A$5:$J$8,MATCH(Calculations!$E629,'2018_commission_structure'!$A$5:$A$8,0),MATCH(Calculations!Y$1,'2018_commission_structure'!$A$5:$J$5,0)),0)</f>
        <v>0</v>
      </c>
      <c r="Z629" s="2">
        <f xml:space="preserve"> IF(H629&gt;L629,(H629-L629)*INDEX('2018_commission_structure'!$A$11:$I$14,MATCH(Calculations!$E629,'2018_commission_structure'!$A$11:$A$14,0),MATCH(Calculations!Z$1,'2018_commission_structure'!$A$11:$I$11,0)),0)</f>
        <v>0</v>
      </c>
      <c r="AA629" s="7">
        <f t="shared" si="88"/>
        <v>91324.44</v>
      </c>
      <c r="AB629" s="7">
        <f t="shared" si="89"/>
        <v>155025.44</v>
      </c>
    </row>
    <row r="630" spans="1:28" x14ac:dyDescent="0.25">
      <c r="A630">
        <v>2257563263</v>
      </c>
      <c r="B630" t="s">
        <v>1207</v>
      </c>
      <c r="C630" t="s">
        <v>1208</v>
      </c>
      <c r="D630" t="str">
        <f>B630&amp;" "&amp;C630</f>
        <v>Rance Medwell</v>
      </c>
      <c r="E630" t="s">
        <v>29</v>
      </c>
      <c r="F630">
        <v>79120</v>
      </c>
      <c r="G630">
        <f>COUNTIF(deals_closed!D:D,Calculations!A630)</f>
        <v>17</v>
      </c>
      <c r="H630" s="2">
        <f>SUMIF(deals_closed!D:D,Calculations!A630,deals_closed!C:C)</f>
        <v>680087</v>
      </c>
      <c r="I630" s="2">
        <f>VLOOKUP(E630,'2018_commission_structure'!$A$11:$I$14,9,FALSE)</f>
        <v>600000</v>
      </c>
      <c r="J630" s="2">
        <f t="shared" si="81"/>
        <v>750000</v>
      </c>
      <c r="K630" s="2">
        <f t="shared" si="82"/>
        <v>900000</v>
      </c>
      <c r="L630" s="2">
        <f t="shared" si="83"/>
        <v>1200000</v>
      </c>
      <c r="M630" s="6">
        <f t="shared" si="84"/>
        <v>1.1334783333333334</v>
      </c>
      <c r="N630" t="str">
        <f t="shared" si="85"/>
        <v>100-125%</v>
      </c>
      <c r="O630" s="7">
        <f>MIN(I630,H630)*INDEX('2018_commission_structure'!$A$11:$I$14,MATCH(Calculations!$E630,'2018_commission_structure'!$A$11:$A$14,0),MATCH(Calculations!O$1,'2018_commission_structure'!$A$11:$I$11,0))</f>
        <v>78000</v>
      </c>
      <c r="P630" s="7">
        <f>IF($H630&gt;I630,MIN($H630-I630,J630-I630)*INDEX('2018_commission_structure'!$A$11:$I$14,MATCH(Calculations!$E630,'2018_commission_structure'!$A$11:$A$14,0), MATCH(Calculations!P$1,'2018_commission_structure'!$A$11:$I$11,0)),0)</f>
        <v>13614.79</v>
      </c>
      <c r="Q630" s="7">
        <f>IF($H630&gt;J630,MIN($H630-J630,K630-J630)*INDEX('2018_commission_structure'!$A$11:$I$14,MATCH(Calculations!$E630,'2018_commission_structure'!$A$11:$A$14,0), MATCH(Calculations!Q$1,'2018_commission_structure'!$A$11:$I$11,0)),0)</f>
        <v>0</v>
      </c>
      <c r="R630" s="7">
        <f>IF($H630&gt;K630,MIN($H630-K630,L630-K630)*INDEX('2018_commission_structure'!$A$11:$I$14,MATCH(Calculations!$E630,'2018_commission_structure'!$A$11:$A$14,0), MATCH(Calculations!R$1,'2018_commission_structure'!$A$11:$I$11,0)),0)</f>
        <v>0</v>
      </c>
      <c r="S630" s="7">
        <f>IF(H630&gt;L630,(H630-L630)*INDEX('2018_commission_structure'!$A$11:$I$14,MATCH(Calculations!$E630,'2018_commission_structure'!$A$11:$A$14,0),MATCH(Calculations!S$1,'2018_commission_structure'!$A$11:$I$11,0)),0)</f>
        <v>0</v>
      </c>
      <c r="T630" s="7">
        <f t="shared" si="86"/>
        <v>91614.790000000008</v>
      </c>
      <c r="U630" s="7">
        <f t="shared" si="87"/>
        <v>170734.79</v>
      </c>
      <c r="V630" s="7">
        <f>MIN(H630,I630)*INDEX('2018_commission_structure'!$A$5:$J$8,MATCH(Calculations!$E630,'2018_commission_structure'!$A$5:$A$8,0),MATCH(Calculations!V$1,'2018_commission_structure'!$A$5:$J$5,0))</f>
        <v>90000</v>
      </c>
      <c r="W630" s="2">
        <f>IF($H630&gt;I630,MIN($H630-I630,J630-I630)*INDEX('2018_commission_structure'!$A$5:$J$8,MATCH(Calculations!$E630,'2018_commission_structure'!$A$5:$A$8,0),MATCH(Calculations!W$1,'2018_commission_structure'!$A$5:$J$5,0)),0)</f>
        <v>14415.66</v>
      </c>
      <c r="X630" s="2">
        <f>IF($H630&gt;J630,MIN($H630-J630,K630-J630)*INDEX('2018_commission_structure'!$A$5:$J$8,MATCH(Calculations!$E630,'2018_commission_structure'!$A$5:$A$8,0),MATCH(Calculations!X$1,'2018_commission_structure'!$A$5:$J$5,0)),0)</f>
        <v>0</v>
      </c>
      <c r="Y630" s="2">
        <f>IF($H630&gt;K630,MIN($H630-K630,L630-K630)*INDEX('2018_commission_structure'!$A$5:$J$8,MATCH(Calculations!$E630,'2018_commission_structure'!$A$5:$A$8,0),MATCH(Calculations!Y$1,'2018_commission_structure'!$A$5:$J$5,0)),0)</f>
        <v>0</v>
      </c>
      <c r="Z630" s="2">
        <f xml:space="preserve"> IF(H630&gt;L630,(H630-L630)*INDEX('2018_commission_structure'!$A$11:$I$14,MATCH(Calculations!$E630,'2018_commission_structure'!$A$11:$A$14,0),MATCH(Calculations!Z$1,'2018_commission_structure'!$A$11:$I$11,0)),0)</f>
        <v>0</v>
      </c>
      <c r="AA630" s="7">
        <f t="shared" si="88"/>
        <v>104415.66</v>
      </c>
      <c r="AB630" s="7">
        <f t="shared" si="89"/>
        <v>183535.66</v>
      </c>
    </row>
    <row r="631" spans="1:28" x14ac:dyDescent="0.25">
      <c r="A631">
        <v>3516592710</v>
      </c>
      <c r="B631" t="s">
        <v>66</v>
      </c>
      <c r="C631" t="s">
        <v>67</v>
      </c>
      <c r="D631" t="str">
        <f>B631&amp;" "&amp;C631</f>
        <v>Harlan Mein</v>
      </c>
      <c r="E631" t="s">
        <v>7</v>
      </c>
      <c r="F631">
        <v>38904</v>
      </c>
      <c r="G631">
        <f>COUNTIF(deals_closed!D:D,Calculations!A631)</f>
        <v>22</v>
      </c>
      <c r="H631" s="2">
        <f>SUMIF(deals_closed!D:D,Calculations!A631,deals_closed!C:C)</f>
        <v>794444</v>
      </c>
      <c r="I631" s="2">
        <f>VLOOKUP(E631,'2018_commission_structure'!$A$11:$I$14,9,FALSE)</f>
        <v>500000</v>
      </c>
      <c r="J631" s="2">
        <f t="shared" si="81"/>
        <v>625000</v>
      </c>
      <c r="K631" s="2">
        <f t="shared" si="82"/>
        <v>750000</v>
      </c>
      <c r="L631" s="2">
        <f t="shared" si="83"/>
        <v>1000000</v>
      </c>
      <c r="M631" s="6">
        <f t="shared" si="84"/>
        <v>1.5888880000000001</v>
      </c>
      <c r="N631" t="str">
        <f t="shared" si="85"/>
        <v>150-200%</v>
      </c>
      <c r="O631" s="7">
        <f>MIN(I631,H631)*INDEX('2018_commission_structure'!$A$11:$I$14,MATCH(Calculations!$E631,'2018_commission_structure'!$A$11:$A$14,0),MATCH(Calculations!O$1,'2018_commission_structure'!$A$11:$I$11,0))</f>
        <v>50000</v>
      </c>
      <c r="P631" s="7">
        <f>IF($H631&gt;I631,MIN($H631-I631,J631-I631)*INDEX('2018_commission_structure'!$A$11:$I$14,MATCH(Calculations!$E631,'2018_commission_structure'!$A$11:$A$14,0), MATCH(Calculations!P$1,'2018_commission_structure'!$A$11:$I$11,0)),0)</f>
        <v>18750</v>
      </c>
      <c r="Q631" s="7">
        <f>IF($H631&gt;J631,MIN($H631-J631,K631-J631)*INDEX('2018_commission_structure'!$A$11:$I$14,MATCH(Calculations!$E631,'2018_commission_structure'!$A$11:$A$14,0), MATCH(Calculations!Q$1,'2018_commission_structure'!$A$11:$I$11,0)),0)</f>
        <v>22500</v>
      </c>
      <c r="R631" s="7">
        <f>IF($H631&gt;K631,MIN($H631-K631,L631-K631)*INDEX('2018_commission_structure'!$A$11:$I$14,MATCH(Calculations!$E631,'2018_commission_structure'!$A$11:$A$14,0), MATCH(Calculations!R$1,'2018_commission_structure'!$A$11:$I$11,0)),0)</f>
        <v>9777.68</v>
      </c>
      <c r="S631" s="7">
        <f>IF(H631&gt;L631,(H631-L631)*INDEX('2018_commission_structure'!$A$11:$I$14,MATCH(Calculations!$E631,'2018_commission_structure'!$A$11:$A$14,0),MATCH(Calculations!S$1,'2018_commission_structure'!$A$11:$I$11,0)),0)</f>
        <v>0</v>
      </c>
      <c r="T631" s="7">
        <f t="shared" si="86"/>
        <v>101027.68</v>
      </c>
      <c r="U631" s="7">
        <f t="shared" si="87"/>
        <v>139931.68</v>
      </c>
      <c r="V631" s="7">
        <f>MIN(H631,I631)*INDEX('2018_commission_structure'!$A$5:$J$8,MATCH(Calculations!$E631,'2018_commission_structure'!$A$5:$A$8,0),MATCH(Calculations!V$1,'2018_commission_structure'!$A$5:$J$5,0))</f>
        <v>60000</v>
      </c>
      <c r="W631" s="2">
        <f>IF($H631&gt;I631,MIN($H631-I631,J631-I631)*INDEX('2018_commission_structure'!$A$5:$J$8,MATCH(Calculations!$E631,'2018_commission_structure'!$A$5:$A$8,0),MATCH(Calculations!W$1,'2018_commission_structure'!$A$5:$J$5,0)),0)</f>
        <v>21250</v>
      </c>
      <c r="X631" s="2">
        <f>IF($H631&gt;J631,MIN($H631-J631,K631-J631)*INDEX('2018_commission_structure'!$A$5:$J$8,MATCH(Calculations!$E631,'2018_commission_structure'!$A$5:$A$8,0),MATCH(Calculations!X$1,'2018_commission_structure'!$A$5:$J$5,0)),0)</f>
        <v>25000</v>
      </c>
      <c r="Y631" s="2">
        <f>IF($H631&gt;K631,MIN($H631-K631,L631-K631)*INDEX('2018_commission_structure'!$A$5:$J$8,MATCH(Calculations!$E631,'2018_commission_structure'!$A$5:$A$8,0),MATCH(Calculations!Y$1,'2018_commission_structure'!$A$5:$J$5,0)),0)</f>
        <v>9777.68</v>
      </c>
      <c r="Z631" s="2">
        <f xml:space="preserve"> IF(H631&gt;L631,(H631-L631)*INDEX('2018_commission_structure'!$A$11:$I$14,MATCH(Calculations!$E631,'2018_commission_structure'!$A$11:$A$14,0),MATCH(Calculations!Z$1,'2018_commission_structure'!$A$11:$I$11,0)),0)</f>
        <v>0</v>
      </c>
      <c r="AA631" s="7">
        <f t="shared" si="88"/>
        <v>116027.68</v>
      </c>
      <c r="AB631" s="7">
        <f t="shared" si="89"/>
        <v>154931.68</v>
      </c>
    </row>
    <row r="632" spans="1:28" x14ac:dyDescent="0.25">
      <c r="A632">
        <v>4286367630</v>
      </c>
      <c r="B632" t="s">
        <v>503</v>
      </c>
      <c r="C632" t="s">
        <v>504</v>
      </c>
      <c r="D632" t="str">
        <f>B632&amp;" "&amp;C632</f>
        <v>Felita Melpuss</v>
      </c>
      <c r="E632" t="s">
        <v>29</v>
      </c>
      <c r="F632">
        <v>60653</v>
      </c>
      <c r="G632">
        <f>COUNTIF(deals_closed!D:D,Calculations!A632)</f>
        <v>15</v>
      </c>
      <c r="H632" s="2">
        <f>SUMIF(deals_closed!D:D,Calculations!A632,deals_closed!C:C)</f>
        <v>499440</v>
      </c>
      <c r="I632" s="2">
        <f>VLOOKUP(E632,'2018_commission_structure'!$A$11:$I$14,9,FALSE)</f>
        <v>600000</v>
      </c>
      <c r="J632" s="2">
        <f t="shared" si="81"/>
        <v>750000</v>
      </c>
      <c r="K632" s="2">
        <f t="shared" si="82"/>
        <v>900000</v>
      </c>
      <c r="L632" s="2">
        <f t="shared" si="83"/>
        <v>1200000</v>
      </c>
      <c r="M632" s="6">
        <f t="shared" si="84"/>
        <v>0.83240000000000003</v>
      </c>
      <c r="N632" t="str">
        <f t="shared" si="85"/>
        <v>0-100%</v>
      </c>
      <c r="O632" s="7">
        <f>MIN(I632,H632)*INDEX('2018_commission_structure'!$A$11:$I$14,MATCH(Calculations!$E632,'2018_commission_structure'!$A$11:$A$14,0),MATCH(Calculations!O$1,'2018_commission_structure'!$A$11:$I$11,0))</f>
        <v>64927.200000000004</v>
      </c>
      <c r="P632" s="7">
        <f>IF($H632&gt;I632,MIN($H632-I632,J632-I632)*INDEX('2018_commission_structure'!$A$11:$I$14,MATCH(Calculations!$E632,'2018_commission_structure'!$A$11:$A$14,0), MATCH(Calculations!P$1,'2018_commission_structure'!$A$11:$I$11,0)),0)</f>
        <v>0</v>
      </c>
      <c r="Q632" s="7">
        <f>IF($H632&gt;J632,MIN($H632-J632,K632-J632)*INDEX('2018_commission_structure'!$A$11:$I$14,MATCH(Calculations!$E632,'2018_commission_structure'!$A$11:$A$14,0), MATCH(Calculations!Q$1,'2018_commission_structure'!$A$11:$I$11,0)),0)</f>
        <v>0</v>
      </c>
      <c r="R632" s="7">
        <f>IF($H632&gt;K632,MIN($H632-K632,L632-K632)*INDEX('2018_commission_structure'!$A$11:$I$14,MATCH(Calculations!$E632,'2018_commission_structure'!$A$11:$A$14,0), MATCH(Calculations!R$1,'2018_commission_structure'!$A$11:$I$11,0)),0)</f>
        <v>0</v>
      </c>
      <c r="S632" s="7">
        <f>IF(H632&gt;L632,(H632-L632)*INDEX('2018_commission_structure'!$A$11:$I$14,MATCH(Calculations!$E632,'2018_commission_structure'!$A$11:$A$14,0),MATCH(Calculations!S$1,'2018_commission_structure'!$A$11:$I$11,0)),0)</f>
        <v>0</v>
      </c>
      <c r="T632" s="7">
        <f t="shared" si="86"/>
        <v>64927.200000000004</v>
      </c>
      <c r="U632" s="7">
        <f t="shared" si="87"/>
        <v>125580.20000000001</v>
      </c>
      <c r="V632" s="7">
        <f>MIN(H632,I632)*INDEX('2018_commission_structure'!$A$5:$J$8,MATCH(Calculations!$E632,'2018_commission_structure'!$A$5:$A$8,0),MATCH(Calculations!V$1,'2018_commission_structure'!$A$5:$J$5,0))</f>
        <v>74916</v>
      </c>
      <c r="W632" s="2">
        <f>IF($H632&gt;I632,MIN($H632-I632,J632-I632)*INDEX('2018_commission_structure'!$A$5:$J$8,MATCH(Calculations!$E632,'2018_commission_structure'!$A$5:$A$8,0),MATCH(Calculations!W$1,'2018_commission_structure'!$A$5:$J$5,0)),0)</f>
        <v>0</v>
      </c>
      <c r="X632" s="2">
        <f>IF($H632&gt;J632,MIN($H632-J632,K632-J632)*INDEX('2018_commission_structure'!$A$5:$J$8,MATCH(Calculations!$E632,'2018_commission_structure'!$A$5:$A$8,0),MATCH(Calculations!X$1,'2018_commission_structure'!$A$5:$J$5,0)),0)</f>
        <v>0</v>
      </c>
      <c r="Y632" s="2">
        <f>IF($H632&gt;K632,MIN($H632-K632,L632-K632)*INDEX('2018_commission_structure'!$A$5:$J$8,MATCH(Calculations!$E632,'2018_commission_structure'!$A$5:$A$8,0),MATCH(Calculations!Y$1,'2018_commission_structure'!$A$5:$J$5,0)),0)</f>
        <v>0</v>
      </c>
      <c r="Z632" s="2">
        <f xml:space="preserve"> IF(H632&gt;L632,(H632-L632)*INDEX('2018_commission_structure'!$A$11:$I$14,MATCH(Calculations!$E632,'2018_commission_structure'!$A$11:$A$14,0),MATCH(Calculations!Z$1,'2018_commission_structure'!$A$11:$I$11,0)),0)</f>
        <v>0</v>
      </c>
      <c r="AA632" s="7">
        <f t="shared" si="88"/>
        <v>74916</v>
      </c>
      <c r="AB632" s="7">
        <f t="shared" si="89"/>
        <v>135569</v>
      </c>
    </row>
    <row r="633" spans="1:28" x14ac:dyDescent="0.25">
      <c r="A633">
        <v>1079691642</v>
      </c>
      <c r="B633" t="s">
        <v>1193</v>
      </c>
      <c r="C633" t="s">
        <v>1194</v>
      </c>
      <c r="D633" t="str">
        <f>B633&amp;" "&amp;C633</f>
        <v>Raff Menichini</v>
      </c>
      <c r="E633" t="s">
        <v>10</v>
      </c>
      <c r="F633">
        <v>113680</v>
      </c>
      <c r="G633">
        <f>COUNTIF(deals_closed!D:D,Calculations!A633)</f>
        <v>19</v>
      </c>
      <c r="H633" s="2">
        <f>SUMIF(deals_closed!D:D,Calculations!A633,deals_closed!C:C)</f>
        <v>648303</v>
      </c>
      <c r="I633" s="2">
        <f>VLOOKUP(E633,'2018_commission_structure'!$A$11:$I$14,9,FALSE)</f>
        <v>750000</v>
      </c>
      <c r="J633" s="2">
        <f t="shared" si="81"/>
        <v>937500</v>
      </c>
      <c r="K633" s="2">
        <f t="shared" si="82"/>
        <v>1125000</v>
      </c>
      <c r="L633" s="2">
        <f t="shared" si="83"/>
        <v>1500000</v>
      </c>
      <c r="M633" s="6">
        <f t="shared" si="84"/>
        <v>0.86440399999999995</v>
      </c>
      <c r="N633" t="str">
        <f t="shared" si="85"/>
        <v>0-100%</v>
      </c>
      <c r="O633" s="7">
        <f>MIN(I633,H633)*INDEX('2018_commission_structure'!$A$11:$I$14,MATCH(Calculations!$E633,'2018_commission_structure'!$A$11:$A$14,0),MATCH(Calculations!O$1,'2018_commission_structure'!$A$11:$I$11,0))</f>
        <v>97245.45</v>
      </c>
      <c r="P633" s="7">
        <f>IF($H633&gt;I633,MIN($H633-I633,J633-I633)*INDEX('2018_commission_structure'!$A$11:$I$14,MATCH(Calculations!$E633,'2018_commission_structure'!$A$11:$A$14,0), MATCH(Calculations!P$1,'2018_commission_structure'!$A$11:$I$11,0)),0)</f>
        <v>0</v>
      </c>
      <c r="Q633" s="7">
        <f>IF($H633&gt;J633,MIN($H633-J633,K633-J633)*INDEX('2018_commission_structure'!$A$11:$I$14,MATCH(Calculations!$E633,'2018_commission_structure'!$A$11:$A$14,0), MATCH(Calculations!Q$1,'2018_commission_structure'!$A$11:$I$11,0)),0)</f>
        <v>0</v>
      </c>
      <c r="R633" s="7">
        <f>IF($H633&gt;K633,MIN($H633-K633,L633-K633)*INDEX('2018_commission_structure'!$A$11:$I$14,MATCH(Calculations!$E633,'2018_commission_structure'!$A$11:$A$14,0), MATCH(Calculations!R$1,'2018_commission_structure'!$A$11:$I$11,0)),0)</f>
        <v>0</v>
      </c>
      <c r="S633" s="7">
        <f>IF(H633&gt;L633,(H633-L633)*INDEX('2018_commission_structure'!$A$11:$I$14,MATCH(Calculations!$E633,'2018_commission_structure'!$A$11:$A$14,0),MATCH(Calculations!S$1,'2018_commission_structure'!$A$11:$I$11,0)),0)</f>
        <v>0</v>
      </c>
      <c r="T633" s="7">
        <f t="shared" si="86"/>
        <v>97245.45</v>
      </c>
      <c r="U633" s="7">
        <f t="shared" si="87"/>
        <v>210925.45</v>
      </c>
      <c r="V633" s="7">
        <f>MIN(H633,I633)*INDEX('2018_commission_structure'!$A$5:$J$8,MATCH(Calculations!$E633,'2018_commission_structure'!$A$5:$A$8,0),MATCH(Calculations!V$1,'2018_commission_structure'!$A$5:$J$5,0))</f>
        <v>97245.45</v>
      </c>
      <c r="W633" s="2">
        <f>IF($H633&gt;I633,MIN($H633-I633,J633-I633)*INDEX('2018_commission_structure'!$A$5:$J$8,MATCH(Calculations!$E633,'2018_commission_structure'!$A$5:$A$8,0),MATCH(Calculations!W$1,'2018_commission_structure'!$A$5:$J$5,0)),0)</f>
        <v>0</v>
      </c>
      <c r="X633" s="2">
        <f>IF($H633&gt;J633,MIN($H633-J633,K633-J633)*INDEX('2018_commission_structure'!$A$5:$J$8,MATCH(Calculations!$E633,'2018_commission_structure'!$A$5:$A$8,0),MATCH(Calculations!X$1,'2018_commission_structure'!$A$5:$J$5,0)),0)</f>
        <v>0</v>
      </c>
      <c r="Y633" s="2">
        <f>IF($H633&gt;K633,MIN($H633-K633,L633-K633)*INDEX('2018_commission_structure'!$A$5:$J$8,MATCH(Calculations!$E633,'2018_commission_structure'!$A$5:$A$8,0),MATCH(Calculations!Y$1,'2018_commission_structure'!$A$5:$J$5,0)),0)</f>
        <v>0</v>
      </c>
      <c r="Z633" s="2">
        <f xml:space="preserve"> IF(H633&gt;L633,(H633-L633)*INDEX('2018_commission_structure'!$A$11:$I$14,MATCH(Calculations!$E633,'2018_commission_structure'!$A$11:$A$14,0),MATCH(Calculations!Z$1,'2018_commission_structure'!$A$11:$I$11,0)),0)</f>
        <v>0</v>
      </c>
      <c r="AA633" s="7">
        <f t="shared" si="88"/>
        <v>97245.45</v>
      </c>
      <c r="AB633" s="7">
        <f t="shared" si="89"/>
        <v>210925.45</v>
      </c>
    </row>
    <row r="634" spans="1:28" x14ac:dyDescent="0.25">
      <c r="A634">
        <v>4773306254</v>
      </c>
      <c r="B634" t="s">
        <v>1470</v>
      </c>
      <c r="C634" t="s">
        <v>1471</v>
      </c>
      <c r="D634" t="str">
        <f>B634&amp;" "&amp;C634</f>
        <v>Joye Mepham</v>
      </c>
      <c r="E634" t="s">
        <v>29</v>
      </c>
      <c r="F634">
        <v>58452</v>
      </c>
      <c r="G634">
        <f>COUNTIF(deals_closed!D:D,Calculations!A634)</f>
        <v>20</v>
      </c>
      <c r="H634" s="2">
        <f>SUMIF(deals_closed!D:D,Calculations!A634,deals_closed!C:C)</f>
        <v>598593</v>
      </c>
      <c r="I634" s="2">
        <f>VLOOKUP(E634,'2018_commission_structure'!$A$11:$I$14,9,FALSE)</f>
        <v>600000</v>
      </c>
      <c r="J634" s="2">
        <f t="shared" si="81"/>
        <v>750000</v>
      </c>
      <c r="K634" s="2">
        <f t="shared" si="82"/>
        <v>900000</v>
      </c>
      <c r="L634" s="2">
        <f t="shared" si="83"/>
        <v>1200000</v>
      </c>
      <c r="M634" s="6">
        <f t="shared" si="84"/>
        <v>0.99765499999999996</v>
      </c>
      <c r="N634" t="str">
        <f t="shared" si="85"/>
        <v>0-100%</v>
      </c>
      <c r="O634" s="7">
        <f>MIN(I634,H634)*INDEX('2018_commission_structure'!$A$11:$I$14,MATCH(Calculations!$E634,'2018_commission_structure'!$A$11:$A$14,0),MATCH(Calculations!O$1,'2018_commission_structure'!$A$11:$I$11,0))</f>
        <v>77817.09</v>
      </c>
      <c r="P634" s="7">
        <f>IF($H634&gt;I634,MIN($H634-I634,J634-I634)*INDEX('2018_commission_structure'!$A$11:$I$14,MATCH(Calculations!$E634,'2018_commission_structure'!$A$11:$A$14,0), MATCH(Calculations!P$1,'2018_commission_structure'!$A$11:$I$11,0)),0)</f>
        <v>0</v>
      </c>
      <c r="Q634" s="7">
        <f>IF($H634&gt;J634,MIN($H634-J634,K634-J634)*INDEX('2018_commission_structure'!$A$11:$I$14,MATCH(Calculations!$E634,'2018_commission_structure'!$A$11:$A$14,0), MATCH(Calculations!Q$1,'2018_commission_structure'!$A$11:$I$11,0)),0)</f>
        <v>0</v>
      </c>
      <c r="R634" s="7">
        <f>IF($H634&gt;K634,MIN($H634-K634,L634-K634)*INDEX('2018_commission_structure'!$A$11:$I$14,MATCH(Calculations!$E634,'2018_commission_structure'!$A$11:$A$14,0), MATCH(Calculations!R$1,'2018_commission_structure'!$A$11:$I$11,0)),0)</f>
        <v>0</v>
      </c>
      <c r="S634" s="7">
        <f>IF(H634&gt;L634,(H634-L634)*INDEX('2018_commission_structure'!$A$11:$I$14,MATCH(Calculations!$E634,'2018_commission_structure'!$A$11:$A$14,0),MATCH(Calculations!S$1,'2018_commission_structure'!$A$11:$I$11,0)),0)</f>
        <v>0</v>
      </c>
      <c r="T634" s="7">
        <f t="shared" si="86"/>
        <v>77817.09</v>
      </c>
      <c r="U634" s="7">
        <f t="shared" si="87"/>
        <v>136269.09</v>
      </c>
      <c r="V634" s="7">
        <f>MIN(H634,I634)*INDEX('2018_commission_structure'!$A$5:$J$8,MATCH(Calculations!$E634,'2018_commission_structure'!$A$5:$A$8,0),MATCH(Calculations!V$1,'2018_commission_structure'!$A$5:$J$5,0))</f>
        <v>89788.95</v>
      </c>
      <c r="W634" s="2">
        <f>IF($H634&gt;I634,MIN($H634-I634,J634-I634)*INDEX('2018_commission_structure'!$A$5:$J$8,MATCH(Calculations!$E634,'2018_commission_structure'!$A$5:$A$8,0),MATCH(Calculations!W$1,'2018_commission_structure'!$A$5:$J$5,0)),0)</f>
        <v>0</v>
      </c>
      <c r="X634" s="2">
        <f>IF($H634&gt;J634,MIN($H634-J634,K634-J634)*INDEX('2018_commission_structure'!$A$5:$J$8,MATCH(Calculations!$E634,'2018_commission_structure'!$A$5:$A$8,0),MATCH(Calculations!X$1,'2018_commission_structure'!$A$5:$J$5,0)),0)</f>
        <v>0</v>
      </c>
      <c r="Y634" s="2">
        <f>IF($H634&gt;K634,MIN($H634-K634,L634-K634)*INDEX('2018_commission_structure'!$A$5:$J$8,MATCH(Calculations!$E634,'2018_commission_structure'!$A$5:$A$8,0),MATCH(Calculations!Y$1,'2018_commission_structure'!$A$5:$J$5,0)),0)</f>
        <v>0</v>
      </c>
      <c r="Z634" s="2">
        <f xml:space="preserve"> IF(H634&gt;L634,(H634-L634)*INDEX('2018_commission_structure'!$A$11:$I$14,MATCH(Calculations!$E634,'2018_commission_structure'!$A$11:$A$14,0),MATCH(Calculations!Z$1,'2018_commission_structure'!$A$11:$I$11,0)),0)</f>
        <v>0</v>
      </c>
      <c r="AA634" s="7">
        <f t="shared" si="88"/>
        <v>89788.95</v>
      </c>
      <c r="AB634" s="7">
        <f t="shared" si="89"/>
        <v>148240.95000000001</v>
      </c>
    </row>
    <row r="635" spans="1:28" x14ac:dyDescent="0.25">
      <c r="A635">
        <v>4698538416</v>
      </c>
      <c r="B635" t="s">
        <v>1550</v>
      </c>
      <c r="C635" t="s">
        <v>1551</v>
      </c>
      <c r="D635" t="str">
        <f>B635&amp;" "&amp;C635</f>
        <v>Greer Mercey</v>
      </c>
      <c r="E635" t="s">
        <v>29</v>
      </c>
      <c r="F635">
        <v>53655</v>
      </c>
      <c r="G635">
        <f>COUNTIF(deals_closed!D:D,Calculations!A635)</f>
        <v>23</v>
      </c>
      <c r="H635" s="2">
        <f>SUMIF(deals_closed!D:D,Calculations!A635,deals_closed!C:C)</f>
        <v>788197</v>
      </c>
      <c r="I635" s="2">
        <f>VLOOKUP(E635,'2018_commission_structure'!$A$11:$I$14,9,FALSE)</f>
        <v>600000</v>
      </c>
      <c r="J635" s="2">
        <f t="shared" si="81"/>
        <v>750000</v>
      </c>
      <c r="K635" s="2">
        <f t="shared" si="82"/>
        <v>900000</v>
      </c>
      <c r="L635" s="2">
        <f t="shared" si="83"/>
        <v>1200000</v>
      </c>
      <c r="M635" s="6">
        <f t="shared" si="84"/>
        <v>1.3136616666666667</v>
      </c>
      <c r="N635" t="str">
        <f t="shared" si="85"/>
        <v>125-150%</v>
      </c>
      <c r="O635" s="7">
        <f>MIN(I635,H635)*INDEX('2018_commission_structure'!$A$11:$I$14,MATCH(Calculations!$E635,'2018_commission_structure'!$A$11:$A$14,0),MATCH(Calculations!O$1,'2018_commission_structure'!$A$11:$I$11,0))</f>
        <v>78000</v>
      </c>
      <c r="P635" s="7">
        <f>IF($H635&gt;I635,MIN($H635-I635,J635-I635)*INDEX('2018_commission_structure'!$A$11:$I$14,MATCH(Calculations!$E635,'2018_commission_structure'!$A$11:$A$14,0), MATCH(Calculations!P$1,'2018_commission_structure'!$A$11:$I$11,0)),0)</f>
        <v>25500.000000000004</v>
      </c>
      <c r="Q635" s="7">
        <f>IF($H635&gt;J635,MIN($H635-J635,K635-J635)*INDEX('2018_commission_structure'!$A$11:$I$14,MATCH(Calculations!$E635,'2018_commission_structure'!$A$11:$A$14,0), MATCH(Calculations!Q$1,'2018_commission_structure'!$A$11:$I$11,0)),0)</f>
        <v>8021.37</v>
      </c>
      <c r="R635" s="7">
        <f>IF($H635&gt;K635,MIN($H635-K635,L635-K635)*INDEX('2018_commission_structure'!$A$11:$I$14,MATCH(Calculations!$E635,'2018_commission_structure'!$A$11:$A$14,0), MATCH(Calculations!R$1,'2018_commission_structure'!$A$11:$I$11,0)),0)</f>
        <v>0</v>
      </c>
      <c r="S635" s="7">
        <f>IF(H635&gt;L635,(H635-L635)*INDEX('2018_commission_structure'!$A$11:$I$14,MATCH(Calculations!$E635,'2018_commission_structure'!$A$11:$A$14,0),MATCH(Calculations!S$1,'2018_commission_structure'!$A$11:$I$11,0)),0)</f>
        <v>0</v>
      </c>
      <c r="T635" s="7">
        <f t="shared" si="86"/>
        <v>111521.37</v>
      </c>
      <c r="U635" s="7">
        <f t="shared" si="87"/>
        <v>165176.37</v>
      </c>
      <c r="V635" s="7">
        <f>MIN(H635,I635)*INDEX('2018_commission_structure'!$A$5:$J$8,MATCH(Calculations!$E635,'2018_commission_structure'!$A$5:$A$8,0),MATCH(Calculations!V$1,'2018_commission_structure'!$A$5:$J$5,0))</f>
        <v>90000</v>
      </c>
      <c r="W635" s="2">
        <f>IF($H635&gt;I635,MIN($H635-I635,J635-I635)*INDEX('2018_commission_structure'!$A$5:$J$8,MATCH(Calculations!$E635,'2018_commission_structure'!$A$5:$A$8,0),MATCH(Calculations!W$1,'2018_commission_structure'!$A$5:$J$5,0)),0)</f>
        <v>27000</v>
      </c>
      <c r="X635" s="2">
        <f>IF($H635&gt;J635,MIN($H635-J635,K635-J635)*INDEX('2018_commission_structure'!$A$5:$J$8,MATCH(Calculations!$E635,'2018_commission_structure'!$A$5:$A$8,0),MATCH(Calculations!X$1,'2018_commission_structure'!$A$5:$J$5,0)),0)</f>
        <v>9549.25</v>
      </c>
      <c r="Y635" s="2">
        <f>IF($H635&gt;K635,MIN($H635-K635,L635-K635)*INDEX('2018_commission_structure'!$A$5:$J$8,MATCH(Calculations!$E635,'2018_commission_structure'!$A$5:$A$8,0),MATCH(Calculations!Y$1,'2018_commission_structure'!$A$5:$J$5,0)),0)</f>
        <v>0</v>
      </c>
      <c r="Z635" s="2">
        <f xml:space="preserve"> IF(H635&gt;L635,(H635-L635)*INDEX('2018_commission_structure'!$A$11:$I$14,MATCH(Calculations!$E635,'2018_commission_structure'!$A$11:$A$14,0),MATCH(Calculations!Z$1,'2018_commission_structure'!$A$11:$I$11,0)),0)</f>
        <v>0</v>
      </c>
      <c r="AA635" s="7">
        <f t="shared" si="88"/>
        <v>126549.25</v>
      </c>
      <c r="AB635" s="7">
        <f t="shared" si="89"/>
        <v>180204.25</v>
      </c>
    </row>
    <row r="636" spans="1:28" x14ac:dyDescent="0.25">
      <c r="A636">
        <v>4752702681</v>
      </c>
      <c r="B636" t="s">
        <v>565</v>
      </c>
      <c r="C636" t="s">
        <v>566</v>
      </c>
      <c r="D636" t="str">
        <f>B636&amp;" "&amp;C636</f>
        <v>Elfrieda Merington</v>
      </c>
      <c r="E636" t="s">
        <v>10</v>
      </c>
      <c r="F636">
        <v>93722</v>
      </c>
      <c r="G636">
        <f>COUNTIF(deals_closed!D:D,Calculations!A636)</f>
        <v>15</v>
      </c>
      <c r="H636" s="2">
        <f>SUMIF(deals_closed!D:D,Calculations!A636,deals_closed!C:C)</f>
        <v>574225</v>
      </c>
      <c r="I636" s="2">
        <f>VLOOKUP(E636,'2018_commission_structure'!$A$11:$I$14,9,FALSE)</f>
        <v>750000</v>
      </c>
      <c r="J636" s="2">
        <f t="shared" si="81"/>
        <v>937500</v>
      </c>
      <c r="K636" s="2">
        <f t="shared" si="82"/>
        <v>1125000</v>
      </c>
      <c r="L636" s="2">
        <f t="shared" si="83"/>
        <v>1500000</v>
      </c>
      <c r="M636" s="6">
        <f t="shared" si="84"/>
        <v>0.76563333333333339</v>
      </c>
      <c r="N636" t="str">
        <f t="shared" si="85"/>
        <v>0-100%</v>
      </c>
      <c r="O636" s="7">
        <f>MIN(I636,H636)*INDEX('2018_commission_structure'!$A$11:$I$14,MATCH(Calculations!$E636,'2018_commission_structure'!$A$11:$A$14,0),MATCH(Calculations!O$1,'2018_commission_structure'!$A$11:$I$11,0))</f>
        <v>86133.75</v>
      </c>
      <c r="P636" s="7">
        <f>IF($H636&gt;I636,MIN($H636-I636,J636-I636)*INDEX('2018_commission_structure'!$A$11:$I$14,MATCH(Calculations!$E636,'2018_commission_structure'!$A$11:$A$14,0), MATCH(Calculations!P$1,'2018_commission_structure'!$A$11:$I$11,0)),0)</f>
        <v>0</v>
      </c>
      <c r="Q636" s="7">
        <f>IF($H636&gt;J636,MIN($H636-J636,K636-J636)*INDEX('2018_commission_structure'!$A$11:$I$14,MATCH(Calculations!$E636,'2018_commission_structure'!$A$11:$A$14,0), MATCH(Calculations!Q$1,'2018_commission_structure'!$A$11:$I$11,0)),0)</f>
        <v>0</v>
      </c>
      <c r="R636" s="7">
        <f>IF($H636&gt;K636,MIN($H636-K636,L636-K636)*INDEX('2018_commission_structure'!$A$11:$I$14,MATCH(Calculations!$E636,'2018_commission_structure'!$A$11:$A$14,0), MATCH(Calculations!R$1,'2018_commission_structure'!$A$11:$I$11,0)),0)</f>
        <v>0</v>
      </c>
      <c r="S636" s="7">
        <f>IF(H636&gt;L636,(H636-L636)*INDEX('2018_commission_structure'!$A$11:$I$14,MATCH(Calculations!$E636,'2018_commission_structure'!$A$11:$A$14,0),MATCH(Calculations!S$1,'2018_commission_structure'!$A$11:$I$11,0)),0)</f>
        <v>0</v>
      </c>
      <c r="T636" s="7">
        <f t="shared" si="86"/>
        <v>86133.75</v>
      </c>
      <c r="U636" s="7">
        <f t="shared" si="87"/>
        <v>179855.75</v>
      </c>
      <c r="V636" s="7">
        <f>MIN(H636,I636)*INDEX('2018_commission_structure'!$A$5:$J$8,MATCH(Calculations!$E636,'2018_commission_structure'!$A$5:$A$8,0),MATCH(Calculations!V$1,'2018_commission_structure'!$A$5:$J$5,0))</f>
        <v>86133.75</v>
      </c>
      <c r="W636" s="2">
        <f>IF($H636&gt;I636,MIN($H636-I636,J636-I636)*INDEX('2018_commission_structure'!$A$5:$J$8,MATCH(Calculations!$E636,'2018_commission_structure'!$A$5:$A$8,0),MATCH(Calculations!W$1,'2018_commission_structure'!$A$5:$J$5,0)),0)</f>
        <v>0</v>
      </c>
      <c r="X636" s="2">
        <f>IF($H636&gt;J636,MIN($H636-J636,K636-J636)*INDEX('2018_commission_structure'!$A$5:$J$8,MATCH(Calculations!$E636,'2018_commission_structure'!$A$5:$A$8,0),MATCH(Calculations!X$1,'2018_commission_structure'!$A$5:$J$5,0)),0)</f>
        <v>0</v>
      </c>
      <c r="Y636" s="2">
        <f>IF($H636&gt;K636,MIN($H636-K636,L636-K636)*INDEX('2018_commission_structure'!$A$5:$J$8,MATCH(Calculations!$E636,'2018_commission_structure'!$A$5:$A$8,0),MATCH(Calculations!Y$1,'2018_commission_structure'!$A$5:$J$5,0)),0)</f>
        <v>0</v>
      </c>
      <c r="Z636" s="2">
        <f xml:space="preserve"> IF(H636&gt;L636,(H636-L636)*INDEX('2018_commission_structure'!$A$11:$I$14,MATCH(Calculations!$E636,'2018_commission_structure'!$A$11:$A$14,0),MATCH(Calculations!Z$1,'2018_commission_structure'!$A$11:$I$11,0)),0)</f>
        <v>0</v>
      </c>
      <c r="AA636" s="7">
        <f t="shared" si="88"/>
        <v>86133.75</v>
      </c>
      <c r="AB636" s="7">
        <f t="shared" si="89"/>
        <v>179855.75</v>
      </c>
    </row>
    <row r="637" spans="1:28" x14ac:dyDescent="0.25">
      <c r="A637">
        <v>6720857681</v>
      </c>
      <c r="B637" t="s">
        <v>1085</v>
      </c>
      <c r="C637" t="s">
        <v>1086</v>
      </c>
      <c r="D637" t="str">
        <f>B637&amp;" "&amp;C637</f>
        <v>Cecilius Messam</v>
      </c>
      <c r="E637" t="s">
        <v>29</v>
      </c>
      <c r="F637">
        <v>73093</v>
      </c>
      <c r="G637">
        <f>COUNTIF(deals_closed!D:D,Calculations!A637)</f>
        <v>22</v>
      </c>
      <c r="H637" s="2">
        <f>SUMIF(deals_closed!D:D,Calculations!A637,deals_closed!C:C)</f>
        <v>800141</v>
      </c>
      <c r="I637" s="2">
        <f>VLOOKUP(E637,'2018_commission_structure'!$A$11:$I$14,9,FALSE)</f>
        <v>600000</v>
      </c>
      <c r="J637" s="2">
        <f t="shared" si="81"/>
        <v>750000</v>
      </c>
      <c r="K637" s="2">
        <f t="shared" si="82"/>
        <v>900000</v>
      </c>
      <c r="L637" s="2">
        <f t="shared" si="83"/>
        <v>1200000</v>
      </c>
      <c r="M637" s="6">
        <f t="shared" si="84"/>
        <v>1.3335683333333332</v>
      </c>
      <c r="N637" t="str">
        <f t="shared" si="85"/>
        <v>125-150%</v>
      </c>
      <c r="O637" s="7">
        <f>MIN(I637,H637)*INDEX('2018_commission_structure'!$A$11:$I$14,MATCH(Calculations!$E637,'2018_commission_structure'!$A$11:$A$14,0),MATCH(Calculations!O$1,'2018_commission_structure'!$A$11:$I$11,0))</f>
        <v>78000</v>
      </c>
      <c r="P637" s="7">
        <f>IF($H637&gt;I637,MIN($H637-I637,J637-I637)*INDEX('2018_commission_structure'!$A$11:$I$14,MATCH(Calculations!$E637,'2018_commission_structure'!$A$11:$A$14,0), MATCH(Calculations!P$1,'2018_commission_structure'!$A$11:$I$11,0)),0)</f>
        <v>25500.000000000004</v>
      </c>
      <c r="Q637" s="7">
        <f>IF($H637&gt;J637,MIN($H637-J637,K637-J637)*INDEX('2018_commission_structure'!$A$11:$I$14,MATCH(Calculations!$E637,'2018_commission_structure'!$A$11:$A$14,0), MATCH(Calculations!Q$1,'2018_commission_structure'!$A$11:$I$11,0)),0)</f>
        <v>10529.609999999999</v>
      </c>
      <c r="R637" s="7">
        <f>IF($H637&gt;K637,MIN($H637-K637,L637-K637)*INDEX('2018_commission_structure'!$A$11:$I$14,MATCH(Calculations!$E637,'2018_commission_structure'!$A$11:$A$14,0), MATCH(Calculations!R$1,'2018_commission_structure'!$A$11:$I$11,0)),0)</f>
        <v>0</v>
      </c>
      <c r="S637" s="7">
        <f>IF(H637&gt;L637,(H637-L637)*INDEX('2018_commission_structure'!$A$11:$I$14,MATCH(Calculations!$E637,'2018_commission_structure'!$A$11:$A$14,0),MATCH(Calculations!S$1,'2018_commission_structure'!$A$11:$I$11,0)),0)</f>
        <v>0</v>
      </c>
      <c r="T637" s="7">
        <f t="shared" si="86"/>
        <v>114029.61</v>
      </c>
      <c r="U637" s="7">
        <f t="shared" si="87"/>
        <v>187122.61</v>
      </c>
      <c r="V637" s="7">
        <f>MIN(H637,I637)*INDEX('2018_commission_structure'!$A$5:$J$8,MATCH(Calculations!$E637,'2018_commission_structure'!$A$5:$A$8,0),MATCH(Calculations!V$1,'2018_commission_structure'!$A$5:$J$5,0))</f>
        <v>90000</v>
      </c>
      <c r="W637" s="2">
        <f>IF($H637&gt;I637,MIN($H637-I637,J637-I637)*INDEX('2018_commission_structure'!$A$5:$J$8,MATCH(Calculations!$E637,'2018_commission_structure'!$A$5:$A$8,0),MATCH(Calculations!W$1,'2018_commission_structure'!$A$5:$J$5,0)),0)</f>
        <v>27000</v>
      </c>
      <c r="X637" s="2">
        <f>IF($H637&gt;J637,MIN($H637-J637,K637-J637)*INDEX('2018_commission_structure'!$A$5:$J$8,MATCH(Calculations!$E637,'2018_commission_structure'!$A$5:$A$8,0),MATCH(Calculations!X$1,'2018_commission_structure'!$A$5:$J$5,0)),0)</f>
        <v>12535.25</v>
      </c>
      <c r="Y637" s="2">
        <f>IF($H637&gt;K637,MIN($H637-K637,L637-K637)*INDEX('2018_commission_structure'!$A$5:$J$8,MATCH(Calculations!$E637,'2018_commission_structure'!$A$5:$A$8,0),MATCH(Calculations!Y$1,'2018_commission_structure'!$A$5:$J$5,0)),0)</f>
        <v>0</v>
      </c>
      <c r="Z637" s="2">
        <f xml:space="preserve"> IF(H637&gt;L637,(H637-L637)*INDEX('2018_commission_structure'!$A$11:$I$14,MATCH(Calculations!$E637,'2018_commission_structure'!$A$11:$A$14,0),MATCH(Calculations!Z$1,'2018_commission_structure'!$A$11:$I$11,0)),0)</f>
        <v>0</v>
      </c>
      <c r="AA637" s="7">
        <f t="shared" si="88"/>
        <v>129535.25</v>
      </c>
      <c r="AB637" s="7">
        <f t="shared" si="89"/>
        <v>202628.25</v>
      </c>
    </row>
    <row r="638" spans="1:28" x14ac:dyDescent="0.25">
      <c r="A638">
        <v>471886378</v>
      </c>
      <c r="B638" t="s">
        <v>1148</v>
      </c>
      <c r="C638" t="s">
        <v>1149</v>
      </c>
      <c r="D638" t="str">
        <f>B638&amp;" "&amp;C638</f>
        <v>Damaris Metson</v>
      </c>
      <c r="E638" t="s">
        <v>29</v>
      </c>
      <c r="F638">
        <v>65588</v>
      </c>
      <c r="G638">
        <f>COUNTIF(deals_closed!D:D,Calculations!A638)</f>
        <v>21</v>
      </c>
      <c r="H638" s="2">
        <f>SUMIF(deals_closed!D:D,Calculations!A638,deals_closed!C:C)</f>
        <v>721970</v>
      </c>
      <c r="I638" s="2">
        <f>VLOOKUP(E638,'2018_commission_structure'!$A$11:$I$14,9,FALSE)</f>
        <v>600000</v>
      </c>
      <c r="J638" s="2">
        <f t="shared" si="81"/>
        <v>750000</v>
      </c>
      <c r="K638" s="2">
        <f t="shared" si="82"/>
        <v>900000</v>
      </c>
      <c r="L638" s="2">
        <f t="shared" si="83"/>
        <v>1200000</v>
      </c>
      <c r="M638" s="6">
        <f t="shared" si="84"/>
        <v>1.2032833333333333</v>
      </c>
      <c r="N638" t="str">
        <f t="shared" si="85"/>
        <v>100-125%</v>
      </c>
      <c r="O638" s="7">
        <f>MIN(I638,H638)*INDEX('2018_commission_structure'!$A$11:$I$14,MATCH(Calculations!$E638,'2018_commission_structure'!$A$11:$A$14,0),MATCH(Calculations!O$1,'2018_commission_structure'!$A$11:$I$11,0))</f>
        <v>78000</v>
      </c>
      <c r="P638" s="7">
        <f>IF($H638&gt;I638,MIN($H638-I638,J638-I638)*INDEX('2018_commission_structure'!$A$11:$I$14,MATCH(Calculations!$E638,'2018_commission_structure'!$A$11:$A$14,0), MATCH(Calculations!P$1,'2018_commission_structure'!$A$11:$I$11,0)),0)</f>
        <v>20734.900000000001</v>
      </c>
      <c r="Q638" s="7">
        <f>IF($H638&gt;J638,MIN($H638-J638,K638-J638)*INDEX('2018_commission_structure'!$A$11:$I$14,MATCH(Calculations!$E638,'2018_commission_structure'!$A$11:$A$14,0), MATCH(Calculations!Q$1,'2018_commission_structure'!$A$11:$I$11,0)),0)</f>
        <v>0</v>
      </c>
      <c r="R638" s="7">
        <f>IF($H638&gt;K638,MIN($H638-K638,L638-K638)*INDEX('2018_commission_structure'!$A$11:$I$14,MATCH(Calculations!$E638,'2018_commission_structure'!$A$11:$A$14,0), MATCH(Calculations!R$1,'2018_commission_structure'!$A$11:$I$11,0)),0)</f>
        <v>0</v>
      </c>
      <c r="S638" s="7">
        <f>IF(H638&gt;L638,(H638-L638)*INDEX('2018_commission_structure'!$A$11:$I$14,MATCH(Calculations!$E638,'2018_commission_structure'!$A$11:$A$14,0),MATCH(Calculations!S$1,'2018_commission_structure'!$A$11:$I$11,0)),0)</f>
        <v>0</v>
      </c>
      <c r="T638" s="7">
        <f t="shared" si="86"/>
        <v>98734.9</v>
      </c>
      <c r="U638" s="7">
        <f t="shared" si="87"/>
        <v>164322.9</v>
      </c>
      <c r="V638" s="7">
        <f>MIN(H638,I638)*INDEX('2018_commission_structure'!$A$5:$J$8,MATCH(Calculations!$E638,'2018_commission_structure'!$A$5:$A$8,0),MATCH(Calculations!V$1,'2018_commission_structure'!$A$5:$J$5,0))</f>
        <v>90000</v>
      </c>
      <c r="W638" s="2">
        <f>IF($H638&gt;I638,MIN($H638-I638,J638-I638)*INDEX('2018_commission_structure'!$A$5:$J$8,MATCH(Calculations!$E638,'2018_commission_structure'!$A$5:$A$8,0),MATCH(Calculations!W$1,'2018_commission_structure'!$A$5:$J$5,0)),0)</f>
        <v>21954.6</v>
      </c>
      <c r="X638" s="2">
        <f>IF($H638&gt;J638,MIN($H638-J638,K638-J638)*INDEX('2018_commission_structure'!$A$5:$J$8,MATCH(Calculations!$E638,'2018_commission_structure'!$A$5:$A$8,0),MATCH(Calculations!X$1,'2018_commission_structure'!$A$5:$J$5,0)),0)</f>
        <v>0</v>
      </c>
      <c r="Y638" s="2">
        <f>IF($H638&gt;K638,MIN($H638-K638,L638-K638)*INDEX('2018_commission_structure'!$A$5:$J$8,MATCH(Calculations!$E638,'2018_commission_structure'!$A$5:$A$8,0),MATCH(Calculations!Y$1,'2018_commission_structure'!$A$5:$J$5,0)),0)</f>
        <v>0</v>
      </c>
      <c r="Z638" s="2">
        <f xml:space="preserve"> IF(H638&gt;L638,(H638-L638)*INDEX('2018_commission_structure'!$A$11:$I$14,MATCH(Calculations!$E638,'2018_commission_structure'!$A$11:$A$14,0),MATCH(Calculations!Z$1,'2018_commission_structure'!$A$11:$I$11,0)),0)</f>
        <v>0</v>
      </c>
      <c r="AA638" s="7">
        <f t="shared" si="88"/>
        <v>111954.6</v>
      </c>
      <c r="AB638" s="7">
        <f t="shared" si="89"/>
        <v>177542.6</v>
      </c>
    </row>
    <row r="639" spans="1:28" x14ac:dyDescent="0.25">
      <c r="A639">
        <v>7462961601</v>
      </c>
      <c r="B639" t="s">
        <v>638</v>
      </c>
      <c r="C639" t="s">
        <v>639</v>
      </c>
      <c r="D639" t="str">
        <f>B639&amp;" "&amp;C639</f>
        <v>Laurice Miall</v>
      </c>
      <c r="E639" t="s">
        <v>7</v>
      </c>
      <c r="F639">
        <v>39503</v>
      </c>
      <c r="G639">
        <f>COUNTIF(deals_closed!D:D,Calculations!A639)</f>
        <v>26</v>
      </c>
      <c r="H639" s="2">
        <f>SUMIF(deals_closed!D:D,Calculations!A639,deals_closed!C:C)</f>
        <v>1004176</v>
      </c>
      <c r="I639" s="2">
        <f>VLOOKUP(E639,'2018_commission_structure'!$A$11:$I$14,9,FALSE)</f>
        <v>500000</v>
      </c>
      <c r="J639" s="2">
        <f t="shared" si="81"/>
        <v>625000</v>
      </c>
      <c r="K639" s="2">
        <f t="shared" si="82"/>
        <v>750000</v>
      </c>
      <c r="L639" s="2">
        <f t="shared" si="83"/>
        <v>1000000</v>
      </c>
      <c r="M639" s="6">
        <f t="shared" si="84"/>
        <v>2.0083519999999999</v>
      </c>
      <c r="N639" t="str">
        <f t="shared" si="85"/>
        <v>&gt;200%</v>
      </c>
      <c r="O639" s="7">
        <f>MIN(I639,H639)*INDEX('2018_commission_structure'!$A$11:$I$14,MATCH(Calculations!$E639,'2018_commission_structure'!$A$11:$A$14,0),MATCH(Calculations!O$1,'2018_commission_structure'!$A$11:$I$11,0))</f>
        <v>50000</v>
      </c>
      <c r="P639" s="7">
        <f>IF($H639&gt;I639,MIN($H639-I639,J639-I639)*INDEX('2018_commission_structure'!$A$11:$I$14,MATCH(Calculations!$E639,'2018_commission_structure'!$A$11:$A$14,0), MATCH(Calculations!P$1,'2018_commission_structure'!$A$11:$I$11,0)),0)</f>
        <v>18750</v>
      </c>
      <c r="Q639" s="7">
        <f>IF($H639&gt;J639,MIN($H639-J639,K639-J639)*INDEX('2018_commission_structure'!$A$11:$I$14,MATCH(Calculations!$E639,'2018_commission_structure'!$A$11:$A$14,0), MATCH(Calculations!Q$1,'2018_commission_structure'!$A$11:$I$11,0)),0)</f>
        <v>22500</v>
      </c>
      <c r="R639" s="7">
        <f>IF($H639&gt;K639,MIN($H639-K639,L639-K639)*INDEX('2018_commission_structure'!$A$11:$I$14,MATCH(Calculations!$E639,'2018_commission_structure'!$A$11:$A$14,0), MATCH(Calculations!R$1,'2018_commission_structure'!$A$11:$I$11,0)),0)</f>
        <v>55000</v>
      </c>
      <c r="S639" s="7">
        <f>IF(H639&gt;L639,(H639-L639)*INDEX('2018_commission_structure'!$A$11:$I$14,MATCH(Calculations!$E639,'2018_commission_structure'!$A$11:$A$14,0),MATCH(Calculations!S$1,'2018_commission_structure'!$A$11:$I$11,0)),0)</f>
        <v>417.6</v>
      </c>
      <c r="T639" s="7">
        <f t="shared" si="86"/>
        <v>146667.6</v>
      </c>
      <c r="U639" s="7">
        <f t="shared" si="87"/>
        <v>186170.6</v>
      </c>
      <c r="V639" s="7">
        <f>MIN(H639,I639)*INDEX('2018_commission_structure'!$A$5:$J$8,MATCH(Calculations!$E639,'2018_commission_structure'!$A$5:$A$8,0),MATCH(Calculations!V$1,'2018_commission_structure'!$A$5:$J$5,0))</f>
        <v>60000</v>
      </c>
      <c r="W639" s="2">
        <f>IF($H639&gt;I639,MIN($H639-I639,J639-I639)*INDEX('2018_commission_structure'!$A$5:$J$8,MATCH(Calculations!$E639,'2018_commission_structure'!$A$5:$A$8,0),MATCH(Calculations!W$1,'2018_commission_structure'!$A$5:$J$5,0)),0)</f>
        <v>21250</v>
      </c>
      <c r="X639" s="2">
        <f>IF($H639&gt;J639,MIN($H639-J639,K639-J639)*INDEX('2018_commission_structure'!$A$5:$J$8,MATCH(Calculations!$E639,'2018_commission_structure'!$A$5:$A$8,0),MATCH(Calculations!X$1,'2018_commission_structure'!$A$5:$J$5,0)),0)</f>
        <v>25000</v>
      </c>
      <c r="Y639" s="2">
        <f>IF($H639&gt;K639,MIN($H639-K639,L639-K639)*INDEX('2018_commission_structure'!$A$5:$J$8,MATCH(Calculations!$E639,'2018_commission_structure'!$A$5:$A$8,0),MATCH(Calculations!Y$1,'2018_commission_structure'!$A$5:$J$5,0)),0)</f>
        <v>55000</v>
      </c>
      <c r="Z639" s="2">
        <f xml:space="preserve"> IF(H639&gt;L639,(H639-L639)*INDEX('2018_commission_structure'!$A$11:$I$14,MATCH(Calculations!$E639,'2018_commission_structure'!$A$11:$A$14,0),MATCH(Calculations!Z$1,'2018_commission_structure'!$A$11:$I$11,0)),0)</f>
        <v>417.6</v>
      </c>
      <c r="AA639" s="7">
        <f t="shared" si="88"/>
        <v>161667.6</v>
      </c>
      <c r="AB639" s="7">
        <f t="shared" si="89"/>
        <v>201170.6</v>
      </c>
    </row>
    <row r="640" spans="1:28" x14ac:dyDescent="0.25">
      <c r="A640">
        <v>1573192775</v>
      </c>
      <c r="B640" t="s">
        <v>1795</v>
      </c>
      <c r="C640" t="s">
        <v>1796</v>
      </c>
      <c r="D640" t="str">
        <f>B640&amp;" "&amp;C640</f>
        <v>Chloette Millard</v>
      </c>
      <c r="E640" t="s">
        <v>29</v>
      </c>
      <c r="F640">
        <v>70723</v>
      </c>
      <c r="G640">
        <f>COUNTIF(deals_closed!D:D,Calculations!A640)</f>
        <v>28</v>
      </c>
      <c r="H640" s="2">
        <f>SUMIF(deals_closed!D:D,Calculations!A640,deals_closed!C:C)</f>
        <v>875887</v>
      </c>
      <c r="I640" s="2">
        <f>VLOOKUP(E640,'2018_commission_structure'!$A$11:$I$14,9,FALSE)</f>
        <v>600000</v>
      </c>
      <c r="J640" s="2">
        <f t="shared" si="81"/>
        <v>750000</v>
      </c>
      <c r="K640" s="2">
        <f t="shared" si="82"/>
        <v>900000</v>
      </c>
      <c r="L640" s="2">
        <f t="shared" si="83"/>
        <v>1200000</v>
      </c>
      <c r="M640" s="6">
        <f t="shared" si="84"/>
        <v>1.4598116666666667</v>
      </c>
      <c r="N640" t="str">
        <f t="shared" si="85"/>
        <v>125-150%</v>
      </c>
      <c r="O640" s="7">
        <f>MIN(I640,H640)*INDEX('2018_commission_structure'!$A$11:$I$14,MATCH(Calculations!$E640,'2018_commission_structure'!$A$11:$A$14,0),MATCH(Calculations!O$1,'2018_commission_structure'!$A$11:$I$11,0))</f>
        <v>78000</v>
      </c>
      <c r="P640" s="7">
        <f>IF($H640&gt;I640,MIN($H640-I640,J640-I640)*INDEX('2018_commission_structure'!$A$11:$I$14,MATCH(Calculations!$E640,'2018_commission_structure'!$A$11:$A$14,0), MATCH(Calculations!P$1,'2018_commission_structure'!$A$11:$I$11,0)),0)</f>
        <v>25500.000000000004</v>
      </c>
      <c r="Q640" s="7">
        <f>IF($H640&gt;J640,MIN($H640-J640,K640-J640)*INDEX('2018_commission_structure'!$A$11:$I$14,MATCH(Calculations!$E640,'2018_commission_structure'!$A$11:$A$14,0), MATCH(Calculations!Q$1,'2018_commission_structure'!$A$11:$I$11,0)),0)</f>
        <v>26436.27</v>
      </c>
      <c r="R640" s="7">
        <f>IF($H640&gt;K640,MIN($H640-K640,L640-K640)*INDEX('2018_commission_structure'!$A$11:$I$14,MATCH(Calculations!$E640,'2018_commission_structure'!$A$11:$A$14,0), MATCH(Calculations!R$1,'2018_commission_structure'!$A$11:$I$11,0)),0)</f>
        <v>0</v>
      </c>
      <c r="S640" s="7">
        <f>IF(H640&gt;L640,(H640-L640)*INDEX('2018_commission_structure'!$A$11:$I$14,MATCH(Calculations!$E640,'2018_commission_structure'!$A$11:$A$14,0),MATCH(Calculations!S$1,'2018_commission_structure'!$A$11:$I$11,0)),0)</f>
        <v>0</v>
      </c>
      <c r="T640" s="7">
        <f t="shared" si="86"/>
        <v>129936.27</v>
      </c>
      <c r="U640" s="7">
        <f t="shared" si="87"/>
        <v>200659.27000000002</v>
      </c>
      <c r="V640" s="7">
        <f>MIN(H640,I640)*INDEX('2018_commission_structure'!$A$5:$J$8,MATCH(Calculations!$E640,'2018_commission_structure'!$A$5:$A$8,0),MATCH(Calculations!V$1,'2018_commission_structure'!$A$5:$J$5,0))</f>
        <v>90000</v>
      </c>
      <c r="W640" s="2">
        <f>IF($H640&gt;I640,MIN($H640-I640,J640-I640)*INDEX('2018_commission_structure'!$A$5:$J$8,MATCH(Calculations!$E640,'2018_commission_structure'!$A$5:$A$8,0),MATCH(Calculations!W$1,'2018_commission_structure'!$A$5:$J$5,0)),0)</f>
        <v>27000</v>
      </c>
      <c r="X640" s="2">
        <f>IF($H640&gt;J640,MIN($H640-J640,K640-J640)*INDEX('2018_commission_structure'!$A$5:$J$8,MATCH(Calculations!$E640,'2018_commission_structure'!$A$5:$A$8,0),MATCH(Calculations!X$1,'2018_commission_structure'!$A$5:$J$5,0)),0)</f>
        <v>31471.75</v>
      </c>
      <c r="Y640" s="2">
        <f>IF($H640&gt;K640,MIN($H640-K640,L640-K640)*INDEX('2018_commission_structure'!$A$5:$J$8,MATCH(Calculations!$E640,'2018_commission_structure'!$A$5:$A$8,0),MATCH(Calculations!Y$1,'2018_commission_structure'!$A$5:$J$5,0)),0)</f>
        <v>0</v>
      </c>
      <c r="Z640" s="2">
        <f xml:space="preserve"> IF(H640&gt;L640,(H640-L640)*INDEX('2018_commission_structure'!$A$11:$I$14,MATCH(Calculations!$E640,'2018_commission_structure'!$A$11:$A$14,0),MATCH(Calculations!Z$1,'2018_commission_structure'!$A$11:$I$11,0)),0)</f>
        <v>0</v>
      </c>
      <c r="AA640" s="7">
        <f t="shared" si="88"/>
        <v>148471.75</v>
      </c>
      <c r="AB640" s="7">
        <f t="shared" si="89"/>
        <v>219194.75</v>
      </c>
    </row>
    <row r="641" spans="1:28" x14ac:dyDescent="0.25">
      <c r="A641">
        <v>6322781804</v>
      </c>
      <c r="B641" t="s">
        <v>938</v>
      </c>
      <c r="C641" t="s">
        <v>1074</v>
      </c>
      <c r="D641" t="str">
        <f>B641&amp;" "&amp;C641</f>
        <v>Shayne Millin</v>
      </c>
      <c r="E641" t="s">
        <v>10</v>
      </c>
      <c r="F641">
        <v>124518</v>
      </c>
      <c r="G641">
        <f>COUNTIF(deals_closed!D:D,Calculations!A641)</f>
        <v>23</v>
      </c>
      <c r="H641" s="2">
        <f>SUMIF(deals_closed!D:D,Calculations!A641,deals_closed!C:C)</f>
        <v>893891</v>
      </c>
      <c r="I641" s="2">
        <f>VLOOKUP(E641,'2018_commission_structure'!$A$11:$I$14,9,FALSE)</f>
        <v>750000</v>
      </c>
      <c r="J641" s="2">
        <f t="shared" si="81"/>
        <v>937500</v>
      </c>
      <c r="K641" s="2">
        <f t="shared" si="82"/>
        <v>1125000</v>
      </c>
      <c r="L641" s="2">
        <f t="shared" si="83"/>
        <v>1500000</v>
      </c>
      <c r="M641" s="6">
        <f t="shared" si="84"/>
        <v>1.1918546666666667</v>
      </c>
      <c r="N641" t="str">
        <f t="shared" si="85"/>
        <v>100-125%</v>
      </c>
      <c r="O641" s="7">
        <f>MIN(I641,H641)*INDEX('2018_commission_structure'!$A$11:$I$14,MATCH(Calculations!$E641,'2018_commission_structure'!$A$11:$A$14,0),MATCH(Calculations!O$1,'2018_commission_structure'!$A$11:$I$11,0))</f>
        <v>112500</v>
      </c>
      <c r="P641" s="7">
        <f>IF($H641&gt;I641,MIN($H641-I641,J641-I641)*INDEX('2018_commission_structure'!$A$11:$I$14,MATCH(Calculations!$E641,'2018_commission_structure'!$A$11:$A$14,0), MATCH(Calculations!P$1,'2018_commission_structure'!$A$11:$I$11,0)),0)</f>
        <v>27339.29</v>
      </c>
      <c r="Q641" s="7">
        <f>IF($H641&gt;J641,MIN($H641-J641,K641-J641)*INDEX('2018_commission_structure'!$A$11:$I$14,MATCH(Calculations!$E641,'2018_commission_structure'!$A$11:$A$14,0), MATCH(Calculations!Q$1,'2018_commission_structure'!$A$11:$I$11,0)),0)</f>
        <v>0</v>
      </c>
      <c r="R641" s="7">
        <f>IF($H641&gt;K641,MIN($H641-K641,L641-K641)*INDEX('2018_commission_structure'!$A$11:$I$14,MATCH(Calculations!$E641,'2018_commission_structure'!$A$11:$A$14,0), MATCH(Calculations!R$1,'2018_commission_structure'!$A$11:$I$11,0)),0)</f>
        <v>0</v>
      </c>
      <c r="S641" s="7">
        <f>IF(H641&gt;L641,(H641-L641)*INDEX('2018_commission_structure'!$A$11:$I$14,MATCH(Calculations!$E641,'2018_commission_structure'!$A$11:$A$14,0),MATCH(Calculations!S$1,'2018_commission_structure'!$A$11:$I$11,0)),0)</f>
        <v>0</v>
      </c>
      <c r="T641" s="7">
        <f t="shared" si="86"/>
        <v>139839.29</v>
      </c>
      <c r="U641" s="7">
        <f t="shared" si="87"/>
        <v>264357.29000000004</v>
      </c>
      <c r="V641" s="7">
        <f>MIN(H641,I641)*INDEX('2018_commission_structure'!$A$5:$J$8,MATCH(Calculations!$E641,'2018_commission_structure'!$A$5:$A$8,0),MATCH(Calculations!V$1,'2018_commission_structure'!$A$5:$J$5,0))</f>
        <v>112500</v>
      </c>
      <c r="W641" s="2">
        <f>IF($H641&gt;I641,MIN($H641-I641,J641-I641)*INDEX('2018_commission_structure'!$A$5:$J$8,MATCH(Calculations!$E641,'2018_commission_structure'!$A$5:$A$8,0),MATCH(Calculations!W$1,'2018_commission_structure'!$A$5:$J$5,0)),0)</f>
        <v>31656.02</v>
      </c>
      <c r="X641" s="2">
        <f>IF($H641&gt;J641,MIN($H641-J641,K641-J641)*INDEX('2018_commission_structure'!$A$5:$J$8,MATCH(Calculations!$E641,'2018_commission_structure'!$A$5:$A$8,0),MATCH(Calculations!X$1,'2018_commission_structure'!$A$5:$J$5,0)),0)</f>
        <v>0</v>
      </c>
      <c r="Y641" s="2">
        <f>IF($H641&gt;K641,MIN($H641-K641,L641-K641)*INDEX('2018_commission_structure'!$A$5:$J$8,MATCH(Calculations!$E641,'2018_commission_structure'!$A$5:$A$8,0),MATCH(Calculations!Y$1,'2018_commission_structure'!$A$5:$J$5,0)),0)</f>
        <v>0</v>
      </c>
      <c r="Z641" s="2">
        <f xml:space="preserve"> IF(H641&gt;L641,(H641-L641)*INDEX('2018_commission_structure'!$A$11:$I$14,MATCH(Calculations!$E641,'2018_commission_structure'!$A$11:$A$14,0),MATCH(Calculations!Z$1,'2018_commission_structure'!$A$11:$I$11,0)),0)</f>
        <v>0</v>
      </c>
      <c r="AA641" s="7">
        <f t="shared" si="88"/>
        <v>144156.01999999999</v>
      </c>
      <c r="AB641" s="7">
        <f t="shared" si="89"/>
        <v>268674.02</v>
      </c>
    </row>
    <row r="642" spans="1:28" x14ac:dyDescent="0.25">
      <c r="A642">
        <v>6275593709</v>
      </c>
      <c r="B642" t="s">
        <v>276</v>
      </c>
      <c r="C642" t="s">
        <v>277</v>
      </c>
      <c r="D642" t="str">
        <f>B642&amp;" "&amp;C642</f>
        <v>Rodina Minchin</v>
      </c>
      <c r="E642" t="s">
        <v>10</v>
      </c>
      <c r="F642">
        <v>121384</v>
      </c>
      <c r="G642">
        <f>COUNTIF(deals_closed!D:D,Calculations!A642)</f>
        <v>14</v>
      </c>
      <c r="H642" s="2">
        <f>SUMIF(deals_closed!D:D,Calculations!A642,deals_closed!C:C)</f>
        <v>529473</v>
      </c>
      <c r="I642" s="2">
        <f>VLOOKUP(E642,'2018_commission_structure'!$A$11:$I$14,9,FALSE)</f>
        <v>750000</v>
      </c>
      <c r="J642" s="2">
        <f t="shared" ref="J642:J705" si="90">I642*1.25</f>
        <v>937500</v>
      </c>
      <c r="K642" s="2">
        <f t="shared" ref="K642:K705" si="91">I642*1.5</f>
        <v>1125000</v>
      </c>
      <c r="L642" s="2">
        <f t="shared" ref="L642:L705" si="92">I642*2</f>
        <v>1500000</v>
      </c>
      <c r="M642" s="6">
        <f t="shared" ref="M642:M705" si="93">H642/I642</f>
        <v>0.70596400000000004</v>
      </c>
      <c r="N642" t="str">
        <f t="shared" ref="N642:N705" si="94">IF(M642&lt;=1, "0-100%", IF(M642&lt;=1.25, "100-125%", IF(M642&lt;=1.5, "125-150%", IF(M642&lt;=2, "150-200%", "&gt;200%"))))</f>
        <v>0-100%</v>
      </c>
      <c r="O642" s="7">
        <f>MIN(I642,H642)*INDEX('2018_commission_structure'!$A$11:$I$14,MATCH(Calculations!$E642,'2018_commission_structure'!$A$11:$A$14,0),MATCH(Calculations!O$1,'2018_commission_structure'!$A$11:$I$11,0))</f>
        <v>79420.95</v>
      </c>
      <c r="P642" s="7">
        <f>IF($H642&gt;I642,MIN($H642-I642,J642-I642)*INDEX('2018_commission_structure'!$A$11:$I$14,MATCH(Calculations!$E642,'2018_commission_structure'!$A$11:$A$14,0), MATCH(Calculations!P$1,'2018_commission_structure'!$A$11:$I$11,0)),0)</f>
        <v>0</v>
      </c>
      <c r="Q642" s="7">
        <f>IF($H642&gt;J642,MIN($H642-J642,K642-J642)*INDEX('2018_commission_structure'!$A$11:$I$14,MATCH(Calculations!$E642,'2018_commission_structure'!$A$11:$A$14,0), MATCH(Calculations!Q$1,'2018_commission_structure'!$A$11:$I$11,0)),0)</f>
        <v>0</v>
      </c>
      <c r="R642" s="7">
        <f>IF($H642&gt;K642,MIN($H642-K642,L642-K642)*INDEX('2018_commission_structure'!$A$11:$I$14,MATCH(Calculations!$E642,'2018_commission_structure'!$A$11:$A$14,0), MATCH(Calculations!R$1,'2018_commission_structure'!$A$11:$I$11,0)),0)</f>
        <v>0</v>
      </c>
      <c r="S642" s="7">
        <f>IF(H642&gt;L642,(H642-L642)*INDEX('2018_commission_structure'!$A$11:$I$14,MATCH(Calculations!$E642,'2018_commission_structure'!$A$11:$A$14,0),MATCH(Calculations!S$1,'2018_commission_structure'!$A$11:$I$11,0)),0)</f>
        <v>0</v>
      </c>
      <c r="T642" s="7">
        <f t="shared" ref="T642:T705" si="95">SUM(O642:S642)</f>
        <v>79420.95</v>
      </c>
      <c r="U642" s="7">
        <f t="shared" ref="U642:U705" si="96">T642+F642</f>
        <v>200804.95</v>
      </c>
      <c r="V642" s="7">
        <f>MIN(H642,I642)*INDEX('2018_commission_structure'!$A$5:$J$8,MATCH(Calculations!$E642,'2018_commission_structure'!$A$5:$A$8,0),MATCH(Calculations!V$1,'2018_commission_structure'!$A$5:$J$5,0))</f>
        <v>79420.95</v>
      </c>
      <c r="W642" s="2">
        <f>IF($H642&gt;I642,MIN($H642-I642,J642-I642)*INDEX('2018_commission_structure'!$A$5:$J$8,MATCH(Calculations!$E642,'2018_commission_structure'!$A$5:$A$8,0),MATCH(Calculations!W$1,'2018_commission_structure'!$A$5:$J$5,0)),0)</f>
        <v>0</v>
      </c>
      <c r="X642" s="2">
        <f>IF($H642&gt;J642,MIN($H642-J642,K642-J642)*INDEX('2018_commission_structure'!$A$5:$J$8,MATCH(Calculations!$E642,'2018_commission_structure'!$A$5:$A$8,0),MATCH(Calculations!X$1,'2018_commission_structure'!$A$5:$J$5,0)),0)</f>
        <v>0</v>
      </c>
      <c r="Y642" s="2">
        <f>IF($H642&gt;K642,MIN($H642-K642,L642-K642)*INDEX('2018_commission_structure'!$A$5:$J$8,MATCH(Calculations!$E642,'2018_commission_structure'!$A$5:$A$8,0),MATCH(Calculations!Y$1,'2018_commission_structure'!$A$5:$J$5,0)),0)</f>
        <v>0</v>
      </c>
      <c r="Z642" s="2">
        <f xml:space="preserve"> IF(H642&gt;L642,(H642-L642)*INDEX('2018_commission_structure'!$A$11:$I$14,MATCH(Calculations!$E642,'2018_commission_structure'!$A$11:$A$14,0),MATCH(Calculations!Z$1,'2018_commission_structure'!$A$11:$I$11,0)),0)</f>
        <v>0</v>
      </c>
      <c r="AA642" s="7">
        <f t="shared" si="88"/>
        <v>79420.95</v>
      </c>
      <c r="AB642" s="7">
        <f t="shared" si="89"/>
        <v>200804.95</v>
      </c>
    </row>
    <row r="643" spans="1:28" x14ac:dyDescent="0.25">
      <c r="A643">
        <v>7637608875</v>
      </c>
      <c r="B643" t="s">
        <v>1091</v>
      </c>
      <c r="C643" t="s">
        <v>1092</v>
      </c>
      <c r="D643" t="str">
        <f>B643&amp;" "&amp;C643</f>
        <v>Lawrence Minchindon</v>
      </c>
      <c r="E643" t="s">
        <v>7</v>
      </c>
      <c r="F643">
        <v>49539</v>
      </c>
      <c r="G643">
        <f>COUNTIF(deals_closed!D:D,Calculations!A643)</f>
        <v>20</v>
      </c>
      <c r="H643" s="2">
        <f>SUMIF(deals_closed!D:D,Calculations!A643,deals_closed!C:C)</f>
        <v>712930</v>
      </c>
      <c r="I643" s="2">
        <f>VLOOKUP(E643,'2018_commission_structure'!$A$11:$I$14,9,FALSE)</f>
        <v>500000</v>
      </c>
      <c r="J643" s="2">
        <f t="shared" si="90"/>
        <v>625000</v>
      </c>
      <c r="K643" s="2">
        <f t="shared" si="91"/>
        <v>750000</v>
      </c>
      <c r="L643" s="2">
        <f t="shared" si="92"/>
        <v>1000000</v>
      </c>
      <c r="M643" s="6">
        <f t="shared" si="93"/>
        <v>1.4258599999999999</v>
      </c>
      <c r="N643" t="str">
        <f t="shared" si="94"/>
        <v>125-150%</v>
      </c>
      <c r="O643" s="7">
        <f>MIN(I643,H643)*INDEX('2018_commission_structure'!$A$11:$I$14,MATCH(Calculations!$E643,'2018_commission_structure'!$A$11:$A$14,0),MATCH(Calculations!O$1,'2018_commission_structure'!$A$11:$I$11,0))</f>
        <v>50000</v>
      </c>
      <c r="P643" s="7">
        <f>IF($H643&gt;I643,MIN($H643-I643,J643-I643)*INDEX('2018_commission_structure'!$A$11:$I$14,MATCH(Calculations!$E643,'2018_commission_structure'!$A$11:$A$14,0), MATCH(Calculations!P$1,'2018_commission_structure'!$A$11:$I$11,0)),0)</f>
        <v>18750</v>
      </c>
      <c r="Q643" s="7">
        <f>IF($H643&gt;J643,MIN($H643-J643,K643-J643)*INDEX('2018_commission_structure'!$A$11:$I$14,MATCH(Calculations!$E643,'2018_commission_structure'!$A$11:$A$14,0), MATCH(Calculations!Q$1,'2018_commission_structure'!$A$11:$I$11,0)),0)</f>
        <v>15827.4</v>
      </c>
      <c r="R643" s="7">
        <f>IF($H643&gt;K643,MIN($H643-K643,L643-K643)*INDEX('2018_commission_structure'!$A$11:$I$14,MATCH(Calculations!$E643,'2018_commission_structure'!$A$11:$A$14,0), MATCH(Calculations!R$1,'2018_commission_structure'!$A$11:$I$11,0)),0)</f>
        <v>0</v>
      </c>
      <c r="S643" s="7">
        <f>IF(H643&gt;L643,(H643-L643)*INDEX('2018_commission_structure'!$A$11:$I$14,MATCH(Calculations!$E643,'2018_commission_structure'!$A$11:$A$14,0),MATCH(Calculations!S$1,'2018_commission_structure'!$A$11:$I$11,0)),0)</f>
        <v>0</v>
      </c>
      <c r="T643" s="7">
        <f t="shared" si="95"/>
        <v>84577.4</v>
      </c>
      <c r="U643" s="7">
        <f t="shared" si="96"/>
        <v>134116.4</v>
      </c>
      <c r="V643" s="7">
        <f>MIN(H643,I643)*INDEX('2018_commission_structure'!$A$5:$J$8,MATCH(Calculations!$E643,'2018_commission_structure'!$A$5:$A$8,0),MATCH(Calculations!V$1,'2018_commission_structure'!$A$5:$J$5,0))</f>
        <v>60000</v>
      </c>
      <c r="W643" s="2">
        <f>IF($H643&gt;I643,MIN($H643-I643,J643-I643)*INDEX('2018_commission_structure'!$A$5:$J$8,MATCH(Calculations!$E643,'2018_commission_structure'!$A$5:$A$8,0),MATCH(Calculations!W$1,'2018_commission_structure'!$A$5:$J$5,0)),0)</f>
        <v>21250</v>
      </c>
      <c r="X643" s="2">
        <f>IF($H643&gt;J643,MIN($H643-J643,K643-J643)*INDEX('2018_commission_structure'!$A$5:$J$8,MATCH(Calculations!$E643,'2018_commission_structure'!$A$5:$A$8,0),MATCH(Calculations!X$1,'2018_commission_structure'!$A$5:$J$5,0)),0)</f>
        <v>17586</v>
      </c>
      <c r="Y643" s="2">
        <f>IF($H643&gt;K643,MIN($H643-K643,L643-K643)*INDEX('2018_commission_structure'!$A$5:$J$8,MATCH(Calculations!$E643,'2018_commission_structure'!$A$5:$A$8,0),MATCH(Calculations!Y$1,'2018_commission_structure'!$A$5:$J$5,0)),0)</f>
        <v>0</v>
      </c>
      <c r="Z643" s="2">
        <f xml:space="preserve"> IF(H643&gt;L643,(H643-L643)*INDEX('2018_commission_structure'!$A$11:$I$14,MATCH(Calculations!$E643,'2018_commission_structure'!$A$11:$A$14,0),MATCH(Calculations!Z$1,'2018_commission_structure'!$A$11:$I$11,0)),0)</f>
        <v>0</v>
      </c>
      <c r="AA643" s="7">
        <f t="shared" ref="AA643:AA706" si="97">SUM(V643:Z643)</f>
        <v>98836</v>
      </c>
      <c r="AB643" s="7">
        <f t="shared" ref="AB643:AB706" si="98">AA643+F643</f>
        <v>148375</v>
      </c>
    </row>
    <row r="644" spans="1:28" x14ac:dyDescent="0.25">
      <c r="A644">
        <v>3016741628</v>
      </c>
      <c r="B644" t="s">
        <v>1270</v>
      </c>
      <c r="C644" t="s">
        <v>1271</v>
      </c>
      <c r="D644" t="str">
        <f>B644&amp;" "&amp;C644</f>
        <v>Carleen Mingus</v>
      </c>
      <c r="E644" t="s">
        <v>10</v>
      </c>
      <c r="F644">
        <v>122851</v>
      </c>
      <c r="G644">
        <f>COUNTIF(deals_closed!D:D,Calculations!A644)</f>
        <v>22</v>
      </c>
      <c r="H644" s="2">
        <f>SUMIF(deals_closed!D:D,Calculations!A644,deals_closed!C:C)</f>
        <v>854591</v>
      </c>
      <c r="I644" s="2">
        <f>VLOOKUP(E644,'2018_commission_structure'!$A$11:$I$14,9,FALSE)</f>
        <v>750000</v>
      </c>
      <c r="J644" s="2">
        <f t="shared" si="90"/>
        <v>937500</v>
      </c>
      <c r="K644" s="2">
        <f t="shared" si="91"/>
        <v>1125000</v>
      </c>
      <c r="L644" s="2">
        <f t="shared" si="92"/>
        <v>1500000</v>
      </c>
      <c r="M644" s="6">
        <f t="shared" si="93"/>
        <v>1.1394546666666667</v>
      </c>
      <c r="N644" t="str">
        <f t="shared" si="94"/>
        <v>100-125%</v>
      </c>
      <c r="O644" s="7">
        <f>MIN(I644,H644)*INDEX('2018_commission_structure'!$A$11:$I$14,MATCH(Calculations!$E644,'2018_commission_structure'!$A$11:$A$14,0),MATCH(Calculations!O$1,'2018_commission_structure'!$A$11:$I$11,0))</f>
        <v>112500</v>
      </c>
      <c r="P644" s="7">
        <f>IF($H644&gt;I644,MIN($H644-I644,J644-I644)*INDEX('2018_commission_structure'!$A$11:$I$14,MATCH(Calculations!$E644,'2018_commission_structure'!$A$11:$A$14,0), MATCH(Calculations!P$1,'2018_commission_structure'!$A$11:$I$11,0)),0)</f>
        <v>19872.29</v>
      </c>
      <c r="Q644" s="7">
        <f>IF($H644&gt;J644,MIN($H644-J644,K644-J644)*INDEX('2018_commission_structure'!$A$11:$I$14,MATCH(Calculations!$E644,'2018_commission_structure'!$A$11:$A$14,0), MATCH(Calculations!Q$1,'2018_commission_structure'!$A$11:$I$11,0)),0)</f>
        <v>0</v>
      </c>
      <c r="R644" s="7">
        <f>IF($H644&gt;K644,MIN($H644-K644,L644-K644)*INDEX('2018_commission_structure'!$A$11:$I$14,MATCH(Calculations!$E644,'2018_commission_structure'!$A$11:$A$14,0), MATCH(Calculations!R$1,'2018_commission_structure'!$A$11:$I$11,0)),0)</f>
        <v>0</v>
      </c>
      <c r="S644" s="7">
        <f>IF(H644&gt;L644,(H644-L644)*INDEX('2018_commission_structure'!$A$11:$I$14,MATCH(Calculations!$E644,'2018_commission_structure'!$A$11:$A$14,0),MATCH(Calculations!S$1,'2018_commission_structure'!$A$11:$I$11,0)),0)</f>
        <v>0</v>
      </c>
      <c r="T644" s="7">
        <f t="shared" si="95"/>
        <v>132372.29</v>
      </c>
      <c r="U644" s="7">
        <f t="shared" si="96"/>
        <v>255223.29</v>
      </c>
      <c r="V644" s="7">
        <f>MIN(H644,I644)*INDEX('2018_commission_structure'!$A$5:$J$8,MATCH(Calculations!$E644,'2018_commission_structure'!$A$5:$A$8,0),MATCH(Calculations!V$1,'2018_commission_structure'!$A$5:$J$5,0))</f>
        <v>112500</v>
      </c>
      <c r="W644" s="2">
        <f>IF($H644&gt;I644,MIN($H644-I644,J644-I644)*INDEX('2018_commission_structure'!$A$5:$J$8,MATCH(Calculations!$E644,'2018_commission_structure'!$A$5:$A$8,0),MATCH(Calculations!W$1,'2018_commission_structure'!$A$5:$J$5,0)),0)</f>
        <v>23010.02</v>
      </c>
      <c r="X644" s="2">
        <f>IF($H644&gt;J644,MIN($H644-J644,K644-J644)*INDEX('2018_commission_structure'!$A$5:$J$8,MATCH(Calculations!$E644,'2018_commission_structure'!$A$5:$A$8,0),MATCH(Calculations!X$1,'2018_commission_structure'!$A$5:$J$5,0)),0)</f>
        <v>0</v>
      </c>
      <c r="Y644" s="2">
        <f>IF($H644&gt;K644,MIN($H644-K644,L644-K644)*INDEX('2018_commission_structure'!$A$5:$J$8,MATCH(Calculations!$E644,'2018_commission_structure'!$A$5:$A$8,0),MATCH(Calculations!Y$1,'2018_commission_structure'!$A$5:$J$5,0)),0)</f>
        <v>0</v>
      </c>
      <c r="Z644" s="2">
        <f xml:space="preserve"> IF(H644&gt;L644,(H644-L644)*INDEX('2018_commission_structure'!$A$11:$I$14,MATCH(Calculations!$E644,'2018_commission_structure'!$A$11:$A$14,0),MATCH(Calculations!Z$1,'2018_commission_structure'!$A$11:$I$11,0)),0)</f>
        <v>0</v>
      </c>
      <c r="AA644" s="7">
        <f t="shared" si="97"/>
        <v>135510.01999999999</v>
      </c>
      <c r="AB644" s="7">
        <f t="shared" si="98"/>
        <v>258361.02</v>
      </c>
    </row>
    <row r="645" spans="1:28" x14ac:dyDescent="0.25">
      <c r="A645">
        <v>9621571960</v>
      </c>
      <c r="B645" t="s">
        <v>1257</v>
      </c>
      <c r="C645" t="s">
        <v>1258</v>
      </c>
      <c r="D645" t="str">
        <f>B645&amp;" "&amp;C645</f>
        <v>Nicki Minnock</v>
      </c>
      <c r="E645" t="s">
        <v>29</v>
      </c>
      <c r="F645">
        <v>65646</v>
      </c>
      <c r="G645">
        <f>COUNTIF(deals_closed!D:D,Calculations!A645)</f>
        <v>22</v>
      </c>
      <c r="H645" s="2">
        <f>SUMIF(deals_closed!D:D,Calculations!A645,deals_closed!C:C)</f>
        <v>687722</v>
      </c>
      <c r="I645" s="2">
        <f>VLOOKUP(E645,'2018_commission_structure'!$A$11:$I$14,9,FALSE)</f>
        <v>600000</v>
      </c>
      <c r="J645" s="2">
        <f t="shared" si="90"/>
        <v>750000</v>
      </c>
      <c r="K645" s="2">
        <f t="shared" si="91"/>
        <v>900000</v>
      </c>
      <c r="L645" s="2">
        <f t="shared" si="92"/>
        <v>1200000</v>
      </c>
      <c r="M645" s="6">
        <f t="shared" si="93"/>
        <v>1.1462033333333332</v>
      </c>
      <c r="N645" t="str">
        <f t="shared" si="94"/>
        <v>100-125%</v>
      </c>
      <c r="O645" s="7">
        <f>MIN(I645,H645)*INDEX('2018_commission_structure'!$A$11:$I$14,MATCH(Calculations!$E645,'2018_commission_structure'!$A$11:$A$14,0),MATCH(Calculations!O$1,'2018_commission_structure'!$A$11:$I$11,0))</f>
        <v>78000</v>
      </c>
      <c r="P645" s="7">
        <f>IF($H645&gt;I645,MIN($H645-I645,J645-I645)*INDEX('2018_commission_structure'!$A$11:$I$14,MATCH(Calculations!$E645,'2018_commission_structure'!$A$11:$A$14,0), MATCH(Calculations!P$1,'2018_commission_structure'!$A$11:$I$11,0)),0)</f>
        <v>14912.740000000002</v>
      </c>
      <c r="Q645" s="7">
        <f>IF($H645&gt;J645,MIN($H645-J645,K645-J645)*INDEX('2018_commission_structure'!$A$11:$I$14,MATCH(Calculations!$E645,'2018_commission_structure'!$A$11:$A$14,0), MATCH(Calculations!Q$1,'2018_commission_structure'!$A$11:$I$11,0)),0)</f>
        <v>0</v>
      </c>
      <c r="R645" s="7">
        <f>IF($H645&gt;K645,MIN($H645-K645,L645-K645)*INDEX('2018_commission_structure'!$A$11:$I$14,MATCH(Calculations!$E645,'2018_commission_structure'!$A$11:$A$14,0), MATCH(Calculations!R$1,'2018_commission_structure'!$A$11:$I$11,0)),0)</f>
        <v>0</v>
      </c>
      <c r="S645" s="7">
        <f>IF(H645&gt;L645,(H645-L645)*INDEX('2018_commission_structure'!$A$11:$I$14,MATCH(Calculations!$E645,'2018_commission_structure'!$A$11:$A$14,0),MATCH(Calculations!S$1,'2018_commission_structure'!$A$11:$I$11,0)),0)</f>
        <v>0</v>
      </c>
      <c r="T645" s="7">
        <f t="shared" si="95"/>
        <v>92912.74</v>
      </c>
      <c r="U645" s="7">
        <f t="shared" si="96"/>
        <v>158558.74</v>
      </c>
      <c r="V645" s="7">
        <f>MIN(H645,I645)*INDEX('2018_commission_structure'!$A$5:$J$8,MATCH(Calculations!$E645,'2018_commission_structure'!$A$5:$A$8,0),MATCH(Calculations!V$1,'2018_commission_structure'!$A$5:$J$5,0))</f>
        <v>90000</v>
      </c>
      <c r="W645" s="2">
        <f>IF($H645&gt;I645,MIN($H645-I645,J645-I645)*INDEX('2018_commission_structure'!$A$5:$J$8,MATCH(Calculations!$E645,'2018_commission_structure'!$A$5:$A$8,0),MATCH(Calculations!W$1,'2018_commission_structure'!$A$5:$J$5,0)),0)</f>
        <v>15789.96</v>
      </c>
      <c r="X645" s="2">
        <f>IF($H645&gt;J645,MIN($H645-J645,K645-J645)*INDEX('2018_commission_structure'!$A$5:$J$8,MATCH(Calculations!$E645,'2018_commission_structure'!$A$5:$A$8,0),MATCH(Calculations!X$1,'2018_commission_structure'!$A$5:$J$5,0)),0)</f>
        <v>0</v>
      </c>
      <c r="Y645" s="2">
        <f>IF($H645&gt;K645,MIN($H645-K645,L645-K645)*INDEX('2018_commission_structure'!$A$5:$J$8,MATCH(Calculations!$E645,'2018_commission_structure'!$A$5:$A$8,0),MATCH(Calculations!Y$1,'2018_commission_structure'!$A$5:$J$5,0)),0)</f>
        <v>0</v>
      </c>
      <c r="Z645" s="2">
        <f xml:space="preserve"> IF(H645&gt;L645,(H645-L645)*INDEX('2018_commission_structure'!$A$11:$I$14,MATCH(Calculations!$E645,'2018_commission_structure'!$A$11:$A$14,0),MATCH(Calculations!Z$1,'2018_commission_structure'!$A$11:$I$11,0)),0)</f>
        <v>0</v>
      </c>
      <c r="AA645" s="7">
        <f t="shared" si="97"/>
        <v>105789.95999999999</v>
      </c>
      <c r="AB645" s="7">
        <f t="shared" si="98"/>
        <v>171435.96</v>
      </c>
    </row>
    <row r="646" spans="1:28" x14ac:dyDescent="0.25">
      <c r="A646">
        <v>5988565948</v>
      </c>
      <c r="B646" t="s">
        <v>1478</v>
      </c>
      <c r="C646" t="s">
        <v>1479</v>
      </c>
      <c r="D646" t="str">
        <f>B646&amp;" "&amp;C646</f>
        <v>Kyle Molan</v>
      </c>
      <c r="E646" t="s">
        <v>7</v>
      </c>
      <c r="F646">
        <v>33660</v>
      </c>
      <c r="G646">
        <f>COUNTIF(deals_closed!D:D,Calculations!A646)</f>
        <v>20</v>
      </c>
      <c r="H646" s="2">
        <f>SUMIF(deals_closed!D:D,Calculations!A646,deals_closed!C:C)</f>
        <v>683641</v>
      </c>
      <c r="I646" s="2">
        <f>VLOOKUP(E646,'2018_commission_structure'!$A$11:$I$14,9,FALSE)</f>
        <v>500000</v>
      </c>
      <c r="J646" s="2">
        <f t="shared" si="90"/>
        <v>625000</v>
      </c>
      <c r="K646" s="2">
        <f t="shared" si="91"/>
        <v>750000</v>
      </c>
      <c r="L646" s="2">
        <f t="shared" si="92"/>
        <v>1000000</v>
      </c>
      <c r="M646" s="6">
        <f t="shared" si="93"/>
        <v>1.3672820000000001</v>
      </c>
      <c r="N646" t="str">
        <f t="shared" si="94"/>
        <v>125-150%</v>
      </c>
      <c r="O646" s="7">
        <f>MIN(I646,H646)*INDEX('2018_commission_structure'!$A$11:$I$14,MATCH(Calculations!$E646,'2018_commission_structure'!$A$11:$A$14,0),MATCH(Calculations!O$1,'2018_commission_structure'!$A$11:$I$11,0))</f>
        <v>50000</v>
      </c>
      <c r="P646" s="7">
        <f>IF($H646&gt;I646,MIN($H646-I646,J646-I646)*INDEX('2018_commission_structure'!$A$11:$I$14,MATCH(Calculations!$E646,'2018_commission_structure'!$A$11:$A$14,0), MATCH(Calculations!P$1,'2018_commission_structure'!$A$11:$I$11,0)),0)</f>
        <v>18750</v>
      </c>
      <c r="Q646" s="7">
        <f>IF($H646&gt;J646,MIN($H646-J646,K646-J646)*INDEX('2018_commission_structure'!$A$11:$I$14,MATCH(Calculations!$E646,'2018_commission_structure'!$A$11:$A$14,0), MATCH(Calculations!Q$1,'2018_commission_structure'!$A$11:$I$11,0)),0)</f>
        <v>10555.38</v>
      </c>
      <c r="R646" s="7">
        <f>IF($H646&gt;K646,MIN($H646-K646,L646-K646)*INDEX('2018_commission_structure'!$A$11:$I$14,MATCH(Calculations!$E646,'2018_commission_structure'!$A$11:$A$14,0), MATCH(Calculations!R$1,'2018_commission_structure'!$A$11:$I$11,0)),0)</f>
        <v>0</v>
      </c>
      <c r="S646" s="7">
        <f>IF(H646&gt;L646,(H646-L646)*INDEX('2018_commission_structure'!$A$11:$I$14,MATCH(Calculations!$E646,'2018_commission_structure'!$A$11:$A$14,0),MATCH(Calculations!S$1,'2018_commission_structure'!$A$11:$I$11,0)),0)</f>
        <v>0</v>
      </c>
      <c r="T646" s="7">
        <f t="shared" si="95"/>
        <v>79305.38</v>
      </c>
      <c r="U646" s="7">
        <f t="shared" si="96"/>
        <v>112965.38</v>
      </c>
      <c r="V646" s="7">
        <f>MIN(H646,I646)*INDEX('2018_commission_structure'!$A$5:$J$8,MATCH(Calculations!$E646,'2018_commission_structure'!$A$5:$A$8,0),MATCH(Calculations!V$1,'2018_commission_structure'!$A$5:$J$5,0))</f>
        <v>60000</v>
      </c>
      <c r="W646" s="2">
        <f>IF($H646&gt;I646,MIN($H646-I646,J646-I646)*INDEX('2018_commission_structure'!$A$5:$J$8,MATCH(Calculations!$E646,'2018_commission_structure'!$A$5:$A$8,0),MATCH(Calculations!W$1,'2018_commission_structure'!$A$5:$J$5,0)),0)</f>
        <v>21250</v>
      </c>
      <c r="X646" s="2">
        <f>IF($H646&gt;J646,MIN($H646-J646,K646-J646)*INDEX('2018_commission_structure'!$A$5:$J$8,MATCH(Calculations!$E646,'2018_commission_structure'!$A$5:$A$8,0),MATCH(Calculations!X$1,'2018_commission_structure'!$A$5:$J$5,0)),0)</f>
        <v>11728.2</v>
      </c>
      <c r="Y646" s="2">
        <f>IF($H646&gt;K646,MIN($H646-K646,L646-K646)*INDEX('2018_commission_structure'!$A$5:$J$8,MATCH(Calculations!$E646,'2018_commission_structure'!$A$5:$A$8,0),MATCH(Calculations!Y$1,'2018_commission_structure'!$A$5:$J$5,0)),0)</f>
        <v>0</v>
      </c>
      <c r="Z646" s="2">
        <f xml:space="preserve"> IF(H646&gt;L646,(H646-L646)*INDEX('2018_commission_structure'!$A$11:$I$14,MATCH(Calculations!$E646,'2018_commission_structure'!$A$11:$A$14,0),MATCH(Calculations!Z$1,'2018_commission_structure'!$A$11:$I$11,0)),0)</f>
        <v>0</v>
      </c>
      <c r="AA646" s="7">
        <f t="shared" si="97"/>
        <v>92978.2</v>
      </c>
      <c r="AB646" s="7">
        <f t="shared" si="98"/>
        <v>126638.2</v>
      </c>
    </row>
    <row r="647" spans="1:28" x14ac:dyDescent="0.25">
      <c r="A647">
        <v>9726873223</v>
      </c>
      <c r="B647" t="s">
        <v>1684</v>
      </c>
      <c r="C647" t="s">
        <v>1685</v>
      </c>
      <c r="D647" t="str">
        <f>B647&amp;" "&amp;C647</f>
        <v>Shaine Monsey</v>
      </c>
      <c r="E647" t="s">
        <v>10</v>
      </c>
      <c r="F647">
        <v>119583</v>
      </c>
      <c r="G647">
        <f>COUNTIF(deals_closed!D:D,Calculations!A647)</f>
        <v>17</v>
      </c>
      <c r="H647" s="2">
        <f>SUMIF(deals_closed!D:D,Calculations!A647,deals_closed!C:C)</f>
        <v>561478</v>
      </c>
      <c r="I647" s="2">
        <f>VLOOKUP(E647,'2018_commission_structure'!$A$11:$I$14,9,FALSE)</f>
        <v>750000</v>
      </c>
      <c r="J647" s="2">
        <f t="shared" si="90"/>
        <v>937500</v>
      </c>
      <c r="K647" s="2">
        <f t="shared" si="91"/>
        <v>1125000</v>
      </c>
      <c r="L647" s="2">
        <f t="shared" si="92"/>
        <v>1500000</v>
      </c>
      <c r="M647" s="6">
        <f t="shared" si="93"/>
        <v>0.74863733333333338</v>
      </c>
      <c r="N647" t="str">
        <f t="shared" si="94"/>
        <v>0-100%</v>
      </c>
      <c r="O647" s="7">
        <f>MIN(I647,H647)*INDEX('2018_commission_structure'!$A$11:$I$14,MATCH(Calculations!$E647,'2018_commission_structure'!$A$11:$A$14,0),MATCH(Calculations!O$1,'2018_commission_structure'!$A$11:$I$11,0))</f>
        <v>84221.7</v>
      </c>
      <c r="P647" s="7">
        <f>IF($H647&gt;I647,MIN($H647-I647,J647-I647)*INDEX('2018_commission_structure'!$A$11:$I$14,MATCH(Calculations!$E647,'2018_commission_structure'!$A$11:$A$14,0), MATCH(Calculations!P$1,'2018_commission_structure'!$A$11:$I$11,0)),0)</f>
        <v>0</v>
      </c>
      <c r="Q647" s="7">
        <f>IF($H647&gt;J647,MIN($H647-J647,K647-J647)*INDEX('2018_commission_structure'!$A$11:$I$14,MATCH(Calculations!$E647,'2018_commission_structure'!$A$11:$A$14,0), MATCH(Calculations!Q$1,'2018_commission_structure'!$A$11:$I$11,0)),0)</f>
        <v>0</v>
      </c>
      <c r="R647" s="7">
        <f>IF($H647&gt;K647,MIN($H647-K647,L647-K647)*INDEX('2018_commission_structure'!$A$11:$I$14,MATCH(Calculations!$E647,'2018_commission_structure'!$A$11:$A$14,0), MATCH(Calculations!R$1,'2018_commission_structure'!$A$11:$I$11,0)),0)</f>
        <v>0</v>
      </c>
      <c r="S647" s="7">
        <f>IF(H647&gt;L647,(H647-L647)*INDEX('2018_commission_structure'!$A$11:$I$14,MATCH(Calculations!$E647,'2018_commission_structure'!$A$11:$A$14,0),MATCH(Calculations!S$1,'2018_commission_structure'!$A$11:$I$11,0)),0)</f>
        <v>0</v>
      </c>
      <c r="T647" s="7">
        <f t="shared" si="95"/>
        <v>84221.7</v>
      </c>
      <c r="U647" s="7">
        <f t="shared" si="96"/>
        <v>203804.7</v>
      </c>
      <c r="V647" s="7">
        <f>MIN(H647,I647)*INDEX('2018_commission_structure'!$A$5:$J$8,MATCH(Calculations!$E647,'2018_commission_structure'!$A$5:$A$8,0),MATCH(Calculations!V$1,'2018_commission_structure'!$A$5:$J$5,0))</f>
        <v>84221.7</v>
      </c>
      <c r="W647" s="2">
        <f>IF($H647&gt;I647,MIN($H647-I647,J647-I647)*INDEX('2018_commission_structure'!$A$5:$J$8,MATCH(Calculations!$E647,'2018_commission_structure'!$A$5:$A$8,0),MATCH(Calculations!W$1,'2018_commission_structure'!$A$5:$J$5,0)),0)</f>
        <v>0</v>
      </c>
      <c r="X647" s="2">
        <f>IF($H647&gt;J647,MIN($H647-J647,K647-J647)*INDEX('2018_commission_structure'!$A$5:$J$8,MATCH(Calculations!$E647,'2018_commission_structure'!$A$5:$A$8,0),MATCH(Calculations!X$1,'2018_commission_structure'!$A$5:$J$5,0)),0)</f>
        <v>0</v>
      </c>
      <c r="Y647" s="2">
        <f>IF($H647&gt;K647,MIN($H647-K647,L647-K647)*INDEX('2018_commission_structure'!$A$5:$J$8,MATCH(Calculations!$E647,'2018_commission_structure'!$A$5:$A$8,0),MATCH(Calculations!Y$1,'2018_commission_structure'!$A$5:$J$5,0)),0)</f>
        <v>0</v>
      </c>
      <c r="Z647" s="2">
        <f xml:space="preserve"> IF(H647&gt;L647,(H647-L647)*INDEX('2018_commission_structure'!$A$11:$I$14,MATCH(Calculations!$E647,'2018_commission_structure'!$A$11:$A$14,0),MATCH(Calculations!Z$1,'2018_commission_structure'!$A$11:$I$11,0)),0)</f>
        <v>0</v>
      </c>
      <c r="AA647" s="7">
        <f t="shared" si="97"/>
        <v>84221.7</v>
      </c>
      <c r="AB647" s="7">
        <f t="shared" si="98"/>
        <v>203804.7</v>
      </c>
    </row>
    <row r="648" spans="1:28" x14ac:dyDescent="0.25">
      <c r="A648">
        <v>3609467622</v>
      </c>
      <c r="B648" t="s">
        <v>1066</v>
      </c>
      <c r="C648" t="s">
        <v>1067</v>
      </c>
      <c r="D648" t="str">
        <f>B648&amp;" "&amp;C648</f>
        <v>Alberto Morgan</v>
      </c>
      <c r="E648" t="s">
        <v>7</v>
      </c>
      <c r="F648">
        <v>45564</v>
      </c>
      <c r="G648">
        <f>COUNTIF(deals_closed!D:D,Calculations!A648)</f>
        <v>17</v>
      </c>
      <c r="H648" s="2">
        <f>SUMIF(deals_closed!D:D,Calculations!A648,deals_closed!C:C)</f>
        <v>471173</v>
      </c>
      <c r="I648" s="2">
        <f>VLOOKUP(E648,'2018_commission_structure'!$A$11:$I$14,9,FALSE)</f>
        <v>500000</v>
      </c>
      <c r="J648" s="2">
        <f t="shared" si="90"/>
        <v>625000</v>
      </c>
      <c r="K648" s="2">
        <f t="shared" si="91"/>
        <v>750000</v>
      </c>
      <c r="L648" s="2">
        <f t="shared" si="92"/>
        <v>1000000</v>
      </c>
      <c r="M648" s="6">
        <f t="shared" si="93"/>
        <v>0.94234600000000002</v>
      </c>
      <c r="N648" t="str">
        <f t="shared" si="94"/>
        <v>0-100%</v>
      </c>
      <c r="O648" s="7">
        <f>MIN(I648,H648)*INDEX('2018_commission_structure'!$A$11:$I$14,MATCH(Calculations!$E648,'2018_commission_structure'!$A$11:$A$14,0),MATCH(Calculations!O$1,'2018_commission_structure'!$A$11:$I$11,0))</f>
        <v>47117.3</v>
      </c>
      <c r="P648" s="7">
        <f>IF($H648&gt;I648,MIN($H648-I648,J648-I648)*INDEX('2018_commission_structure'!$A$11:$I$14,MATCH(Calculations!$E648,'2018_commission_structure'!$A$11:$A$14,0), MATCH(Calculations!P$1,'2018_commission_structure'!$A$11:$I$11,0)),0)</f>
        <v>0</v>
      </c>
      <c r="Q648" s="7">
        <f>IF($H648&gt;J648,MIN($H648-J648,K648-J648)*INDEX('2018_commission_structure'!$A$11:$I$14,MATCH(Calculations!$E648,'2018_commission_structure'!$A$11:$A$14,0), MATCH(Calculations!Q$1,'2018_commission_structure'!$A$11:$I$11,0)),0)</f>
        <v>0</v>
      </c>
      <c r="R648" s="7">
        <f>IF($H648&gt;K648,MIN($H648-K648,L648-K648)*INDEX('2018_commission_structure'!$A$11:$I$14,MATCH(Calculations!$E648,'2018_commission_structure'!$A$11:$A$14,0), MATCH(Calculations!R$1,'2018_commission_structure'!$A$11:$I$11,0)),0)</f>
        <v>0</v>
      </c>
      <c r="S648" s="7">
        <f>IF(H648&gt;L648,(H648-L648)*INDEX('2018_commission_structure'!$A$11:$I$14,MATCH(Calculations!$E648,'2018_commission_structure'!$A$11:$A$14,0),MATCH(Calculations!S$1,'2018_commission_structure'!$A$11:$I$11,0)),0)</f>
        <v>0</v>
      </c>
      <c r="T648" s="7">
        <f t="shared" si="95"/>
        <v>47117.3</v>
      </c>
      <c r="U648" s="7">
        <f t="shared" si="96"/>
        <v>92681.3</v>
      </c>
      <c r="V648" s="7">
        <f>MIN(H648,I648)*INDEX('2018_commission_structure'!$A$5:$J$8,MATCH(Calculations!$E648,'2018_commission_structure'!$A$5:$A$8,0),MATCH(Calculations!V$1,'2018_commission_structure'!$A$5:$J$5,0))</f>
        <v>56540.759999999995</v>
      </c>
      <c r="W648" s="2">
        <f>IF($H648&gt;I648,MIN($H648-I648,J648-I648)*INDEX('2018_commission_structure'!$A$5:$J$8,MATCH(Calculations!$E648,'2018_commission_structure'!$A$5:$A$8,0),MATCH(Calculations!W$1,'2018_commission_structure'!$A$5:$J$5,0)),0)</f>
        <v>0</v>
      </c>
      <c r="X648" s="2">
        <f>IF($H648&gt;J648,MIN($H648-J648,K648-J648)*INDEX('2018_commission_structure'!$A$5:$J$8,MATCH(Calculations!$E648,'2018_commission_structure'!$A$5:$A$8,0),MATCH(Calculations!X$1,'2018_commission_structure'!$A$5:$J$5,0)),0)</f>
        <v>0</v>
      </c>
      <c r="Y648" s="2">
        <f>IF($H648&gt;K648,MIN($H648-K648,L648-K648)*INDEX('2018_commission_structure'!$A$5:$J$8,MATCH(Calculations!$E648,'2018_commission_structure'!$A$5:$A$8,0),MATCH(Calculations!Y$1,'2018_commission_structure'!$A$5:$J$5,0)),0)</f>
        <v>0</v>
      </c>
      <c r="Z648" s="2">
        <f xml:space="preserve"> IF(H648&gt;L648,(H648-L648)*INDEX('2018_commission_structure'!$A$11:$I$14,MATCH(Calculations!$E648,'2018_commission_structure'!$A$11:$A$14,0),MATCH(Calculations!Z$1,'2018_commission_structure'!$A$11:$I$11,0)),0)</f>
        <v>0</v>
      </c>
      <c r="AA648" s="7">
        <f t="shared" si="97"/>
        <v>56540.759999999995</v>
      </c>
      <c r="AB648" s="7">
        <f t="shared" si="98"/>
        <v>102104.76</v>
      </c>
    </row>
    <row r="649" spans="1:28" x14ac:dyDescent="0.25">
      <c r="A649">
        <v>6788593582</v>
      </c>
      <c r="B649" t="s">
        <v>1806</v>
      </c>
      <c r="C649" t="s">
        <v>1807</v>
      </c>
      <c r="D649" t="str">
        <f>B649&amp;" "&amp;C649</f>
        <v>Tab Morter</v>
      </c>
      <c r="E649" t="s">
        <v>29</v>
      </c>
      <c r="F649">
        <v>52481</v>
      </c>
      <c r="G649">
        <f>COUNTIF(deals_closed!D:D,Calculations!A649)</f>
        <v>32</v>
      </c>
      <c r="H649" s="2">
        <f>SUMIF(deals_closed!D:D,Calculations!A649,deals_closed!C:C)</f>
        <v>1214099</v>
      </c>
      <c r="I649" s="2">
        <f>VLOOKUP(E649,'2018_commission_structure'!$A$11:$I$14,9,FALSE)</f>
        <v>600000</v>
      </c>
      <c r="J649" s="2">
        <f t="shared" si="90"/>
        <v>750000</v>
      </c>
      <c r="K649" s="2">
        <f t="shared" si="91"/>
        <v>900000</v>
      </c>
      <c r="L649" s="2">
        <f t="shared" si="92"/>
        <v>1200000</v>
      </c>
      <c r="M649" s="6">
        <f t="shared" si="93"/>
        <v>2.0234983333333334</v>
      </c>
      <c r="N649" t="str">
        <f t="shared" si="94"/>
        <v>&gt;200%</v>
      </c>
      <c r="O649" s="7">
        <f>MIN(I649,H649)*INDEX('2018_commission_structure'!$A$11:$I$14,MATCH(Calculations!$E649,'2018_commission_structure'!$A$11:$A$14,0),MATCH(Calculations!O$1,'2018_commission_structure'!$A$11:$I$11,0))</f>
        <v>78000</v>
      </c>
      <c r="P649" s="7">
        <f>IF($H649&gt;I649,MIN($H649-I649,J649-I649)*INDEX('2018_commission_structure'!$A$11:$I$14,MATCH(Calculations!$E649,'2018_commission_structure'!$A$11:$A$14,0), MATCH(Calculations!P$1,'2018_commission_structure'!$A$11:$I$11,0)),0)</f>
        <v>25500.000000000004</v>
      </c>
      <c r="Q649" s="7">
        <f>IF($H649&gt;J649,MIN($H649-J649,K649-J649)*INDEX('2018_commission_structure'!$A$11:$I$14,MATCH(Calculations!$E649,'2018_commission_structure'!$A$11:$A$14,0), MATCH(Calculations!Q$1,'2018_commission_structure'!$A$11:$I$11,0)),0)</f>
        <v>31500</v>
      </c>
      <c r="R649" s="7">
        <f>IF($H649&gt;K649,MIN($H649-K649,L649-K649)*INDEX('2018_commission_structure'!$A$11:$I$14,MATCH(Calculations!$E649,'2018_commission_structure'!$A$11:$A$14,0), MATCH(Calculations!R$1,'2018_commission_structure'!$A$11:$I$11,0)),0)</f>
        <v>78000</v>
      </c>
      <c r="S649" s="7">
        <f>IF(H649&gt;L649,(H649-L649)*INDEX('2018_commission_structure'!$A$11:$I$14,MATCH(Calculations!$E649,'2018_commission_structure'!$A$11:$A$14,0),MATCH(Calculations!S$1,'2018_commission_structure'!$A$11:$I$11,0)),0)</f>
        <v>1832.8700000000001</v>
      </c>
      <c r="T649" s="7">
        <f t="shared" si="95"/>
        <v>214832.87</v>
      </c>
      <c r="U649" s="7">
        <f t="shared" si="96"/>
        <v>267313.87</v>
      </c>
      <c r="V649" s="7">
        <f>MIN(H649,I649)*INDEX('2018_commission_structure'!$A$5:$J$8,MATCH(Calculations!$E649,'2018_commission_structure'!$A$5:$A$8,0),MATCH(Calculations!V$1,'2018_commission_structure'!$A$5:$J$5,0))</f>
        <v>90000</v>
      </c>
      <c r="W649" s="2">
        <f>IF($H649&gt;I649,MIN($H649-I649,J649-I649)*INDEX('2018_commission_structure'!$A$5:$J$8,MATCH(Calculations!$E649,'2018_commission_structure'!$A$5:$A$8,0),MATCH(Calculations!W$1,'2018_commission_structure'!$A$5:$J$5,0)),0)</f>
        <v>27000</v>
      </c>
      <c r="X649" s="2">
        <f>IF($H649&gt;J649,MIN($H649-J649,K649-J649)*INDEX('2018_commission_structure'!$A$5:$J$8,MATCH(Calculations!$E649,'2018_commission_structure'!$A$5:$A$8,0),MATCH(Calculations!X$1,'2018_commission_structure'!$A$5:$J$5,0)),0)</f>
        <v>37500</v>
      </c>
      <c r="Y649" s="2">
        <f>IF($H649&gt;K649,MIN($H649-K649,L649-K649)*INDEX('2018_commission_structure'!$A$5:$J$8,MATCH(Calculations!$E649,'2018_commission_structure'!$A$5:$A$8,0),MATCH(Calculations!Y$1,'2018_commission_structure'!$A$5:$J$5,0)),0)</f>
        <v>90000</v>
      </c>
      <c r="Z649" s="2">
        <f xml:space="preserve"> IF(H649&gt;L649,(H649-L649)*INDEX('2018_commission_structure'!$A$11:$I$14,MATCH(Calculations!$E649,'2018_commission_structure'!$A$11:$A$14,0),MATCH(Calculations!Z$1,'2018_commission_structure'!$A$11:$I$11,0)),0)</f>
        <v>1832.8700000000001</v>
      </c>
      <c r="AA649" s="7">
        <f t="shared" si="97"/>
        <v>246332.87</v>
      </c>
      <c r="AB649" s="7">
        <f t="shared" si="98"/>
        <v>298813.87</v>
      </c>
    </row>
    <row r="650" spans="1:28" x14ac:dyDescent="0.25">
      <c r="A650">
        <v>1382734301</v>
      </c>
      <c r="B650" t="s">
        <v>1468</v>
      </c>
      <c r="C650" t="s">
        <v>1469</v>
      </c>
      <c r="D650" t="str">
        <f>B650&amp;" "&amp;C650</f>
        <v>Hugo Mowbray</v>
      </c>
      <c r="E650" t="s">
        <v>10</v>
      </c>
      <c r="F650">
        <v>108483</v>
      </c>
      <c r="G650">
        <f>COUNTIF(deals_closed!D:D,Calculations!A650)</f>
        <v>19</v>
      </c>
      <c r="H650" s="2">
        <f>SUMIF(deals_closed!D:D,Calculations!A650,deals_closed!C:C)</f>
        <v>619204</v>
      </c>
      <c r="I650" s="2">
        <f>VLOOKUP(E650,'2018_commission_structure'!$A$11:$I$14,9,FALSE)</f>
        <v>750000</v>
      </c>
      <c r="J650" s="2">
        <f t="shared" si="90"/>
        <v>937500</v>
      </c>
      <c r="K650" s="2">
        <f t="shared" si="91"/>
        <v>1125000</v>
      </c>
      <c r="L650" s="2">
        <f t="shared" si="92"/>
        <v>1500000</v>
      </c>
      <c r="M650" s="6">
        <f t="shared" si="93"/>
        <v>0.8256053333333333</v>
      </c>
      <c r="N650" t="str">
        <f t="shared" si="94"/>
        <v>0-100%</v>
      </c>
      <c r="O650" s="7">
        <f>MIN(I650,H650)*INDEX('2018_commission_structure'!$A$11:$I$14,MATCH(Calculations!$E650,'2018_commission_structure'!$A$11:$A$14,0),MATCH(Calculations!O$1,'2018_commission_structure'!$A$11:$I$11,0))</f>
        <v>92880.599999999991</v>
      </c>
      <c r="P650" s="7">
        <f>IF($H650&gt;I650,MIN($H650-I650,J650-I650)*INDEX('2018_commission_structure'!$A$11:$I$14,MATCH(Calculations!$E650,'2018_commission_structure'!$A$11:$A$14,0), MATCH(Calculations!P$1,'2018_commission_structure'!$A$11:$I$11,0)),0)</f>
        <v>0</v>
      </c>
      <c r="Q650" s="7">
        <f>IF($H650&gt;J650,MIN($H650-J650,K650-J650)*INDEX('2018_commission_structure'!$A$11:$I$14,MATCH(Calculations!$E650,'2018_commission_structure'!$A$11:$A$14,0), MATCH(Calculations!Q$1,'2018_commission_structure'!$A$11:$I$11,0)),0)</f>
        <v>0</v>
      </c>
      <c r="R650" s="7">
        <f>IF($H650&gt;K650,MIN($H650-K650,L650-K650)*INDEX('2018_commission_structure'!$A$11:$I$14,MATCH(Calculations!$E650,'2018_commission_structure'!$A$11:$A$14,0), MATCH(Calculations!R$1,'2018_commission_structure'!$A$11:$I$11,0)),0)</f>
        <v>0</v>
      </c>
      <c r="S650" s="7">
        <f>IF(H650&gt;L650,(H650-L650)*INDEX('2018_commission_structure'!$A$11:$I$14,MATCH(Calculations!$E650,'2018_commission_structure'!$A$11:$A$14,0),MATCH(Calculations!S$1,'2018_commission_structure'!$A$11:$I$11,0)),0)</f>
        <v>0</v>
      </c>
      <c r="T650" s="7">
        <f t="shared" si="95"/>
        <v>92880.599999999991</v>
      </c>
      <c r="U650" s="7">
        <f t="shared" si="96"/>
        <v>201363.59999999998</v>
      </c>
      <c r="V650" s="7">
        <f>MIN(H650,I650)*INDEX('2018_commission_structure'!$A$5:$J$8,MATCH(Calculations!$E650,'2018_commission_structure'!$A$5:$A$8,0),MATCH(Calculations!V$1,'2018_commission_structure'!$A$5:$J$5,0))</f>
        <v>92880.599999999991</v>
      </c>
      <c r="W650" s="2">
        <f>IF($H650&gt;I650,MIN($H650-I650,J650-I650)*INDEX('2018_commission_structure'!$A$5:$J$8,MATCH(Calculations!$E650,'2018_commission_structure'!$A$5:$A$8,0),MATCH(Calculations!W$1,'2018_commission_structure'!$A$5:$J$5,0)),0)</f>
        <v>0</v>
      </c>
      <c r="X650" s="2">
        <f>IF($H650&gt;J650,MIN($H650-J650,K650-J650)*INDEX('2018_commission_structure'!$A$5:$J$8,MATCH(Calculations!$E650,'2018_commission_structure'!$A$5:$A$8,0),MATCH(Calculations!X$1,'2018_commission_structure'!$A$5:$J$5,0)),0)</f>
        <v>0</v>
      </c>
      <c r="Y650" s="2">
        <f>IF($H650&gt;K650,MIN($H650-K650,L650-K650)*INDEX('2018_commission_structure'!$A$5:$J$8,MATCH(Calculations!$E650,'2018_commission_structure'!$A$5:$A$8,0),MATCH(Calculations!Y$1,'2018_commission_structure'!$A$5:$J$5,0)),0)</f>
        <v>0</v>
      </c>
      <c r="Z650" s="2">
        <f xml:space="preserve"> IF(H650&gt;L650,(H650-L650)*INDEX('2018_commission_structure'!$A$11:$I$14,MATCH(Calculations!$E650,'2018_commission_structure'!$A$11:$A$14,0),MATCH(Calculations!Z$1,'2018_commission_structure'!$A$11:$I$11,0)),0)</f>
        <v>0</v>
      </c>
      <c r="AA650" s="7">
        <f t="shared" si="97"/>
        <v>92880.599999999991</v>
      </c>
      <c r="AB650" s="7">
        <f t="shared" si="98"/>
        <v>201363.59999999998</v>
      </c>
    </row>
    <row r="651" spans="1:28" x14ac:dyDescent="0.25">
      <c r="A651">
        <v>9369490930</v>
      </c>
      <c r="B651" t="s">
        <v>1094</v>
      </c>
      <c r="C651" t="s">
        <v>1095</v>
      </c>
      <c r="D651" t="str">
        <f>B651&amp;" "&amp;C651</f>
        <v>Gar Mueller</v>
      </c>
      <c r="E651" t="s">
        <v>7</v>
      </c>
      <c r="F651">
        <v>47086</v>
      </c>
      <c r="G651">
        <f>COUNTIF(deals_closed!D:D,Calculations!A651)</f>
        <v>14</v>
      </c>
      <c r="H651" s="2">
        <f>SUMIF(deals_closed!D:D,Calculations!A651,deals_closed!C:C)</f>
        <v>445836</v>
      </c>
      <c r="I651" s="2">
        <f>VLOOKUP(E651,'2018_commission_structure'!$A$11:$I$14,9,FALSE)</f>
        <v>500000</v>
      </c>
      <c r="J651" s="2">
        <f t="shared" si="90"/>
        <v>625000</v>
      </c>
      <c r="K651" s="2">
        <f t="shared" si="91"/>
        <v>750000</v>
      </c>
      <c r="L651" s="2">
        <f t="shared" si="92"/>
        <v>1000000</v>
      </c>
      <c r="M651" s="6">
        <f t="shared" si="93"/>
        <v>0.89167200000000002</v>
      </c>
      <c r="N651" t="str">
        <f t="shared" si="94"/>
        <v>0-100%</v>
      </c>
      <c r="O651" s="7">
        <f>MIN(I651,H651)*INDEX('2018_commission_structure'!$A$11:$I$14,MATCH(Calculations!$E651,'2018_commission_structure'!$A$11:$A$14,0),MATCH(Calculations!O$1,'2018_commission_structure'!$A$11:$I$11,0))</f>
        <v>44583.600000000006</v>
      </c>
      <c r="P651" s="7">
        <f>IF($H651&gt;I651,MIN($H651-I651,J651-I651)*INDEX('2018_commission_structure'!$A$11:$I$14,MATCH(Calculations!$E651,'2018_commission_structure'!$A$11:$A$14,0), MATCH(Calculations!P$1,'2018_commission_structure'!$A$11:$I$11,0)),0)</f>
        <v>0</v>
      </c>
      <c r="Q651" s="7">
        <f>IF($H651&gt;J651,MIN($H651-J651,K651-J651)*INDEX('2018_commission_structure'!$A$11:$I$14,MATCH(Calculations!$E651,'2018_commission_structure'!$A$11:$A$14,0), MATCH(Calculations!Q$1,'2018_commission_structure'!$A$11:$I$11,0)),0)</f>
        <v>0</v>
      </c>
      <c r="R651" s="7">
        <f>IF($H651&gt;K651,MIN($H651-K651,L651-K651)*INDEX('2018_commission_structure'!$A$11:$I$14,MATCH(Calculations!$E651,'2018_commission_structure'!$A$11:$A$14,0), MATCH(Calculations!R$1,'2018_commission_structure'!$A$11:$I$11,0)),0)</f>
        <v>0</v>
      </c>
      <c r="S651" s="7">
        <f>IF(H651&gt;L651,(H651-L651)*INDEX('2018_commission_structure'!$A$11:$I$14,MATCH(Calculations!$E651,'2018_commission_structure'!$A$11:$A$14,0),MATCH(Calculations!S$1,'2018_commission_structure'!$A$11:$I$11,0)),0)</f>
        <v>0</v>
      </c>
      <c r="T651" s="7">
        <f t="shared" si="95"/>
        <v>44583.600000000006</v>
      </c>
      <c r="U651" s="7">
        <f t="shared" si="96"/>
        <v>91669.6</v>
      </c>
      <c r="V651" s="7">
        <f>MIN(H651,I651)*INDEX('2018_commission_structure'!$A$5:$J$8,MATCH(Calculations!$E651,'2018_commission_structure'!$A$5:$A$8,0),MATCH(Calculations!V$1,'2018_commission_structure'!$A$5:$J$5,0))</f>
        <v>53500.32</v>
      </c>
      <c r="W651" s="2">
        <f>IF($H651&gt;I651,MIN($H651-I651,J651-I651)*INDEX('2018_commission_structure'!$A$5:$J$8,MATCH(Calculations!$E651,'2018_commission_structure'!$A$5:$A$8,0),MATCH(Calculations!W$1,'2018_commission_structure'!$A$5:$J$5,0)),0)</f>
        <v>0</v>
      </c>
      <c r="X651" s="2">
        <f>IF($H651&gt;J651,MIN($H651-J651,K651-J651)*INDEX('2018_commission_structure'!$A$5:$J$8,MATCH(Calculations!$E651,'2018_commission_structure'!$A$5:$A$8,0),MATCH(Calculations!X$1,'2018_commission_structure'!$A$5:$J$5,0)),0)</f>
        <v>0</v>
      </c>
      <c r="Y651" s="2">
        <f>IF($H651&gt;K651,MIN($H651-K651,L651-K651)*INDEX('2018_commission_structure'!$A$5:$J$8,MATCH(Calculations!$E651,'2018_commission_structure'!$A$5:$A$8,0),MATCH(Calculations!Y$1,'2018_commission_structure'!$A$5:$J$5,0)),0)</f>
        <v>0</v>
      </c>
      <c r="Z651" s="2">
        <f xml:space="preserve"> IF(H651&gt;L651,(H651-L651)*INDEX('2018_commission_structure'!$A$11:$I$14,MATCH(Calculations!$E651,'2018_commission_structure'!$A$11:$A$14,0),MATCH(Calculations!Z$1,'2018_commission_structure'!$A$11:$I$11,0)),0)</f>
        <v>0</v>
      </c>
      <c r="AA651" s="7">
        <f t="shared" si="97"/>
        <v>53500.32</v>
      </c>
      <c r="AB651" s="7">
        <f t="shared" si="98"/>
        <v>100586.32</v>
      </c>
    </row>
    <row r="652" spans="1:28" x14ac:dyDescent="0.25">
      <c r="A652">
        <v>3060876401</v>
      </c>
      <c r="B652" t="s">
        <v>1103</v>
      </c>
      <c r="C652" t="s">
        <v>1104</v>
      </c>
      <c r="D652" t="str">
        <f>B652&amp;" "&amp;C652</f>
        <v>Tuckie Mullenger</v>
      </c>
      <c r="E652" t="s">
        <v>7</v>
      </c>
      <c r="F652">
        <v>41863</v>
      </c>
      <c r="G652">
        <f>COUNTIF(deals_closed!D:D,Calculations!A652)</f>
        <v>25</v>
      </c>
      <c r="H652" s="2">
        <f>SUMIF(deals_closed!D:D,Calculations!A652,deals_closed!C:C)</f>
        <v>775801</v>
      </c>
      <c r="I652" s="2">
        <f>VLOOKUP(E652,'2018_commission_structure'!$A$11:$I$14,9,FALSE)</f>
        <v>500000</v>
      </c>
      <c r="J652" s="2">
        <f t="shared" si="90"/>
        <v>625000</v>
      </c>
      <c r="K652" s="2">
        <f t="shared" si="91"/>
        <v>750000</v>
      </c>
      <c r="L652" s="2">
        <f t="shared" si="92"/>
        <v>1000000</v>
      </c>
      <c r="M652" s="6">
        <f t="shared" si="93"/>
        <v>1.5516019999999999</v>
      </c>
      <c r="N652" t="str">
        <f t="shared" si="94"/>
        <v>150-200%</v>
      </c>
      <c r="O652" s="7">
        <f>MIN(I652,H652)*INDEX('2018_commission_structure'!$A$11:$I$14,MATCH(Calculations!$E652,'2018_commission_structure'!$A$11:$A$14,0),MATCH(Calculations!O$1,'2018_commission_structure'!$A$11:$I$11,0))</f>
        <v>50000</v>
      </c>
      <c r="P652" s="7">
        <f>IF($H652&gt;I652,MIN($H652-I652,J652-I652)*INDEX('2018_commission_structure'!$A$11:$I$14,MATCH(Calculations!$E652,'2018_commission_structure'!$A$11:$A$14,0), MATCH(Calculations!P$1,'2018_commission_structure'!$A$11:$I$11,0)),0)</f>
        <v>18750</v>
      </c>
      <c r="Q652" s="7">
        <f>IF($H652&gt;J652,MIN($H652-J652,K652-J652)*INDEX('2018_commission_structure'!$A$11:$I$14,MATCH(Calculations!$E652,'2018_commission_structure'!$A$11:$A$14,0), MATCH(Calculations!Q$1,'2018_commission_structure'!$A$11:$I$11,0)),0)</f>
        <v>22500</v>
      </c>
      <c r="R652" s="7">
        <f>IF($H652&gt;K652,MIN($H652-K652,L652-K652)*INDEX('2018_commission_structure'!$A$11:$I$14,MATCH(Calculations!$E652,'2018_commission_structure'!$A$11:$A$14,0), MATCH(Calculations!R$1,'2018_commission_structure'!$A$11:$I$11,0)),0)</f>
        <v>5676.22</v>
      </c>
      <c r="S652" s="7">
        <f>IF(H652&gt;L652,(H652-L652)*INDEX('2018_commission_structure'!$A$11:$I$14,MATCH(Calculations!$E652,'2018_commission_structure'!$A$11:$A$14,0),MATCH(Calculations!S$1,'2018_commission_structure'!$A$11:$I$11,0)),0)</f>
        <v>0</v>
      </c>
      <c r="T652" s="7">
        <f t="shared" si="95"/>
        <v>96926.22</v>
      </c>
      <c r="U652" s="7">
        <f t="shared" si="96"/>
        <v>138789.22</v>
      </c>
      <c r="V652" s="7">
        <f>MIN(H652,I652)*INDEX('2018_commission_structure'!$A$5:$J$8,MATCH(Calculations!$E652,'2018_commission_structure'!$A$5:$A$8,0),MATCH(Calculations!V$1,'2018_commission_structure'!$A$5:$J$5,0))</f>
        <v>60000</v>
      </c>
      <c r="W652" s="2">
        <f>IF($H652&gt;I652,MIN($H652-I652,J652-I652)*INDEX('2018_commission_structure'!$A$5:$J$8,MATCH(Calculations!$E652,'2018_commission_structure'!$A$5:$A$8,0),MATCH(Calculations!W$1,'2018_commission_structure'!$A$5:$J$5,0)),0)</f>
        <v>21250</v>
      </c>
      <c r="X652" s="2">
        <f>IF($H652&gt;J652,MIN($H652-J652,K652-J652)*INDEX('2018_commission_structure'!$A$5:$J$8,MATCH(Calculations!$E652,'2018_commission_structure'!$A$5:$A$8,0),MATCH(Calculations!X$1,'2018_commission_structure'!$A$5:$J$5,0)),0)</f>
        <v>25000</v>
      </c>
      <c r="Y652" s="2">
        <f>IF($H652&gt;K652,MIN($H652-K652,L652-K652)*INDEX('2018_commission_structure'!$A$5:$J$8,MATCH(Calculations!$E652,'2018_commission_structure'!$A$5:$A$8,0),MATCH(Calculations!Y$1,'2018_commission_structure'!$A$5:$J$5,0)),0)</f>
        <v>5676.22</v>
      </c>
      <c r="Z652" s="2">
        <f xml:space="preserve"> IF(H652&gt;L652,(H652-L652)*INDEX('2018_commission_structure'!$A$11:$I$14,MATCH(Calculations!$E652,'2018_commission_structure'!$A$11:$A$14,0),MATCH(Calculations!Z$1,'2018_commission_structure'!$A$11:$I$11,0)),0)</f>
        <v>0</v>
      </c>
      <c r="AA652" s="7">
        <f t="shared" si="97"/>
        <v>111926.22</v>
      </c>
      <c r="AB652" s="7">
        <f t="shared" si="98"/>
        <v>153789.22</v>
      </c>
    </row>
    <row r="653" spans="1:28" x14ac:dyDescent="0.25">
      <c r="A653">
        <v>8617243198</v>
      </c>
      <c r="B653" t="s">
        <v>335</v>
      </c>
      <c r="C653" t="s">
        <v>336</v>
      </c>
      <c r="D653" t="str">
        <f>B653&amp;" "&amp;C653</f>
        <v>Hobie Munnis</v>
      </c>
      <c r="E653" t="s">
        <v>10</v>
      </c>
      <c r="F653">
        <v>75707</v>
      </c>
      <c r="G653">
        <f>COUNTIF(deals_closed!D:D,Calculations!A653)</f>
        <v>21</v>
      </c>
      <c r="H653" s="2">
        <f>SUMIF(deals_closed!D:D,Calculations!A653,deals_closed!C:C)</f>
        <v>781397</v>
      </c>
      <c r="I653" s="2">
        <f>VLOOKUP(E653,'2018_commission_structure'!$A$11:$I$14,9,FALSE)</f>
        <v>750000</v>
      </c>
      <c r="J653" s="2">
        <f t="shared" si="90"/>
        <v>937500</v>
      </c>
      <c r="K653" s="2">
        <f t="shared" si="91"/>
        <v>1125000</v>
      </c>
      <c r="L653" s="2">
        <f t="shared" si="92"/>
        <v>1500000</v>
      </c>
      <c r="M653" s="6">
        <f t="shared" si="93"/>
        <v>1.0418626666666666</v>
      </c>
      <c r="N653" t="str">
        <f t="shared" si="94"/>
        <v>100-125%</v>
      </c>
      <c r="O653" s="7">
        <f>MIN(I653,H653)*INDEX('2018_commission_structure'!$A$11:$I$14,MATCH(Calculations!$E653,'2018_commission_structure'!$A$11:$A$14,0),MATCH(Calculations!O$1,'2018_commission_structure'!$A$11:$I$11,0))</f>
        <v>112500</v>
      </c>
      <c r="P653" s="7">
        <f>IF($H653&gt;I653,MIN($H653-I653,J653-I653)*INDEX('2018_commission_structure'!$A$11:$I$14,MATCH(Calculations!$E653,'2018_commission_structure'!$A$11:$A$14,0), MATCH(Calculations!P$1,'2018_commission_structure'!$A$11:$I$11,0)),0)</f>
        <v>5965.43</v>
      </c>
      <c r="Q653" s="7">
        <f>IF($H653&gt;J653,MIN($H653-J653,K653-J653)*INDEX('2018_commission_structure'!$A$11:$I$14,MATCH(Calculations!$E653,'2018_commission_structure'!$A$11:$A$14,0), MATCH(Calculations!Q$1,'2018_commission_structure'!$A$11:$I$11,0)),0)</f>
        <v>0</v>
      </c>
      <c r="R653" s="7">
        <f>IF($H653&gt;K653,MIN($H653-K653,L653-K653)*INDEX('2018_commission_structure'!$A$11:$I$14,MATCH(Calculations!$E653,'2018_commission_structure'!$A$11:$A$14,0), MATCH(Calculations!R$1,'2018_commission_structure'!$A$11:$I$11,0)),0)</f>
        <v>0</v>
      </c>
      <c r="S653" s="7">
        <f>IF(H653&gt;L653,(H653-L653)*INDEX('2018_commission_structure'!$A$11:$I$14,MATCH(Calculations!$E653,'2018_commission_structure'!$A$11:$A$14,0),MATCH(Calculations!S$1,'2018_commission_structure'!$A$11:$I$11,0)),0)</f>
        <v>0</v>
      </c>
      <c r="T653" s="7">
        <f t="shared" si="95"/>
        <v>118465.43</v>
      </c>
      <c r="U653" s="7">
        <f t="shared" si="96"/>
        <v>194172.43</v>
      </c>
      <c r="V653" s="7">
        <f>MIN(H653,I653)*INDEX('2018_commission_structure'!$A$5:$J$8,MATCH(Calculations!$E653,'2018_commission_structure'!$A$5:$A$8,0),MATCH(Calculations!V$1,'2018_commission_structure'!$A$5:$J$5,0))</f>
        <v>112500</v>
      </c>
      <c r="W653" s="2">
        <f>IF($H653&gt;I653,MIN($H653-I653,J653-I653)*INDEX('2018_commission_structure'!$A$5:$J$8,MATCH(Calculations!$E653,'2018_commission_structure'!$A$5:$A$8,0),MATCH(Calculations!W$1,'2018_commission_structure'!$A$5:$J$5,0)),0)</f>
        <v>6907.34</v>
      </c>
      <c r="X653" s="2">
        <f>IF($H653&gt;J653,MIN($H653-J653,K653-J653)*INDEX('2018_commission_structure'!$A$5:$J$8,MATCH(Calculations!$E653,'2018_commission_structure'!$A$5:$A$8,0),MATCH(Calculations!X$1,'2018_commission_structure'!$A$5:$J$5,0)),0)</f>
        <v>0</v>
      </c>
      <c r="Y653" s="2">
        <f>IF($H653&gt;K653,MIN($H653-K653,L653-K653)*INDEX('2018_commission_structure'!$A$5:$J$8,MATCH(Calculations!$E653,'2018_commission_structure'!$A$5:$A$8,0),MATCH(Calculations!Y$1,'2018_commission_structure'!$A$5:$J$5,0)),0)</f>
        <v>0</v>
      </c>
      <c r="Z653" s="2">
        <f xml:space="preserve"> IF(H653&gt;L653,(H653-L653)*INDEX('2018_commission_structure'!$A$11:$I$14,MATCH(Calculations!$E653,'2018_commission_structure'!$A$11:$A$14,0),MATCH(Calculations!Z$1,'2018_commission_structure'!$A$11:$I$11,0)),0)</f>
        <v>0</v>
      </c>
      <c r="AA653" s="7">
        <f t="shared" si="97"/>
        <v>119407.34</v>
      </c>
      <c r="AB653" s="7">
        <f t="shared" si="98"/>
        <v>195114.34</v>
      </c>
    </row>
    <row r="654" spans="1:28" x14ac:dyDescent="0.25">
      <c r="A654">
        <v>3513651333</v>
      </c>
      <c r="B654" t="s">
        <v>341</v>
      </c>
      <c r="C654" t="s">
        <v>342</v>
      </c>
      <c r="D654" t="str">
        <f>B654&amp;" "&amp;C654</f>
        <v>Estele Murcott</v>
      </c>
      <c r="E654" t="s">
        <v>29</v>
      </c>
      <c r="F654">
        <v>61705</v>
      </c>
      <c r="G654">
        <f>COUNTIF(deals_closed!D:D,Calculations!A654)</f>
        <v>13</v>
      </c>
      <c r="H654" s="2">
        <f>SUMIF(deals_closed!D:D,Calculations!A654,deals_closed!C:C)</f>
        <v>397375</v>
      </c>
      <c r="I654" s="2">
        <f>VLOOKUP(E654,'2018_commission_structure'!$A$11:$I$14,9,FALSE)</f>
        <v>600000</v>
      </c>
      <c r="J654" s="2">
        <f t="shared" si="90"/>
        <v>750000</v>
      </c>
      <c r="K654" s="2">
        <f t="shared" si="91"/>
        <v>900000</v>
      </c>
      <c r="L654" s="2">
        <f t="shared" si="92"/>
        <v>1200000</v>
      </c>
      <c r="M654" s="6">
        <f t="shared" si="93"/>
        <v>0.66229166666666661</v>
      </c>
      <c r="N654" t="str">
        <f t="shared" si="94"/>
        <v>0-100%</v>
      </c>
      <c r="O654" s="7">
        <f>MIN(I654,H654)*INDEX('2018_commission_structure'!$A$11:$I$14,MATCH(Calculations!$E654,'2018_commission_structure'!$A$11:$A$14,0),MATCH(Calculations!O$1,'2018_commission_structure'!$A$11:$I$11,0))</f>
        <v>51658.75</v>
      </c>
      <c r="P654" s="7">
        <f>IF($H654&gt;I654,MIN($H654-I654,J654-I654)*INDEX('2018_commission_structure'!$A$11:$I$14,MATCH(Calculations!$E654,'2018_commission_structure'!$A$11:$A$14,0), MATCH(Calculations!P$1,'2018_commission_structure'!$A$11:$I$11,0)),0)</f>
        <v>0</v>
      </c>
      <c r="Q654" s="7">
        <f>IF($H654&gt;J654,MIN($H654-J654,K654-J654)*INDEX('2018_commission_structure'!$A$11:$I$14,MATCH(Calculations!$E654,'2018_commission_structure'!$A$11:$A$14,0), MATCH(Calculations!Q$1,'2018_commission_structure'!$A$11:$I$11,0)),0)</f>
        <v>0</v>
      </c>
      <c r="R654" s="7">
        <f>IF($H654&gt;K654,MIN($H654-K654,L654-K654)*INDEX('2018_commission_structure'!$A$11:$I$14,MATCH(Calculations!$E654,'2018_commission_structure'!$A$11:$A$14,0), MATCH(Calculations!R$1,'2018_commission_structure'!$A$11:$I$11,0)),0)</f>
        <v>0</v>
      </c>
      <c r="S654" s="7">
        <f>IF(H654&gt;L654,(H654-L654)*INDEX('2018_commission_structure'!$A$11:$I$14,MATCH(Calculations!$E654,'2018_commission_structure'!$A$11:$A$14,0),MATCH(Calculations!S$1,'2018_commission_structure'!$A$11:$I$11,0)),0)</f>
        <v>0</v>
      </c>
      <c r="T654" s="7">
        <f t="shared" si="95"/>
        <v>51658.75</v>
      </c>
      <c r="U654" s="7">
        <f t="shared" si="96"/>
        <v>113363.75</v>
      </c>
      <c r="V654" s="7">
        <f>MIN(H654,I654)*INDEX('2018_commission_structure'!$A$5:$J$8,MATCH(Calculations!$E654,'2018_commission_structure'!$A$5:$A$8,0),MATCH(Calculations!V$1,'2018_commission_structure'!$A$5:$J$5,0))</f>
        <v>59606.25</v>
      </c>
      <c r="W654" s="2">
        <f>IF($H654&gt;I654,MIN($H654-I654,J654-I654)*INDEX('2018_commission_structure'!$A$5:$J$8,MATCH(Calculations!$E654,'2018_commission_structure'!$A$5:$A$8,0),MATCH(Calculations!W$1,'2018_commission_structure'!$A$5:$J$5,0)),0)</f>
        <v>0</v>
      </c>
      <c r="X654" s="2">
        <f>IF($H654&gt;J654,MIN($H654-J654,K654-J654)*INDEX('2018_commission_structure'!$A$5:$J$8,MATCH(Calculations!$E654,'2018_commission_structure'!$A$5:$A$8,0),MATCH(Calculations!X$1,'2018_commission_structure'!$A$5:$J$5,0)),0)</f>
        <v>0</v>
      </c>
      <c r="Y654" s="2">
        <f>IF($H654&gt;K654,MIN($H654-K654,L654-K654)*INDEX('2018_commission_structure'!$A$5:$J$8,MATCH(Calculations!$E654,'2018_commission_structure'!$A$5:$A$8,0),MATCH(Calculations!Y$1,'2018_commission_structure'!$A$5:$J$5,0)),0)</f>
        <v>0</v>
      </c>
      <c r="Z654" s="2">
        <f xml:space="preserve"> IF(H654&gt;L654,(H654-L654)*INDEX('2018_commission_structure'!$A$11:$I$14,MATCH(Calculations!$E654,'2018_commission_structure'!$A$11:$A$14,0),MATCH(Calculations!Z$1,'2018_commission_structure'!$A$11:$I$11,0)),0)</f>
        <v>0</v>
      </c>
      <c r="AA654" s="7">
        <f t="shared" si="97"/>
        <v>59606.25</v>
      </c>
      <c r="AB654" s="7">
        <f t="shared" si="98"/>
        <v>121311.25</v>
      </c>
    </row>
    <row r="655" spans="1:28" x14ac:dyDescent="0.25">
      <c r="A655">
        <v>7160109333</v>
      </c>
      <c r="B655" t="s">
        <v>139</v>
      </c>
      <c r="C655" t="s">
        <v>140</v>
      </c>
      <c r="D655" t="str">
        <f>B655&amp;" "&amp;C655</f>
        <v>Titus Murray</v>
      </c>
      <c r="E655" t="s">
        <v>10</v>
      </c>
      <c r="F655">
        <v>116881</v>
      </c>
      <c r="G655">
        <f>COUNTIF(deals_closed!D:D,Calculations!A655)</f>
        <v>25</v>
      </c>
      <c r="H655" s="2">
        <f>SUMIF(deals_closed!D:D,Calculations!A655,deals_closed!C:C)</f>
        <v>825812</v>
      </c>
      <c r="I655" s="2">
        <f>VLOOKUP(E655,'2018_commission_structure'!$A$11:$I$14,9,FALSE)</f>
        <v>750000</v>
      </c>
      <c r="J655" s="2">
        <f t="shared" si="90"/>
        <v>937500</v>
      </c>
      <c r="K655" s="2">
        <f t="shared" si="91"/>
        <v>1125000</v>
      </c>
      <c r="L655" s="2">
        <f t="shared" si="92"/>
        <v>1500000</v>
      </c>
      <c r="M655" s="6">
        <f t="shared" si="93"/>
        <v>1.1010826666666667</v>
      </c>
      <c r="N655" t="str">
        <f t="shared" si="94"/>
        <v>100-125%</v>
      </c>
      <c r="O655" s="7">
        <f>MIN(I655,H655)*INDEX('2018_commission_structure'!$A$11:$I$14,MATCH(Calculations!$E655,'2018_commission_structure'!$A$11:$A$14,0),MATCH(Calculations!O$1,'2018_commission_structure'!$A$11:$I$11,0))</f>
        <v>112500</v>
      </c>
      <c r="P655" s="7">
        <f>IF($H655&gt;I655,MIN($H655-I655,J655-I655)*INDEX('2018_commission_structure'!$A$11:$I$14,MATCH(Calculations!$E655,'2018_commission_structure'!$A$11:$A$14,0), MATCH(Calculations!P$1,'2018_commission_structure'!$A$11:$I$11,0)),0)</f>
        <v>14404.28</v>
      </c>
      <c r="Q655" s="7">
        <f>IF($H655&gt;J655,MIN($H655-J655,K655-J655)*INDEX('2018_commission_structure'!$A$11:$I$14,MATCH(Calculations!$E655,'2018_commission_structure'!$A$11:$A$14,0), MATCH(Calculations!Q$1,'2018_commission_structure'!$A$11:$I$11,0)),0)</f>
        <v>0</v>
      </c>
      <c r="R655" s="7">
        <f>IF($H655&gt;K655,MIN($H655-K655,L655-K655)*INDEX('2018_commission_structure'!$A$11:$I$14,MATCH(Calculations!$E655,'2018_commission_structure'!$A$11:$A$14,0), MATCH(Calculations!R$1,'2018_commission_structure'!$A$11:$I$11,0)),0)</f>
        <v>0</v>
      </c>
      <c r="S655" s="7">
        <f>IF(H655&gt;L655,(H655-L655)*INDEX('2018_commission_structure'!$A$11:$I$14,MATCH(Calculations!$E655,'2018_commission_structure'!$A$11:$A$14,0),MATCH(Calculations!S$1,'2018_commission_structure'!$A$11:$I$11,0)),0)</f>
        <v>0</v>
      </c>
      <c r="T655" s="7">
        <f t="shared" si="95"/>
        <v>126904.28</v>
      </c>
      <c r="U655" s="7">
        <f t="shared" si="96"/>
        <v>243785.28</v>
      </c>
      <c r="V655" s="7">
        <f>MIN(H655,I655)*INDEX('2018_commission_structure'!$A$5:$J$8,MATCH(Calculations!$E655,'2018_commission_structure'!$A$5:$A$8,0),MATCH(Calculations!V$1,'2018_commission_structure'!$A$5:$J$5,0))</f>
        <v>112500</v>
      </c>
      <c r="W655" s="2">
        <f>IF($H655&gt;I655,MIN($H655-I655,J655-I655)*INDEX('2018_commission_structure'!$A$5:$J$8,MATCH(Calculations!$E655,'2018_commission_structure'!$A$5:$A$8,0),MATCH(Calculations!W$1,'2018_commission_structure'!$A$5:$J$5,0)),0)</f>
        <v>16678.64</v>
      </c>
      <c r="X655" s="2">
        <f>IF($H655&gt;J655,MIN($H655-J655,K655-J655)*INDEX('2018_commission_structure'!$A$5:$J$8,MATCH(Calculations!$E655,'2018_commission_structure'!$A$5:$A$8,0),MATCH(Calculations!X$1,'2018_commission_structure'!$A$5:$J$5,0)),0)</f>
        <v>0</v>
      </c>
      <c r="Y655" s="2">
        <f>IF($H655&gt;K655,MIN($H655-K655,L655-K655)*INDEX('2018_commission_structure'!$A$5:$J$8,MATCH(Calculations!$E655,'2018_commission_structure'!$A$5:$A$8,0),MATCH(Calculations!Y$1,'2018_commission_structure'!$A$5:$J$5,0)),0)</f>
        <v>0</v>
      </c>
      <c r="Z655" s="2">
        <f xml:space="preserve"> IF(H655&gt;L655,(H655-L655)*INDEX('2018_commission_structure'!$A$11:$I$14,MATCH(Calculations!$E655,'2018_commission_structure'!$A$11:$A$14,0),MATCH(Calculations!Z$1,'2018_commission_structure'!$A$11:$I$11,0)),0)</f>
        <v>0</v>
      </c>
      <c r="AA655" s="7">
        <f t="shared" si="97"/>
        <v>129178.64</v>
      </c>
      <c r="AB655" s="7">
        <f t="shared" si="98"/>
        <v>246059.64</v>
      </c>
    </row>
    <row r="656" spans="1:28" x14ac:dyDescent="0.25">
      <c r="A656">
        <v>5998486889</v>
      </c>
      <c r="B656" t="s">
        <v>1112</v>
      </c>
      <c r="C656" t="s">
        <v>1113</v>
      </c>
      <c r="D656" t="str">
        <f>B656&amp;" "&amp;C656</f>
        <v>Amalea Murty</v>
      </c>
      <c r="E656" t="s">
        <v>7</v>
      </c>
      <c r="F656">
        <v>57024</v>
      </c>
      <c r="G656">
        <f>COUNTIF(deals_closed!D:D,Calculations!A656)</f>
        <v>21</v>
      </c>
      <c r="H656" s="2">
        <f>SUMIF(deals_closed!D:D,Calculations!A656,deals_closed!C:C)</f>
        <v>654637</v>
      </c>
      <c r="I656" s="2">
        <f>VLOOKUP(E656,'2018_commission_structure'!$A$11:$I$14,9,FALSE)</f>
        <v>500000</v>
      </c>
      <c r="J656" s="2">
        <f t="shared" si="90"/>
        <v>625000</v>
      </c>
      <c r="K656" s="2">
        <f t="shared" si="91"/>
        <v>750000</v>
      </c>
      <c r="L656" s="2">
        <f t="shared" si="92"/>
        <v>1000000</v>
      </c>
      <c r="M656" s="6">
        <f t="shared" si="93"/>
        <v>1.309274</v>
      </c>
      <c r="N656" t="str">
        <f t="shared" si="94"/>
        <v>125-150%</v>
      </c>
      <c r="O656" s="7">
        <f>MIN(I656,H656)*INDEX('2018_commission_structure'!$A$11:$I$14,MATCH(Calculations!$E656,'2018_commission_structure'!$A$11:$A$14,0),MATCH(Calculations!O$1,'2018_commission_structure'!$A$11:$I$11,0))</f>
        <v>50000</v>
      </c>
      <c r="P656" s="7">
        <f>IF($H656&gt;I656,MIN($H656-I656,J656-I656)*INDEX('2018_commission_structure'!$A$11:$I$14,MATCH(Calculations!$E656,'2018_commission_structure'!$A$11:$A$14,0), MATCH(Calculations!P$1,'2018_commission_structure'!$A$11:$I$11,0)),0)</f>
        <v>18750</v>
      </c>
      <c r="Q656" s="7">
        <f>IF($H656&gt;J656,MIN($H656-J656,K656-J656)*INDEX('2018_commission_structure'!$A$11:$I$14,MATCH(Calculations!$E656,'2018_commission_structure'!$A$11:$A$14,0), MATCH(Calculations!Q$1,'2018_commission_structure'!$A$11:$I$11,0)),0)</f>
        <v>5334.66</v>
      </c>
      <c r="R656" s="7">
        <f>IF($H656&gt;K656,MIN($H656-K656,L656-K656)*INDEX('2018_commission_structure'!$A$11:$I$14,MATCH(Calculations!$E656,'2018_commission_structure'!$A$11:$A$14,0), MATCH(Calculations!R$1,'2018_commission_structure'!$A$11:$I$11,0)),0)</f>
        <v>0</v>
      </c>
      <c r="S656" s="7">
        <f>IF(H656&gt;L656,(H656-L656)*INDEX('2018_commission_structure'!$A$11:$I$14,MATCH(Calculations!$E656,'2018_commission_structure'!$A$11:$A$14,0),MATCH(Calculations!S$1,'2018_commission_structure'!$A$11:$I$11,0)),0)</f>
        <v>0</v>
      </c>
      <c r="T656" s="7">
        <f t="shared" si="95"/>
        <v>74084.66</v>
      </c>
      <c r="U656" s="7">
        <f t="shared" si="96"/>
        <v>131108.66</v>
      </c>
      <c r="V656" s="7">
        <f>MIN(H656,I656)*INDEX('2018_commission_structure'!$A$5:$J$8,MATCH(Calculations!$E656,'2018_commission_structure'!$A$5:$A$8,0),MATCH(Calculations!V$1,'2018_commission_structure'!$A$5:$J$5,0))</f>
        <v>60000</v>
      </c>
      <c r="W656" s="2">
        <f>IF($H656&gt;I656,MIN($H656-I656,J656-I656)*INDEX('2018_commission_structure'!$A$5:$J$8,MATCH(Calculations!$E656,'2018_commission_structure'!$A$5:$A$8,0),MATCH(Calculations!W$1,'2018_commission_structure'!$A$5:$J$5,0)),0)</f>
        <v>21250</v>
      </c>
      <c r="X656" s="2">
        <f>IF($H656&gt;J656,MIN($H656-J656,K656-J656)*INDEX('2018_commission_structure'!$A$5:$J$8,MATCH(Calculations!$E656,'2018_commission_structure'!$A$5:$A$8,0),MATCH(Calculations!X$1,'2018_commission_structure'!$A$5:$J$5,0)),0)</f>
        <v>5927.4000000000005</v>
      </c>
      <c r="Y656" s="2">
        <f>IF($H656&gt;K656,MIN($H656-K656,L656-K656)*INDEX('2018_commission_structure'!$A$5:$J$8,MATCH(Calculations!$E656,'2018_commission_structure'!$A$5:$A$8,0),MATCH(Calculations!Y$1,'2018_commission_structure'!$A$5:$J$5,0)),0)</f>
        <v>0</v>
      </c>
      <c r="Z656" s="2">
        <f xml:space="preserve"> IF(H656&gt;L656,(H656-L656)*INDEX('2018_commission_structure'!$A$11:$I$14,MATCH(Calculations!$E656,'2018_commission_structure'!$A$11:$A$14,0),MATCH(Calculations!Z$1,'2018_commission_structure'!$A$11:$I$11,0)),0)</f>
        <v>0</v>
      </c>
      <c r="AA656" s="7">
        <f t="shared" si="97"/>
        <v>87177.4</v>
      </c>
      <c r="AB656" s="7">
        <f t="shared" si="98"/>
        <v>144201.4</v>
      </c>
    </row>
    <row r="657" spans="1:28" x14ac:dyDescent="0.25">
      <c r="A657">
        <v>5149710571</v>
      </c>
      <c r="B657" t="s">
        <v>40</v>
      </c>
      <c r="C657" t="s">
        <v>41</v>
      </c>
      <c r="D657" t="str">
        <f>B657&amp;" "&amp;C657</f>
        <v>Read Muxworthy</v>
      </c>
      <c r="E657" t="s">
        <v>10</v>
      </c>
      <c r="F657">
        <v>119624</v>
      </c>
      <c r="G657">
        <f>COUNTIF(deals_closed!D:D,Calculations!A657)</f>
        <v>14</v>
      </c>
      <c r="H657" s="2">
        <f>SUMIF(deals_closed!D:D,Calculations!A657,deals_closed!C:C)</f>
        <v>474138</v>
      </c>
      <c r="I657" s="2">
        <f>VLOOKUP(E657,'2018_commission_structure'!$A$11:$I$14,9,FALSE)</f>
        <v>750000</v>
      </c>
      <c r="J657" s="2">
        <f t="shared" si="90"/>
        <v>937500</v>
      </c>
      <c r="K657" s="2">
        <f t="shared" si="91"/>
        <v>1125000</v>
      </c>
      <c r="L657" s="2">
        <f t="shared" si="92"/>
        <v>1500000</v>
      </c>
      <c r="M657" s="6">
        <f t="shared" si="93"/>
        <v>0.63218399999999997</v>
      </c>
      <c r="N657" t="str">
        <f t="shared" si="94"/>
        <v>0-100%</v>
      </c>
      <c r="O657" s="7">
        <f>MIN(I657,H657)*INDEX('2018_commission_structure'!$A$11:$I$14,MATCH(Calculations!$E657,'2018_commission_structure'!$A$11:$A$14,0),MATCH(Calculations!O$1,'2018_commission_structure'!$A$11:$I$11,0))</f>
        <v>71120.7</v>
      </c>
      <c r="P657" s="7">
        <f>IF($H657&gt;I657,MIN($H657-I657,J657-I657)*INDEX('2018_commission_structure'!$A$11:$I$14,MATCH(Calculations!$E657,'2018_commission_structure'!$A$11:$A$14,0), MATCH(Calculations!P$1,'2018_commission_structure'!$A$11:$I$11,0)),0)</f>
        <v>0</v>
      </c>
      <c r="Q657" s="7">
        <f>IF($H657&gt;J657,MIN($H657-J657,K657-J657)*INDEX('2018_commission_structure'!$A$11:$I$14,MATCH(Calculations!$E657,'2018_commission_structure'!$A$11:$A$14,0), MATCH(Calculations!Q$1,'2018_commission_structure'!$A$11:$I$11,0)),0)</f>
        <v>0</v>
      </c>
      <c r="R657" s="7">
        <f>IF($H657&gt;K657,MIN($H657-K657,L657-K657)*INDEX('2018_commission_structure'!$A$11:$I$14,MATCH(Calculations!$E657,'2018_commission_structure'!$A$11:$A$14,0), MATCH(Calculations!R$1,'2018_commission_structure'!$A$11:$I$11,0)),0)</f>
        <v>0</v>
      </c>
      <c r="S657" s="7">
        <f>IF(H657&gt;L657,(H657-L657)*INDEX('2018_commission_structure'!$A$11:$I$14,MATCH(Calculations!$E657,'2018_commission_structure'!$A$11:$A$14,0),MATCH(Calculations!S$1,'2018_commission_structure'!$A$11:$I$11,0)),0)</f>
        <v>0</v>
      </c>
      <c r="T657" s="7">
        <f t="shared" si="95"/>
        <v>71120.7</v>
      </c>
      <c r="U657" s="7">
        <f t="shared" si="96"/>
        <v>190744.7</v>
      </c>
      <c r="V657" s="7">
        <f>MIN(H657,I657)*INDEX('2018_commission_structure'!$A$5:$J$8,MATCH(Calculations!$E657,'2018_commission_structure'!$A$5:$A$8,0),MATCH(Calculations!V$1,'2018_commission_structure'!$A$5:$J$5,0))</f>
        <v>71120.7</v>
      </c>
      <c r="W657" s="2">
        <f>IF($H657&gt;I657,MIN($H657-I657,J657-I657)*INDEX('2018_commission_structure'!$A$5:$J$8,MATCH(Calculations!$E657,'2018_commission_structure'!$A$5:$A$8,0),MATCH(Calculations!W$1,'2018_commission_structure'!$A$5:$J$5,0)),0)</f>
        <v>0</v>
      </c>
      <c r="X657" s="2">
        <f>IF($H657&gt;J657,MIN($H657-J657,K657-J657)*INDEX('2018_commission_structure'!$A$5:$J$8,MATCH(Calculations!$E657,'2018_commission_structure'!$A$5:$A$8,0),MATCH(Calculations!X$1,'2018_commission_structure'!$A$5:$J$5,0)),0)</f>
        <v>0</v>
      </c>
      <c r="Y657" s="2">
        <f>IF($H657&gt;K657,MIN($H657-K657,L657-K657)*INDEX('2018_commission_structure'!$A$5:$J$8,MATCH(Calculations!$E657,'2018_commission_structure'!$A$5:$A$8,0),MATCH(Calculations!Y$1,'2018_commission_structure'!$A$5:$J$5,0)),0)</f>
        <v>0</v>
      </c>
      <c r="Z657" s="2">
        <f xml:space="preserve"> IF(H657&gt;L657,(H657-L657)*INDEX('2018_commission_structure'!$A$11:$I$14,MATCH(Calculations!$E657,'2018_commission_structure'!$A$11:$A$14,0),MATCH(Calculations!Z$1,'2018_commission_structure'!$A$11:$I$11,0)),0)</f>
        <v>0</v>
      </c>
      <c r="AA657" s="7">
        <f t="shared" si="97"/>
        <v>71120.7</v>
      </c>
      <c r="AB657" s="7">
        <f t="shared" si="98"/>
        <v>190744.7</v>
      </c>
    </row>
    <row r="658" spans="1:28" x14ac:dyDescent="0.25">
      <c r="A658">
        <v>5759255762</v>
      </c>
      <c r="B658" t="s">
        <v>1825</v>
      </c>
      <c r="C658" t="s">
        <v>1826</v>
      </c>
      <c r="D658" t="str">
        <f>B658&amp;" "&amp;C658</f>
        <v>Corrie Naldrett</v>
      </c>
      <c r="E658" t="s">
        <v>29</v>
      </c>
      <c r="F658">
        <v>71656</v>
      </c>
      <c r="G658">
        <f>COUNTIF(deals_closed!D:D,Calculations!A658)</f>
        <v>24</v>
      </c>
      <c r="H658" s="2">
        <f>SUMIF(deals_closed!D:D,Calculations!A658,deals_closed!C:C)</f>
        <v>780877</v>
      </c>
      <c r="I658" s="2">
        <f>VLOOKUP(E658,'2018_commission_structure'!$A$11:$I$14,9,FALSE)</f>
        <v>600000</v>
      </c>
      <c r="J658" s="2">
        <f t="shared" si="90"/>
        <v>750000</v>
      </c>
      <c r="K658" s="2">
        <f t="shared" si="91"/>
        <v>900000</v>
      </c>
      <c r="L658" s="2">
        <f t="shared" si="92"/>
        <v>1200000</v>
      </c>
      <c r="M658" s="6">
        <f t="shared" si="93"/>
        <v>1.3014616666666667</v>
      </c>
      <c r="N658" t="str">
        <f t="shared" si="94"/>
        <v>125-150%</v>
      </c>
      <c r="O658" s="7">
        <f>MIN(I658,H658)*INDEX('2018_commission_structure'!$A$11:$I$14,MATCH(Calculations!$E658,'2018_commission_structure'!$A$11:$A$14,0),MATCH(Calculations!O$1,'2018_commission_structure'!$A$11:$I$11,0))</f>
        <v>78000</v>
      </c>
      <c r="P658" s="7">
        <f>IF($H658&gt;I658,MIN($H658-I658,J658-I658)*INDEX('2018_commission_structure'!$A$11:$I$14,MATCH(Calculations!$E658,'2018_commission_structure'!$A$11:$A$14,0), MATCH(Calculations!P$1,'2018_commission_structure'!$A$11:$I$11,0)),0)</f>
        <v>25500.000000000004</v>
      </c>
      <c r="Q658" s="7">
        <f>IF($H658&gt;J658,MIN($H658-J658,K658-J658)*INDEX('2018_commission_structure'!$A$11:$I$14,MATCH(Calculations!$E658,'2018_commission_structure'!$A$11:$A$14,0), MATCH(Calculations!Q$1,'2018_commission_structure'!$A$11:$I$11,0)),0)</f>
        <v>6484.17</v>
      </c>
      <c r="R658" s="7">
        <f>IF($H658&gt;K658,MIN($H658-K658,L658-K658)*INDEX('2018_commission_structure'!$A$11:$I$14,MATCH(Calculations!$E658,'2018_commission_structure'!$A$11:$A$14,0), MATCH(Calculations!R$1,'2018_commission_structure'!$A$11:$I$11,0)),0)</f>
        <v>0</v>
      </c>
      <c r="S658" s="7">
        <f>IF(H658&gt;L658,(H658-L658)*INDEX('2018_commission_structure'!$A$11:$I$14,MATCH(Calculations!$E658,'2018_commission_structure'!$A$11:$A$14,0),MATCH(Calculations!S$1,'2018_commission_structure'!$A$11:$I$11,0)),0)</f>
        <v>0</v>
      </c>
      <c r="T658" s="7">
        <f t="shared" si="95"/>
        <v>109984.17</v>
      </c>
      <c r="U658" s="7">
        <f t="shared" si="96"/>
        <v>181640.16999999998</v>
      </c>
      <c r="V658" s="7">
        <f>MIN(H658,I658)*INDEX('2018_commission_structure'!$A$5:$J$8,MATCH(Calculations!$E658,'2018_commission_structure'!$A$5:$A$8,0),MATCH(Calculations!V$1,'2018_commission_structure'!$A$5:$J$5,0))</f>
        <v>90000</v>
      </c>
      <c r="W658" s="2">
        <f>IF($H658&gt;I658,MIN($H658-I658,J658-I658)*INDEX('2018_commission_structure'!$A$5:$J$8,MATCH(Calculations!$E658,'2018_commission_structure'!$A$5:$A$8,0),MATCH(Calculations!W$1,'2018_commission_structure'!$A$5:$J$5,0)),0)</f>
        <v>27000</v>
      </c>
      <c r="X658" s="2">
        <f>IF($H658&gt;J658,MIN($H658-J658,K658-J658)*INDEX('2018_commission_structure'!$A$5:$J$8,MATCH(Calculations!$E658,'2018_commission_structure'!$A$5:$A$8,0),MATCH(Calculations!X$1,'2018_commission_structure'!$A$5:$J$5,0)),0)</f>
        <v>7719.25</v>
      </c>
      <c r="Y658" s="2">
        <f>IF($H658&gt;K658,MIN($H658-K658,L658-K658)*INDEX('2018_commission_structure'!$A$5:$J$8,MATCH(Calculations!$E658,'2018_commission_structure'!$A$5:$A$8,0),MATCH(Calculations!Y$1,'2018_commission_structure'!$A$5:$J$5,0)),0)</f>
        <v>0</v>
      </c>
      <c r="Z658" s="2">
        <f xml:space="preserve"> IF(H658&gt;L658,(H658-L658)*INDEX('2018_commission_structure'!$A$11:$I$14,MATCH(Calculations!$E658,'2018_commission_structure'!$A$11:$A$14,0),MATCH(Calculations!Z$1,'2018_commission_structure'!$A$11:$I$11,0)),0)</f>
        <v>0</v>
      </c>
      <c r="AA658" s="7">
        <f t="shared" si="97"/>
        <v>124719.25</v>
      </c>
      <c r="AB658" s="7">
        <f t="shared" si="98"/>
        <v>196375.25</v>
      </c>
    </row>
    <row r="659" spans="1:28" x14ac:dyDescent="0.25">
      <c r="A659">
        <v>3259018638</v>
      </c>
      <c r="B659" t="s">
        <v>1316</v>
      </c>
      <c r="C659" t="s">
        <v>1317</v>
      </c>
      <c r="D659" t="str">
        <f>B659&amp;" "&amp;C659</f>
        <v>Vladimir Nassy</v>
      </c>
      <c r="E659" t="s">
        <v>7</v>
      </c>
      <c r="F659">
        <v>60364</v>
      </c>
      <c r="G659">
        <f>COUNTIF(deals_closed!D:D,Calculations!A659)</f>
        <v>11</v>
      </c>
      <c r="H659" s="2">
        <f>SUMIF(deals_closed!D:D,Calculations!A659,deals_closed!C:C)</f>
        <v>313642</v>
      </c>
      <c r="I659" s="2">
        <f>VLOOKUP(E659,'2018_commission_structure'!$A$11:$I$14,9,FALSE)</f>
        <v>500000</v>
      </c>
      <c r="J659" s="2">
        <f t="shared" si="90"/>
        <v>625000</v>
      </c>
      <c r="K659" s="2">
        <f t="shared" si="91"/>
        <v>750000</v>
      </c>
      <c r="L659" s="2">
        <f t="shared" si="92"/>
        <v>1000000</v>
      </c>
      <c r="M659" s="6">
        <f t="shared" si="93"/>
        <v>0.62728399999999995</v>
      </c>
      <c r="N659" t="str">
        <f t="shared" si="94"/>
        <v>0-100%</v>
      </c>
      <c r="O659" s="7">
        <f>MIN(I659,H659)*INDEX('2018_commission_structure'!$A$11:$I$14,MATCH(Calculations!$E659,'2018_commission_structure'!$A$11:$A$14,0),MATCH(Calculations!O$1,'2018_commission_structure'!$A$11:$I$11,0))</f>
        <v>31364.2</v>
      </c>
      <c r="P659" s="7">
        <f>IF($H659&gt;I659,MIN($H659-I659,J659-I659)*INDEX('2018_commission_structure'!$A$11:$I$14,MATCH(Calculations!$E659,'2018_commission_structure'!$A$11:$A$14,0), MATCH(Calculations!P$1,'2018_commission_structure'!$A$11:$I$11,0)),0)</f>
        <v>0</v>
      </c>
      <c r="Q659" s="7">
        <f>IF($H659&gt;J659,MIN($H659-J659,K659-J659)*INDEX('2018_commission_structure'!$A$11:$I$14,MATCH(Calculations!$E659,'2018_commission_structure'!$A$11:$A$14,0), MATCH(Calculations!Q$1,'2018_commission_structure'!$A$11:$I$11,0)),0)</f>
        <v>0</v>
      </c>
      <c r="R659" s="7">
        <f>IF($H659&gt;K659,MIN($H659-K659,L659-K659)*INDEX('2018_commission_structure'!$A$11:$I$14,MATCH(Calculations!$E659,'2018_commission_structure'!$A$11:$A$14,0), MATCH(Calculations!R$1,'2018_commission_structure'!$A$11:$I$11,0)),0)</f>
        <v>0</v>
      </c>
      <c r="S659" s="7">
        <f>IF(H659&gt;L659,(H659-L659)*INDEX('2018_commission_structure'!$A$11:$I$14,MATCH(Calculations!$E659,'2018_commission_structure'!$A$11:$A$14,0),MATCH(Calculations!S$1,'2018_commission_structure'!$A$11:$I$11,0)),0)</f>
        <v>0</v>
      </c>
      <c r="T659" s="7">
        <f t="shared" si="95"/>
        <v>31364.2</v>
      </c>
      <c r="U659" s="7">
        <f t="shared" si="96"/>
        <v>91728.2</v>
      </c>
      <c r="V659" s="7">
        <f>MIN(H659,I659)*INDEX('2018_commission_structure'!$A$5:$J$8,MATCH(Calculations!$E659,'2018_commission_structure'!$A$5:$A$8,0),MATCH(Calculations!V$1,'2018_commission_structure'!$A$5:$J$5,0))</f>
        <v>37637.040000000001</v>
      </c>
      <c r="W659" s="2">
        <f>IF($H659&gt;I659,MIN($H659-I659,J659-I659)*INDEX('2018_commission_structure'!$A$5:$J$8,MATCH(Calculations!$E659,'2018_commission_structure'!$A$5:$A$8,0),MATCH(Calculations!W$1,'2018_commission_structure'!$A$5:$J$5,0)),0)</f>
        <v>0</v>
      </c>
      <c r="X659" s="2">
        <f>IF($H659&gt;J659,MIN($H659-J659,K659-J659)*INDEX('2018_commission_structure'!$A$5:$J$8,MATCH(Calculations!$E659,'2018_commission_structure'!$A$5:$A$8,0),MATCH(Calculations!X$1,'2018_commission_structure'!$A$5:$J$5,0)),0)</f>
        <v>0</v>
      </c>
      <c r="Y659" s="2">
        <f>IF($H659&gt;K659,MIN($H659-K659,L659-K659)*INDEX('2018_commission_structure'!$A$5:$J$8,MATCH(Calculations!$E659,'2018_commission_structure'!$A$5:$A$8,0),MATCH(Calculations!Y$1,'2018_commission_structure'!$A$5:$J$5,0)),0)</f>
        <v>0</v>
      </c>
      <c r="Z659" s="2">
        <f xml:space="preserve"> IF(H659&gt;L659,(H659-L659)*INDEX('2018_commission_structure'!$A$11:$I$14,MATCH(Calculations!$E659,'2018_commission_structure'!$A$11:$A$14,0),MATCH(Calculations!Z$1,'2018_commission_structure'!$A$11:$I$11,0)),0)</f>
        <v>0</v>
      </c>
      <c r="AA659" s="7">
        <f t="shared" si="97"/>
        <v>37637.040000000001</v>
      </c>
      <c r="AB659" s="7">
        <f t="shared" si="98"/>
        <v>98001.040000000008</v>
      </c>
    </row>
    <row r="660" spans="1:28" x14ac:dyDescent="0.25">
      <c r="A660">
        <v>5687748091</v>
      </c>
      <c r="B660" t="s">
        <v>1476</v>
      </c>
      <c r="C660" t="s">
        <v>1477</v>
      </c>
      <c r="D660" t="str">
        <f>B660&amp;" "&amp;C660</f>
        <v>Beitris Naulty</v>
      </c>
      <c r="E660" t="s">
        <v>29</v>
      </c>
      <c r="F660">
        <v>53594</v>
      </c>
      <c r="G660">
        <f>COUNTIF(deals_closed!D:D,Calculations!A660)</f>
        <v>24</v>
      </c>
      <c r="H660" s="2">
        <f>SUMIF(deals_closed!D:D,Calculations!A660,deals_closed!C:C)</f>
        <v>848914</v>
      </c>
      <c r="I660" s="2">
        <f>VLOOKUP(E660,'2018_commission_structure'!$A$11:$I$14,9,FALSE)</f>
        <v>600000</v>
      </c>
      <c r="J660" s="2">
        <f t="shared" si="90"/>
        <v>750000</v>
      </c>
      <c r="K660" s="2">
        <f t="shared" si="91"/>
        <v>900000</v>
      </c>
      <c r="L660" s="2">
        <f t="shared" si="92"/>
        <v>1200000</v>
      </c>
      <c r="M660" s="6">
        <f t="shared" si="93"/>
        <v>1.4148566666666667</v>
      </c>
      <c r="N660" t="str">
        <f t="shared" si="94"/>
        <v>125-150%</v>
      </c>
      <c r="O660" s="7">
        <f>MIN(I660,H660)*INDEX('2018_commission_structure'!$A$11:$I$14,MATCH(Calculations!$E660,'2018_commission_structure'!$A$11:$A$14,0),MATCH(Calculations!O$1,'2018_commission_structure'!$A$11:$I$11,0))</f>
        <v>78000</v>
      </c>
      <c r="P660" s="7">
        <f>IF($H660&gt;I660,MIN($H660-I660,J660-I660)*INDEX('2018_commission_structure'!$A$11:$I$14,MATCH(Calculations!$E660,'2018_commission_structure'!$A$11:$A$14,0), MATCH(Calculations!P$1,'2018_commission_structure'!$A$11:$I$11,0)),0)</f>
        <v>25500.000000000004</v>
      </c>
      <c r="Q660" s="7">
        <f>IF($H660&gt;J660,MIN($H660-J660,K660-J660)*INDEX('2018_commission_structure'!$A$11:$I$14,MATCH(Calculations!$E660,'2018_commission_structure'!$A$11:$A$14,0), MATCH(Calculations!Q$1,'2018_commission_structure'!$A$11:$I$11,0)),0)</f>
        <v>20771.939999999999</v>
      </c>
      <c r="R660" s="7">
        <f>IF($H660&gt;K660,MIN($H660-K660,L660-K660)*INDEX('2018_commission_structure'!$A$11:$I$14,MATCH(Calculations!$E660,'2018_commission_structure'!$A$11:$A$14,0), MATCH(Calculations!R$1,'2018_commission_structure'!$A$11:$I$11,0)),0)</f>
        <v>0</v>
      </c>
      <c r="S660" s="7">
        <f>IF(H660&gt;L660,(H660-L660)*INDEX('2018_commission_structure'!$A$11:$I$14,MATCH(Calculations!$E660,'2018_commission_structure'!$A$11:$A$14,0),MATCH(Calculations!S$1,'2018_commission_structure'!$A$11:$I$11,0)),0)</f>
        <v>0</v>
      </c>
      <c r="T660" s="7">
        <f t="shared" si="95"/>
        <v>124271.94</v>
      </c>
      <c r="U660" s="7">
        <f t="shared" si="96"/>
        <v>177865.94</v>
      </c>
      <c r="V660" s="7">
        <f>MIN(H660,I660)*INDEX('2018_commission_structure'!$A$5:$J$8,MATCH(Calculations!$E660,'2018_commission_structure'!$A$5:$A$8,0),MATCH(Calculations!V$1,'2018_commission_structure'!$A$5:$J$5,0))</f>
        <v>90000</v>
      </c>
      <c r="W660" s="2">
        <f>IF($H660&gt;I660,MIN($H660-I660,J660-I660)*INDEX('2018_commission_structure'!$A$5:$J$8,MATCH(Calculations!$E660,'2018_commission_structure'!$A$5:$A$8,0),MATCH(Calculations!W$1,'2018_commission_structure'!$A$5:$J$5,0)),0)</f>
        <v>27000</v>
      </c>
      <c r="X660" s="2">
        <f>IF($H660&gt;J660,MIN($H660-J660,K660-J660)*INDEX('2018_commission_structure'!$A$5:$J$8,MATCH(Calculations!$E660,'2018_commission_structure'!$A$5:$A$8,0),MATCH(Calculations!X$1,'2018_commission_structure'!$A$5:$J$5,0)),0)</f>
        <v>24728.5</v>
      </c>
      <c r="Y660" s="2">
        <f>IF($H660&gt;K660,MIN($H660-K660,L660-K660)*INDEX('2018_commission_structure'!$A$5:$J$8,MATCH(Calculations!$E660,'2018_commission_structure'!$A$5:$A$8,0),MATCH(Calculations!Y$1,'2018_commission_structure'!$A$5:$J$5,0)),0)</f>
        <v>0</v>
      </c>
      <c r="Z660" s="2">
        <f xml:space="preserve"> IF(H660&gt;L660,(H660-L660)*INDEX('2018_commission_structure'!$A$11:$I$14,MATCH(Calculations!$E660,'2018_commission_structure'!$A$11:$A$14,0),MATCH(Calculations!Z$1,'2018_commission_structure'!$A$11:$I$11,0)),0)</f>
        <v>0</v>
      </c>
      <c r="AA660" s="7">
        <f t="shared" si="97"/>
        <v>141728.5</v>
      </c>
      <c r="AB660" s="7">
        <f t="shared" si="98"/>
        <v>195322.5</v>
      </c>
    </row>
    <row r="661" spans="1:28" x14ac:dyDescent="0.25">
      <c r="A661">
        <v>6183510505</v>
      </c>
      <c r="B661" t="s">
        <v>404</v>
      </c>
      <c r="C661" t="s">
        <v>405</v>
      </c>
      <c r="D661" t="str">
        <f>B661&amp;" "&amp;C661</f>
        <v>Rafaela Neagle</v>
      </c>
      <c r="E661" t="s">
        <v>10</v>
      </c>
      <c r="F661">
        <v>97468</v>
      </c>
      <c r="G661">
        <f>COUNTIF(deals_closed!D:D,Calculations!A661)</f>
        <v>32</v>
      </c>
      <c r="H661" s="2">
        <f>SUMIF(deals_closed!D:D,Calculations!A661,deals_closed!C:C)</f>
        <v>1116037</v>
      </c>
      <c r="I661" s="2">
        <f>VLOOKUP(E661,'2018_commission_structure'!$A$11:$I$14,9,FALSE)</f>
        <v>750000</v>
      </c>
      <c r="J661" s="2">
        <f t="shared" si="90"/>
        <v>937500</v>
      </c>
      <c r="K661" s="2">
        <f t="shared" si="91"/>
        <v>1125000</v>
      </c>
      <c r="L661" s="2">
        <f t="shared" si="92"/>
        <v>1500000</v>
      </c>
      <c r="M661" s="6">
        <f t="shared" si="93"/>
        <v>1.4880493333333333</v>
      </c>
      <c r="N661" t="str">
        <f t="shared" si="94"/>
        <v>125-150%</v>
      </c>
      <c r="O661" s="7">
        <f>MIN(I661,H661)*INDEX('2018_commission_structure'!$A$11:$I$14,MATCH(Calculations!$E661,'2018_commission_structure'!$A$11:$A$14,0),MATCH(Calculations!O$1,'2018_commission_structure'!$A$11:$I$11,0))</f>
        <v>112500</v>
      </c>
      <c r="P661" s="7">
        <f>IF($H661&gt;I661,MIN($H661-I661,J661-I661)*INDEX('2018_commission_structure'!$A$11:$I$14,MATCH(Calculations!$E661,'2018_commission_structure'!$A$11:$A$14,0), MATCH(Calculations!P$1,'2018_commission_structure'!$A$11:$I$11,0)),0)</f>
        <v>35625</v>
      </c>
      <c r="Q661" s="7">
        <f>IF($H661&gt;J661,MIN($H661-J661,K661-J661)*INDEX('2018_commission_structure'!$A$11:$I$14,MATCH(Calculations!$E661,'2018_commission_structure'!$A$11:$A$14,0), MATCH(Calculations!Q$1,'2018_commission_structure'!$A$11:$I$11,0)),0)</f>
        <v>41063.51</v>
      </c>
      <c r="R661" s="7">
        <f>IF($H661&gt;K661,MIN($H661-K661,L661-K661)*INDEX('2018_commission_structure'!$A$11:$I$14,MATCH(Calculations!$E661,'2018_commission_structure'!$A$11:$A$14,0), MATCH(Calculations!R$1,'2018_commission_structure'!$A$11:$I$11,0)),0)</f>
        <v>0</v>
      </c>
      <c r="S661" s="7">
        <f>IF(H661&gt;L661,(H661-L661)*INDEX('2018_commission_structure'!$A$11:$I$14,MATCH(Calculations!$E661,'2018_commission_structure'!$A$11:$A$14,0),MATCH(Calculations!S$1,'2018_commission_structure'!$A$11:$I$11,0)),0)</f>
        <v>0</v>
      </c>
      <c r="T661" s="7">
        <f t="shared" si="95"/>
        <v>189188.51</v>
      </c>
      <c r="U661" s="7">
        <f t="shared" si="96"/>
        <v>286656.51</v>
      </c>
      <c r="V661" s="7">
        <f>MIN(H661,I661)*INDEX('2018_commission_structure'!$A$5:$J$8,MATCH(Calculations!$E661,'2018_commission_structure'!$A$5:$A$8,0),MATCH(Calculations!V$1,'2018_commission_structure'!$A$5:$J$5,0))</f>
        <v>112500</v>
      </c>
      <c r="W661" s="2">
        <f>IF($H661&gt;I661,MIN($H661-I661,J661-I661)*INDEX('2018_commission_structure'!$A$5:$J$8,MATCH(Calculations!$E661,'2018_commission_structure'!$A$5:$A$8,0),MATCH(Calculations!W$1,'2018_commission_structure'!$A$5:$J$5,0)),0)</f>
        <v>41250</v>
      </c>
      <c r="X661" s="2">
        <f>IF($H661&gt;J661,MIN($H661-J661,K661-J661)*INDEX('2018_commission_structure'!$A$5:$J$8,MATCH(Calculations!$E661,'2018_commission_structure'!$A$5:$A$8,0),MATCH(Calculations!X$1,'2018_commission_structure'!$A$5:$J$5,0)),0)</f>
        <v>44634.25</v>
      </c>
      <c r="Y661" s="2">
        <f>IF($H661&gt;K661,MIN($H661-K661,L661-K661)*INDEX('2018_commission_structure'!$A$5:$J$8,MATCH(Calculations!$E661,'2018_commission_structure'!$A$5:$A$8,0),MATCH(Calculations!Y$1,'2018_commission_structure'!$A$5:$J$5,0)),0)</f>
        <v>0</v>
      </c>
      <c r="Z661" s="2">
        <f xml:space="preserve"> IF(H661&gt;L661,(H661-L661)*INDEX('2018_commission_structure'!$A$11:$I$14,MATCH(Calculations!$E661,'2018_commission_structure'!$A$11:$A$14,0),MATCH(Calculations!Z$1,'2018_commission_structure'!$A$11:$I$11,0)),0)</f>
        <v>0</v>
      </c>
      <c r="AA661" s="7">
        <f t="shared" si="97"/>
        <v>198384.25</v>
      </c>
      <c r="AB661" s="7">
        <f t="shared" si="98"/>
        <v>295852.25</v>
      </c>
    </row>
    <row r="662" spans="1:28" x14ac:dyDescent="0.25">
      <c r="A662">
        <v>2551917727</v>
      </c>
      <c r="B662" t="s">
        <v>1688</v>
      </c>
      <c r="C662" t="s">
        <v>1689</v>
      </c>
      <c r="D662" t="str">
        <f>B662&amp;" "&amp;C662</f>
        <v>Lark Nelmes</v>
      </c>
      <c r="E662" t="s">
        <v>7</v>
      </c>
      <c r="F662">
        <v>56237</v>
      </c>
      <c r="G662">
        <f>COUNTIF(deals_closed!D:D,Calculations!A662)</f>
        <v>25</v>
      </c>
      <c r="H662" s="2">
        <f>SUMIF(deals_closed!D:D,Calculations!A662,deals_closed!C:C)</f>
        <v>762004</v>
      </c>
      <c r="I662" s="2">
        <f>VLOOKUP(E662,'2018_commission_structure'!$A$11:$I$14,9,FALSE)</f>
        <v>500000</v>
      </c>
      <c r="J662" s="2">
        <f t="shared" si="90"/>
        <v>625000</v>
      </c>
      <c r="K662" s="2">
        <f t="shared" si="91"/>
        <v>750000</v>
      </c>
      <c r="L662" s="2">
        <f t="shared" si="92"/>
        <v>1000000</v>
      </c>
      <c r="M662" s="6">
        <f t="shared" si="93"/>
        <v>1.524008</v>
      </c>
      <c r="N662" t="str">
        <f t="shared" si="94"/>
        <v>150-200%</v>
      </c>
      <c r="O662" s="7">
        <f>MIN(I662,H662)*INDEX('2018_commission_structure'!$A$11:$I$14,MATCH(Calculations!$E662,'2018_commission_structure'!$A$11:$A$14,0),MATCH(Calculations!O$1,'2018_commission_structure'!$A$11:$I$11,0))</f>
        <v>50000</v>
      </c>
      <c r="P662" s="7">
        <f>IF($H662&gt;I662,MIN($H662-I662,J662-I662)*INDEX('2018_commission_structure'!$A$11:$I$14,MATCH(Calculations!$E662,'2018_commission_structure'!$A$11:$A$14,0), MATCH(Calculations!P$1,'2018_commission_structure'!$A$11:$I$11,0)),0)</f>
        <v>18750</v>
      </c>
      <c r="Q662" s="7">
        <f>IF($H662&gt;J662,MIN($H662-J662,K662-J662)*INDEX('2018_commission_structure'!$A$11:$I$14,MATCH(Calculations!$E662,'2018_commission_structure'!$A$11:$A$14,0), MATCH(Calculations!Q$1,'2018_commission_structure'!$A$11:$I$11,0)),0)</f>
        <v>22500</v>
      </c>
      <c r="R662" s="7">
        <f>IF($H662&gt;K662,MIN($H662-K662,L662-K662)*INDEX('2018_commission_structure'!$A$11:$I$14,MATCH(Calculations!$E662,'2018_commission_structure'!$A$11:$A$14,0), MATCH(Calculations!R$1,'2018_commission_structure'!$A$11:$I$11,0)),0)</f>
        <v>2640.88</v>
      </c>
      <c r="S662" s="7">
        <f>IF(H662&gt;L662,(H662-L662)*INDEX('2018_commission_structure'!$A$11:$I$14,MATCH(Calculations!$E662,'2018_commission_structure'!$A$11:$A$14,0),MATCH(Calculations!S$1,'2018_commission_structure'!$A$11:$I$11,0)),0)</f>
        <v>0</v>
      </c>
      <c r="T662" s="7">
        <f t="shared" si="95"/>
        <v>93890.880000000005</v>
      </c>
      <c r="U662" s="7">
        <f t="shared" si="96"/>
        <v>150127.88</v>
      </c>
      <c r="V662" s="7">
        <f>MIN(H662,I662)*INDEX('2018_commission_structure'!$A$5:$J$8,MATCH(Calculations!$E662,'2018_commission_structure'!$A$5:$A$8,0),MATCH(Calculations!V$1,'2018_commission_structure'!$A$5:$J$5,0))</f>
        <v>60000</v>
      </c>
      <c r="W662" s="2">
        <f>IF($H662&gt;I662,MIN($H662-I662,J662-I662)*INDEX('2018_commission_structure'!$A$5:$J$8,MATCH(Calculations!$E662,'2018_commission_structure'!$A$5:$A$8,0),MATCH(Calculations!W$1,'2018_commission_structure'!$A$5:$J$5,0)),0)</f>
        <v>21250</v>
      </c>
      <c r="X662" s="2">
        <f>IF($H662&gt;J662,MIN($H662-J662,K662-J662)*INDEX('2018_commission_structure'!$A$5:$J$8,MATCH(Calculations!$E662,'2018_commission_structure'!$A$5:$A$8,0),MATCH(Calculations!X$1,'2018_commission_structure'!$A$5:$J$5,0)),0)</f>
        <v>25000</v>
      </c>
      <c r="Y662" s="2">
        <f>IF($H662&gt;K662,MIN($H662-K662,L662-K662)*INDEX('2018_commission_structure'!$A$5:$J$8,MATCH(Calculations!$E662,'2018_commission_structure'!$A$5:$A$8,0),MATCH(Calculations!Y$1,'2018_commission_structure'!$A$5:$J$5,0)),0)</f>
        <v>2640.88</v>
      </c>
      <c r="Z662" s="2">
        <f xml:space="preserve"> IF(H662&gt;L662,(H662-L662)*INDEX('2018_commission_structure'!$A$11:$I$14,MATCH(Calculations!$E662,'2018_commission_structure'!$A$11:$A$14,0),MATCH(Calculations!Z$1,'2018_commission_structure'!$A$11:$I$11,0)),0)</f>
        <v>0</v>
      </c>
      <c r="AA662" s="7">
        <f t="shared" si="97"/>
        <v>108890.88</v>
      </c>
      <c r="AB662" s="7">
        <f t="shared" si="98"/>
        <v>165127.88</v>
      </c>
    </row>
    <row r="663" spans="1:28" x14ac:dyDescent="0.25">
      <c r="A663">
        <v>1252810490</v>
      </c>
      <c r="B663" t="s">
        <v>1096</v>
      </c>
      <c r="C663" t="s">
        <v>1097</v>
      </c>
      <c r="D663" t="str">
        <f>B663&amp;" "&amp;C663</f>
        <v>Travers Nequest</v>
      </c>
      <c r="E663" t="s">
        <v>10</v>
      </c>
      <c r="F663">
        <v>89013</v>
      </c>
      <c r="G663">
        <f>COUNTIF(deals_closed!D:D,Calculations!A663)</f>
        <v>11</v>
      </c>
      <c r="H663" s="2">
        <f>SUMIF(deals_closed!D:D,Calculations!A663,deals_closed!C:C)</f>
        <v>381274</v>
      </c>
      <c r="I663" s="2">
        <f>VLOOKUP(E663,'2018_commission_structure'!$A$11:$I$14,9,FALSE)</f>
        <v>750000</v>
      </c>
      <c r="J663" s="2">
        <f t="shared" si="90"/>
        <v>937500</v>
      </c>
      <c r="K663" s="2">
        <f t="shared" si="91"/>
        <v>1125000</v>
      </c>
      <c r="L663" s="2">
        <f t="shared" si="92"/>
        <v>1500000</v>
      </c>
      <c r="M663" s="6">
        <f t="shared" si="93"/>
        <v>0.50836533333333334</v>
      </c>
      <c r="N663" t="str">
        <f t="shared" si="94"/>
        <v>0-100%</v>
      </c>
      <c r="O663" s="7">
        <f>MIN(I663,H663)*INDEX('2018_commission_structure'!$A$11:$I$14,MATCH(Calculations!$E663,'2018_commission_structure'!$A$11:$A$14,0),MATCH(Calculations!O$1,'2018_commission_structure'!$A$11:$I$11,0))</f>
        <v>57191.1</v>
      </c>
      <c r="P663" s="7">
        <f>IF($H663&gt;I663,MIN($H663-I663,J663-I663)*INDEX('2018_commission_structure'!$A$11:$I$14,MATCH(Calculations!$E663,'2018_commission_structure'!$A$11:$A$14,0), MATCH(Calculations!P$1,'2018_commission_structure'!$A$11:$I$11,0)),0)</f>
        <v>0</v>
      </c>
      <c r="Q663" s="7">
        <f>IF($H663&gt;J663,MIN($H663-J663,K663-J663)*INDEX('2018_commission_structure'!$A$11:$I$14,MATCH(Calculations!$E663,'2018_commission_structure'!$A$11:$A$14,0), MATCH(Calculations!Q$1,'2018_commission_structure'!$A$11:$I$11,0)),0)</f>
        <v>0</v>
      </c>
      <c r="R663" s="7">
        <f>IF($H663&gt;K663,MIN($H663-K663,L663-K663)*INDEX('2018_commission_structure'!$A$11:$I$14,MATCH(Calculations!$E663,'2018_commission_structure'!$A$11:$A$14,0), MATCH(Calculations!R$1,'2018_commission_structure'!$A$11:$I$11,0)),0)</f>
        <v>0</v>
      </c>
      <c r="S663" s="7">
        <f>IF(H663&gt;L663,(H663-L663)*INDEX('2018_commission_structure'!$A$11:$I$14,MATCH(Calculations!$E663,'2018_commission_structure'!$A$11:$A$14,0),MATCH(Calculations!S$1,'2018_commission_structure'!$A$11:$I$11,0)),0)</f>
        <v>0</v>
      </c>
      <c r="T663" s="7">
        <f t="shared" si="95"/>
        <v>57191.1</v>
      </c>
      <c r="U663" s="7">
        <f t="shared" si="96"/>
        <v>146204.1</v>
      </c>
      <c r="V663" s="7">
        <f>MIN(H663,I663)*INDEX('2018_commission_structure'!$A$5:$J$8,MATCH(Calculations!$E663,'2018_commission_structure'!$A$5:$A$8,0),MATCH(Calculations!V$1,'2018_commission_structure'!$A$5:$J$5,0))</f>
        <v>57191.1</v>
      </c>
      <c r="W663" s="2">
        <f>IF($H663&gt;I663,MIN($H663-I663,J663-I663)*INDEX('2018_commission_structure'!$A$5:$J$8,MATCH(Calculations!$E663,'2018_commission_structure'!$A$5:$A$8,0),MATCH(Calculations!W$1,'2018_commission_structure'!$A$5:$J$5,0)),0)</f>
        <v>0</v>
      </c>
      <c r="X663" s="2">
        <f>IF($H663&gt;J663,MIN($H663-J663,K663-J663)*INDEX('2018_commission_structure'!$A$5:$J$8,MATCH(Calculations!$E663,'2018_commission_structure'!$A$5:$A$8,0),MATCH(Calculations!X$1,'2018_commission_structure'!$A$5:$J$5,0)),0)</f>
        <v>0</v>
      </c>
      <c r="Y663" s="2">
        <f>IF($H663&gt;K663,MIN($H663-K663,L663-K663)*INDEX('2018_commission_structure'!$A$5:$J$8,MATCH(Calculations!$E663,'2018_commission_structure'!$A$5:$A$8,0),MATCH(Calculations!Y$1,'2018_commission_structure'!$A$5:$J$5,0)),0)</f>
        <v>0</v>
      </c>
      <c r="Z663" s="2">
        <f xml:space="preserve"> IF(H663&gt;L663,(H663-L663)*INDEX('2018_commission_structure'!$A$11:$I$14,MATCH(Calculations!$E663,'2018_commission_structure'!$A$11:$A$14,0),MATCH(Calculations!Z$1,'2018_commission_structure'!$A$11:$I$11,0)),0)</f>
        <v>0</v>
      </c>
      <c r="AA663" s="7">
        <f t="shared" si="97"/>
        <v>57191.1</v>
      </c>
      <c r="AB663" s="7">
        <f t="shared" si="98"/>
        <v>146204.1</v>
      </c>
    </row>
    <row r="664" spans="1:28" x14ac:dyDescent="0.25">
      <c r="A664">
        <v>2012142672</v>
      </c>
      <c r="B664" t="s">
        <v>400</v>
      </c>
      <c r="C664" t="s">
        <v>401</v>
      </c>
      <c r="D664" t="str">
        <f>B664&amp;" "&amp;C664</f>
        <v>Izak Newbigging</v>
      </c>
      <c r="E664" t="s">
        <v>29</v>
      </c>
      <c r="F664">
        <v>55915</v>
      </c>
      <c r="G664">
        <f>COUNTIF(deals_closed!D:D,Calculations!A664)</f>
        <v>23</v>
      </c>
      <c r="H664" s="2">
        <f>SUMIF(deals_closed!D:D,Calculations!A664,deals_closed!C:C)</f>
        <v>868613</v>
      </c>
      <c r="I664" s="2">
        <f>VLOOKUP(E664,'2018_commission_structure'!$A$11:$I$14,9,FALSE)</f>
        <v>600000</v>
      </c>
      <c r="J664" s="2">
        <f t="shared" si="90"/>
        <v>750000</v>
      </c>
      <c r="K664" s="2">
        <f t="shared" si="91"/>
        <v>900000</v>
      </c>
      <c r="L664" s="2">
        <f t="shared" si="92"/>
        <v>1200000</v>
      </c>
      <c r="M664" s="6">
        <f t="shared" si="93"/>
        <v>1.4476883333333332</v>
      </c>
      <c r="N664" t="str">
        <f t="shared" si="94"/>
        <v>125-150%</v>
      </c>
      <c r="O664" s="7">
        <f>MIN(I664,H664)*INDEX('2018_commission_structure'!$A$11:$I$14,MATCH(Calculations!$E664,'2018_commission_structure'!$A$11:$A$14,0),MATCH(Calculations!O$1,'2018_commission_structure'!$A$11:$I$11,0))</f>
        <v>78000</v>
      </c>
      <c r="P664" s="7">
        <f>IF($H664&gt;I664,MIN($H664-I664,J664-I664)*INDEX('2018_commission_structure'!$A$11:$I$14,MATCH(Calculations!$E664,'2018_commission_structure'!$A$11:$A$14,0), MATCH(Calculations!P$1,'2018_commission_structure'!$A$11:$I$11,0)),0)</f>
        <v>25500.000000000004</v>
      </c>
      <c r="Q664" s="7">
        <f>IF($H664&gt;J664,MIN($H664-J664,K664-J664)*INDEX('2018_commission_structure'!$A$11:$I$14,MATCH(Calculations!$E664,'2018_commission_structure'!$A$11:$A$14,0), MATCH(Calculations!Q$1,'2018_commission_structure'!$A$11:$I$11,0)),0)</f>
        <v>24908.73</v>
      </c>
      <c r="R664" s="7">
        <f>IF($H664&gt;K664,MIN($H664-K664,L664-K664)*INDEX('2018_commission_structure'!$A$11:$I$14,MATCH(Calculations!$E664,'2018_commission_structure'!$A$11:$A$14,0), MATCH(Calculations!R$1,'2018_commission_structure'!$A$11:$I$11,0)),0)</f>
        <v>0</v>
      </c>
      <c r="S664" s="7">
        <f>IF(H664&gt;L664,(H664-L664)*INDEX('2018_commission_structure'!$A$11:$I$14,MATCH(Calculations!$E664,'2018_commission_structure'!$A$11:$A$14,0),MATCH(Calculations!S$1,'2018_commission_structure'!$A$11:$I$11,0)),0)</f>
        <v>0</v>
      </c>
      <c r="T664" s="7">
        <f t="shared" si="95"/>
        <v>128408.73</v>
      </c>
      <c r="U664" s="7">
        <f t="shared" si="96"/>
        <v>184323.72999999998</v>
      </c>
      <c r="V664" s="7">
        <f>MIN(H664,I664)*INDEX('2018_commission_structure'!$A$5:$J$8,MATCH(Calculations!$E664,'2018_commission_structure'!$A$5:$A$8,0),MATCH(Calculations!V$1,'2018_commission_structure'!$A$5:$J$5,0))</f>
        <v>90000</v>
      </c>
      <c r="W664" s="2">
        <f>IF($H664&gt;I664,MIN($H664-I664,J664-I664)*INDEX('2018_commission_structure'!$A$5:$J$8,MATCH(Calculations!$E664,'2018_commission_structure'!$A$5:$A$8,0),MATCH(Calculations!W$1,'2018_commission_structure'!$A$5:$J$5,0)),0)</f>
        <v>27000</v>
      </c>
      <c r="X664" s="2">
        <f>IF($H664&gt;J664,MIN($H664-J664,K664-J664)*INDEX('2018_commission_structure'!$A$5:$J$8,MATCH(Calculations!$E664,'2018_commission_structure'!$A$5:$A$8,0),MATCH(Calculations!X$1,'2018_commission_structure'!$A$5:$J$5,0)),0)</f>
        <v>29653.25</v>
      </c>
      <c r="Y664" s="2">
        <f>IF($H664&gt;K664,MIN($H664-K664,L664-K664)*INDEX('2018_commission_structure'!$A$5:$J$8,MATCH(Calculations!$E664,'2018_commission_structure'!$A$5:$A$8,0),MATCH(Calculations!Y$1,'2018_commission_structure'!$A$5:$J$5,0)),0)</f>
        <v>0</v>
      </c>
      <c r="Z664" s="2">
        <f xml:space="preserve"> IF(H664&gt;L664,(H664-L664)*INDEX('2018_commission_structure'!$A$11:$I$14,MATCH(Calculations!$E664,'2018_commission_structure'!$A$11:$A$14,0),MATCH(Calculations!Z$1,'2018_commission_structure'!$A$11:$I$11,0)),0)</f>
        <v>0</v>
      </c>
      <c r="AA664" s="7">
        <f t="shared" si="97"/>
        <v>146653.25</v>
      </c>
      <c r="AB664" s="7">
        <f t="shared" si="98"/>
        <v>202568.25</v>
      </c>
    </row>
    <row r="665" spans="1:28" x14ac:dyDescent="0.25">
      <c r="A665">
        <v>6842911427</v>
      </c>
      <c r="B665" t="s">
        <v>584</v>
      </c>
      <c r="C665" t="s">
        <v>585</v>
      </c>
      <c r="D665" t="str">
        <f>B665&amp;" "&amp;C665</f>
        <v>Moishe Nicely</v>
      </c>
      <c r="E665" t="s">
        <v>29</v>
      </c>
      <c r="F665">
        <v>54689</v>
      </c>
      <c r="G665">
        <f>COUNTIF(deals_closed!D:D,Calculations!A665)</f>
        <v>23</v>
      </c>
      <c r="H665" s="2">
        <f>SUMIF(deals_closed!D:D,Calculations!A665,deals_closed!C:C)</f>
        <v>913755</v>
      </c>
      <c r="I665" s="2">
        <f>VLOOKUP(E665,'2018_commission_structure'!$A$11:$I$14,9,FALSE)</f>
        <v>600000</v>
      </c>
      <c r="J665" s="2">
        <f t="shared" si="90"/>
        <v>750000</v>
      </c>
      <c r="K665" s="2">
        <f t="shared" si="91"/>
        <v>900000</v>
      </c>
      <c r="L665" s="2">
        <f t="shared" si="92"/>
        <v>1200000</v>
      </c>
      <c r="M665" s="6">
        <f t="shared" si="93"/>
        <v>1.5229250000000001</v>
      </c>
      <c r="N665" t="str">
        <f t="shared" si="94"/>
        <v>150-200%</v>
      </c>
      <c r="O665" s="7">
        <f>MIN(I665,H665)*INDEX('2018_commission_structure'!$A$11:$I$14,MATCH(Calculations!$E665,'2018_commission_structure'!$A$11:$A$14,0),MATCH(Calculations!O$1,'2018_commission_structure'!$A$11:$I$11,0))</f>
        <v>78000</v>
      </c>
      <c r="P665" s="7">
        <f>IF($H665&gt;I665,MIN($H665-I665,J665-I665)*INDEX('2018_commission_structure'!$A$11:$I$14,MATCH(Calculations!$E665,'2018_commission_structure'!$A$11:$A$14,0), MATCH(Calculations!P$1,'2018_commission_structure'!$A$11:$I$11,0)),0)</f>
        <v>25500.000000000004</v>
      </c>
      <c r="Q665" s="7">
        <f>IF($H665&gt;J665,MIN($H665-J665,K665-J665)*INDEX('2018_commission_structure'!$A$11:$I$14,MATCH(Calculations!$E665,'2018_commission_structure'!$A$11:$A$14,0), MATCH(Calculations!Q$1,'2018_commission_structure'!$A$11:$I$11,0)),0)</f>
        <v>31500</v>
      </c>
      <c r="R665" s="7">
        <f>IF($H665&gt;K665,MIN($H665-K665,L665-K665)*INDEX('2018_commission_structure'!$A$11:$I$14,MATCH(Calculations!$E665,'2018_commission_structure'!$A$11:$A$14,0), MATCH(Calculations!R$1,'2018_commission_structure'!$A$11:$I$11,0)),0)</f>
        <v>3576.3</v>
      </c>
      <c r="S665" s="7">
        <f>IF(H665&gt;L665,(H665-L665)*INDEX('2018_commission_structure'!$A$11:$I$14,MATCH(Calculations!$E665,'2018_commission_structure'!$A$11:$A$14,0),MATCH(Calculations!S$1,'2018_commission_structure'!$A$11:$I$11,0)),0)</f>
        <v>0</v>
      </c>
      <c r="T665" s="7">
        <f t="shared" si="95"/>
        <v>138576.29999999999</v>
      </c>
      <c r="U665" s="7">
        <f t="shared" si="96"/>
        <v>193265.3</v>
      </c>
      <c r="V665" s="7">
        <f>MIN(H665,I665)*INDEX('2018_commission_structure'!$A$5:$J$8,MATCH(Calculations!$E665,'2018_commission_structure'!$A$5:$A$8,0),MATCH(Calculations!V$1,'2018_commission_structure'!$A$5:$J$5,0))</f>
        <v>90000</v>
      </c>
      <c r="W665" s="2">
        <f>IF($H665&gt;I665,MIN($H665-I665,J665-I665)*INDEX('2018_commission_structure'!$A$5:$J$8,MATCH(Calculations!$E665,'2018_commission_structure'!$A$5:$A$8,0),MATCH(Calculations!W$1,'2018_commission_structure'!$A$5:$J$5,0)),0)</f>
        <v>27000</v>
      </c>
      <c r="X665" s="2">
        <f>IF($H665&gt;J665,MIN($H665-J665,K665-J665)*INDEX('2018_commission_structure'!$A$5:$J$8,MATCH(Calculations!$E665,'2018_commission_structure'!$A$5:$A$8,0),MATCH(Calculations!X$1,'2018_commission_structure'!$A$5:$J$5,0)),0)</f>
        <v>37500</v>
      </c>
      <c r="Y665" s="2">
        <f>IF($H665&gt;K665,MIN($H665-K665,L665-K665)*INDEX('2018_commission_structure'!$A$5:$J$8,MATCH(Calculations!$E665,'2018_commission_structure'!$A$5:$A$8,0),MATCH(Calculations!Y$1,'2018_commission_structure'!$A$5:$J$5,0)),0)</f>
        <v>4126.5</v>
      </c>
      <c r="Z665" s="2">
        <f xml:space="preserve"> IF(H665&gt;L665,(H665-L665)*INDEX('2018_commission_structure'!$A$11:$I$14,MATCH(Calculations!$E665,'2018_commission_structure'!$A$11:$A$14,0),MATCH(Calculations!Z$1,'2018_commission_structure'!$A$11:$I$11,0)),0)</f>
        <v>0</v>
      </c>
      <c r="AA665" s="7">
        <f t="shared" si="97"/>
        <v>158626.5</v>
      </c>
      <c r="AB665" s="7">
        <f t="shared" si="98"/>
        <v>213315.5</v>
      </c>
    </row>
    <row r="666" spans="1:28" x14ac:dyDescent="0.25">
      <c r="A666">
        <v>6750554423</v>
      </c>
      <c r="B666" t="s">
        <v>1566</v>
      </c>
      <c r="C666" t="s">
        <v>1567</v>
      </c>
      <c r="D666" t="str">
        <f>B666&amp;" "&amp;C666</f>
        <v>Carley Niemetz</v>
      </c>
      <c r="E666" t="s">
        <v>10</v>
      </c>
      <c r="F666">
        <v>91978</v>
      </c>
      <c r="G666">
        <f>COUNTIF(deals_closed!D:D,Calculations!A666)</f>
        <v>16</v>
      </c>
      <c r="H666" s="2">
        <f>SUMIF(deals_closed!D:D,Calculations!A666,deals_closed!C:C)</f>
        <v>635633</v>
      </c>
      <c r="I666" s="2">
        <f>VLOOKUP(E666,'2018_commission_structure'!$A$11:$I$14,9,FALSE)</f>
        <v>750000</v>
      </c>
      <c r="J666" s="2">
        <f t="shared" si="90"/>
        <v>937500</v>
      </c>
      <c r="K666" s="2">
        <f t="shared" si="91"/>
        <v>1125000</v>
      </c>
      <c r="L666" s="2">
        <f t="shared" si="92"/>
        <v>1500000</v>
      </c>
      <c r="M666" s="6">
        <f t="shared" si="93"/>
        <v>0.84751066666666663</v>
      </c>
      <c r="N666" t="str">
        <f t="shared" si="94"/>
        <v>0-100%</v>
      </c>
      <c r="O666" s="7">
        <f>MIN(I666,H666)*INDEX('2018_commission_structure'!$A$11:$I$14,MATCH(Calculations!$E666,'2018_commission_structure'!$A$11:$A$14,0),MATCH(Calculations!O$1,'2018_commission_structure'!$A$11:$I$11,0))</f>
        <v>95344.95</v>
      </c>
      <c r="P666" s="7">
        <f>IF($H666&gt;I666,MIN($H666-I666,J666-I666)*INDEX('2018_commission_structure'!$A$11:$I$14,MATCH(Calculations!$E666,'2018_commission_structure'!$A$11:$A$14,0), MATCH(Calculations!P$1,'2018_commission_structure'!$A$11:$I$11,0)),0)</f>
        <v>0</v>
      </c>
      <c r="Q666" s="7">
        <f>IF($H666&gt;J666,MIN($H666-J666,K666-J666)*INDEX('2018_commission_structure'!$A$11:$I$14,MATCH(Calculations!$E666,'2018_commission_structure'!$A$11:$A$14,0), MATCH(Calculations!Q$1,'2018_commission_structure'!$A$11:$I$11,0)),0)</f>
        <v>0</v>
      </c>
      <c r="R666" s="7">
        <f>IF($H666&gt;K666,MIN($H666-K666,L666-K666)*INDEX('2018_commission_structure'!$A$11:$I$14,MATCH(Calculations!$E666,'2018_commission_structure'!$A$11:$A$14,0), MATCH(Calculations!R$1,'2018_commission_structure'!$A$11:$I$11,0)),0)</f>
        <v>0</v>
      </c>
      <c r="S666" s="7">
        <f>IF(H666&gt;L666,(H666-L666)*INDEX('2018_commission_structure'!$A$11:$I$14,MATCH(Calculations!$E666,'2018_commission_structure'!$A$11:$A$14,0),MATCH(Calculations!S$1,'2018_commission_structure'!$A$11:$I$11,0)),0)</f>
        <v>0</v>
      </c>
      <c r="T666" s="7">
        <f t="shared" si="95"/>
        <v>95344.95</v>
      </c>
      <c r="U666" s="7">
        <f t="shared" si="96"/>
        <v>187322.95</v>
      </c>
      <c r="V666" s="7">
        <f>MIN(H666,I666)*INDEX('2018_commission_structure'!$A$5:$J$8,MATCH(Calculations!$E666,'2018_commission_structure'!$A$5:$A$8,0),MATCH(Calculations!V$1,'2018_commission_structure'!$A$5:$J$5,0))</f>
        <v>95344.95</v>
      </c>
      <c r="W666" s="2">
        <f>IF($H666&gt;I666,MIN($H666-I666,J666-I666)*INDEX('2018_commission_structure'!$A$5:$J$8,MATCH(Calculations!$E666,'2018_commission_structure'!$A$5:$A$8,0),MATCH(Calculations!W$1,'2018_commission_structure'!$A$5:$J$5,0)),0)</f>
        <v>0</v>
      </c>
      <c r="X666" s="2">
        <f>IF($H666&gt;J666,MIN($H666-J666,K666-J666)*INDEX('2018_commission_structure'!$A$5:$J$8,MATCH(Calculations!$E666,'2018_commission_structure'!$A$5:$A$8,0),MATCH(Calculations!X$1,'2018_commission_structure'!$A$5:$J$5,0)),0)</f>
        <v>0</v>
      </c>
      <c r="Y666" s="2">
        <f>IF($H666&gt;K666,MIN($H666-K666,L666-K666)*INDEX('2018_commission_structure'!$A$5:$J$8,MATCH(Calculations!$E666,'2018_commission_structure'!$A$5:$A$8,0),MATCH(Calculations!Y$1,'2018_commission_structure'!$A$5:$J$5,0)),0)</f>
        <v>0</v>
      </c>
      <c r="Z666" s="2">
        <f xml:space="preserve"> IF(H666&gt;L666,(H666-L666)*INDEX('2018_commission_structure'!$A$11:$I$14,MATCH(Calculations!$E666,'2018_commission_structure'!$A$11:$A$14,0),MATCH(Calculations!Z$1,'2018_commission_structure'!$A$11:$I$11,0)),0)</f>
        <v>0</v>
      </c>
      <c r="AA666" s="7">
        <f t="shared" si="97"/>
        <v>95344.95</v>
      </c>
      <c r="AB666" s="7">
        <f t="shared" si="98"/>
        <v>187322.95</v>
      </c>
    </row>
    <row r="667" spans="1:28" x14ac:dyDescent="0.25">
      <c r="A667">
        <v>7374898193</v>
      </c>
      <c r="B667" t="s">
        <v>1924</v>
      </c>
      <c r="C667" t="s">
        <v>1925</v>
      </c>
      <c r="D667" t="str">
        <f>B667&amp;" "&amp;C667</f>
        <v>Nealson Niezen</v>
      </c>
      <c r="E667" t="s">
        <v>29</v>
      </c>
      <c r="F667">
        <v>50715</v>
      </c>
      <c r="G667">
        <f>COUNTIF(deals_closed!D:D,Calculations!A667)</f>
        <v>22</v>
      </c>
      <c r="H667" s="2">
        <f>SUMIF(deals_closed!D:D,Calculations!A667,deals_closed!C:C)</f>
        <v>679046</v>
      </c>
      <c r="I667" s="2">
        <f>VLOOKUP(E667,'2018_commission_structure'!$A$11:$I$14,9,FALSE)</f>
        <v>600000</v>
      </c>
      <c r="J667" s="2">
        <f t="shared" si="90"/>
        <v>750000</v>
      </c>
      <c r="K667" s="2">
        <f t="shared" si="91"/>
        <v>900000</v>
      </c>
      <c r="L667" s="2">
        <f t="shared" si="92"/>
        <v>1200000</v>
      </c>
      <c r="M667" s="6">
        <f t="shared" si="93"/>
        <v>1.1317433333333333</v>
      </c>
      <c r="N667" t="str">
        <f t="shared" si="94"/>
        <v>100-125%</v>
      </c>
      <c r="O667" s="7">
        <f>MIN(I667,H667)*INDEX('2018_commission_structure'!$A$11:$I$14,MATCH(Calculations!$E667,'2018_commission_structure'!$A$11:$A$14,0),MATCH(Calculations!O$1,'2018_commission_structure'!$A$11:$I$11,0))</f>
        <v>78000</v>
      </c>
      <c r="P667" s="7">
        <f>IF($H667&gt;I667,MIN($H667-I667,J667-I667)*INDEX('2018_commission_structure'!$A$11:$I$14,MATCH(Calculations!$E667,'2018_commission_structure'!$A$11:$A$14,0), MATCH(Calculations!P$1,'2018_commission_structure'!$A$11:$I$11,0)),0)</f>
        <v>13437.820000000002</v>
      </c>
      <c r="Q667" s="7">
        <f>IF($H667&gt;J667,MIN($H667-J667,K667-J667)*INDEX('2018_commission_structure'!$A$11:$I$14,MATCH(Calculations!$E667,'2018_commission_structure'!$A$11:$A$14,0), MATCH(Calculations!Q$1,'2018_commission_structure'!$A$11:$I$11,0)),0)</f>
        <v>0</v>
      </c>
      <c r="R667" s="7">
        <f>IF($H667&gt;K667,MIN($H667-K667,L667-K667)*INDEX('2018_commission_structure'!$A$11:$I$14,MATCH(Calculations!$E667,'2018_commission_structure'!$A$11:$A$14,0), MATCH(Calculations!R$1,'2018_commission_structure'!$A$11:$I$11,0)),0)</f>
        <v>0</v>
      </c>
      <c r="S667" s="7">
        <f>IF(H667&gt;L667,(H667-L667)*INDEX('2018_commission_structure'!$A$11:$I$14,MATCH(Calculations!$E667,'2018_commission_structure'!$A$11:$A$14,0),MATCH(Calculations!S$1,'2018_commission_structure'!$A$11:$I$11,0)),0)</f>
        <v>0</v>
      </c>
      <c r="T667" s="7">
        <f t="shared" si="95"/>
        <v>91437.82</v>
      </c>
      <c r="U667" s="7">
        <f t="shared" si="96"/>
        <v>142152.82</v>
      </c>
      <c r="V667" s="7">
        <f>MIN(H667,I667)*INDEX('2018_commission_structure'!$A$5:$J$8,MATCH(Calculations!$E667,'2018_commission_structure'!$A$5:$A$8,0),MATCH(Calculations!V$1,'2018_commission_structure'!$A$5:$J$5,0))</f>
        <v>90000</v>
      </c>
      <c r="W667" s="2">
        <f>IF($H667&gt;I667,MIN($H667-I667,J667-I667)*INDEX('2018_commission_structure'!$A$5:$J$8,MATCH(Calculations!$E667,'2018_commission_structure'!$A$5:$A$8,0),MATCH(Calculations!W$1,'2018_commission_structure'!$A$5:$J$5,0)),0)</f>
        <v>14228.279999999999</v>
      </c>
      <c r="X667" s="2">
        <f>IF($H667&gt;J667,MIN($H667-J667,K667-J667)*INDEX('2018_commission_structure'!$A$5:$J$8,MATCH(Calculations!$E667,'2018_commission_structure'!$A$5:$A$8,0),MATCH(Calculations!X$1,'2018_commission_structure'!$A$5:$J$5,0)),0)</f>
        <v>0</v>
      </c>
      <c r="Y667" s="2">
        <f>IF($H667&gt;K667,MIN($H667-K667,L667-K667)*INDEX('2018_commission_structure'!$A$5:$J$8,MATCH(Calculations!$E667,'2018_commission_structure'!$A$5:$A$8,0),MATCH(Calculations!Y$1,'2018_commission_structure'!$A$5:$J$5,0)),0)</f>
        <v>0</v>
      </c>
      <c r="Z667" s="2">
        <f xml:space="preserve"> IF(H667&gt;L667,(H667-L667)*INDEX('2018_commission_structure'!$A$11:$I$14,MATCH(Calculations!$E667,'2018_commission_structure'!$A$11:$A$14,0),MATCH(Calculations!Z$1,'2018_commission_structure'!$A$11:$I$11,0)),0)</f>
        <v>0</v>
      </c>
      <c r="AA667" s="7">
        <f t="shared" si="97"/>
        <v>104228.28</v>
      </c>
      <c r="AB667" s="7">
        <f t="shared" si="98"/>
        <v>154943.28</v>
      </c>
    </row>
    <row r="668" spans="1:28" x14ac:dyDescent="0.25">
      <c r="A668">
        <v>2060025532</v>
      </c>
      <c r="B668" t="s">
        <v>1339</v>
      </c>
      <c r="C668" t="s">
        <v>1340</v>
      </c>
      <c r="D668" t="str">
        <f>B668&amp;" "&amp;C668</f>
        <v>Petronille Niles</v>
      </c>
      <c r="E668" t="s">
        <v>29</v>
      </c>
      <c r="F668">
        <v>53096</v>
      </c>
      <c r="G668">
        <f>COUNTIF(deals_closed!D:D,Calculations!A668)</f>
        <v>19</v>
      </c>
      <c r="H668" s="2">
        <f>SUMIF(deals_closed!D:D,Calculations!A668,deals_closed!C:C)</f>
        <v>588834</v>
      </c>
      <c r="I668" s="2">
        <f>VLOOKUP(E668,'2018_commission_structure'!$A$11:$I$14,9,FALSE)</f>
        <v>600000</v>
      </c>
      <c r="J668" s="2">
        <f t="shared" si="90"/>
        <v>750000</v>
      </c>
      <c r="K668" s="2">
        <f t="shared" si="91"/>
        <v>900000</v>
      </c>
      <c r="L668" s="2">
        <f t="shared" si="92"/>
        <v>1200000</v>
      </c>
      <c r="M668" s="6">
        <f t="shared" si="93"/>
        <v>0.98138999999999998</v>
      </c>
      <c r="N668" t="str">
        <f t="shared" si="94"/>
        <v>0-100%</v>
      </c>
      <c r="O668" s="7">
        <f>MIN(I668,H668)*INDEX('2018_commission_structure'!$A$11:$I$14,MATCH(Calculations!$E668,'2018_commission_structure'!$A$11:$A$14,0),MATCH(Calculations!O$1,'2018_commission_structure'!$A$11:$I$11,0))</f>
        <v>76548.42</v>
      </c>
      <c r="P668" s="7">
        <f>IF($H668&gt;I668,MIN($H668-I668,J668-I668)*INDEX('2018_commission_structure'!$A$11:$I$14,MATCH(Calculations!$E668,'2018_commission_structure'!$A$11:$A$14,0), MATCH(Calculations!P$1,'2018_commission_structure'!$A$11:$I$11,0)),0)</f>
        <v>0</v>
      </c>
      <c r="Q668" s="7">
        <f>IF($H668&gt;J668,MIN($H668-J668,K668-J668)*INDEX('2018_commission_structure'!$A$11:$I$14,MATCH(Calculations!$E668,'2018_commission_structure'!$A$11:$A$14,0), MATCH(Calculations!Q$1,'2018_commission_structure'!$A$11:$I$11,0)),0)</f>
        <v>0</v>
      </c>
      <c r="R668" s="7">
        <f>IF($H668&gt;K668,MIN($H668-K668,L668-K668)*INDEX('2018_commission_structure'!$A$11:$I$14,MATCH(Calculations!$E668,'2018_commission_structure'!$A$11:$A$14,0), MATCH(Calculations!R$1,'2018_commission_structure'!$A$11:$I$11,0)),0)</f>
        <v>0</v>
      </c>
      <c r="S668" s="7">
        <f>IF(H668&gt;L668,(H668-L668)*INDEX('2018_commission_structure'!$A$11:$I$14,MATCH(Calculations!$E668,'2018_commission_structure'!$A$11:$A$14,0),MATCH(Calculations!S$1,'2018_commission_structure'!$A$11:$I$11,0)),0)</f>
        <v>0</v>
      </c>
      <c r="T668" s="7">
        <f t="shared" si="95"/>
        <v>76548.42</v>
      </c>
      <c r="U668" s="7">
        <f t="shared" si="96"/>
        <v>129644.42</v>
      </c>
      <c r="V668" s="7">
        <f>MIN(H668,I668)*INDEX('2018_commission_structure'!$A$5:$J$8,MATCH(Calculations!$E668,'2018_commission_structure'!$A$5:$A$8,0),MATCH(Calculations!V$1,'2018_commission_structure'!$A$5:$J$5,0))</f>
        <v>88325.099999999991</v>
      </c>
      <c r="W668" s="2">
        <f>IF($H668&gt;I668,MIN($H668-I668,J668-I668)*INDEX('2018_commission_structure'!$A$5:$J$8,MATCH(Calculations!$E668,'2018_commission_structure'!$A$5:$A$8,0),MATCH(Calculations!W$1,'2018_commission_structure'!$A$5:$J$5,0)),0)</f>
        <v>0</v>
      </c>
      <c r="X668" s="2">
        <f>IF($H668&gt;J668,MIN($H668-J668,K668-J668)*INDEX('2018_commission_structure'!$A$5:$J$8,MATCH(Calculations!$E668,'2018_commission_structure'!$A$5:$A$8,0),MATCH(Calculations!X$1,'2018_commission_structure'!$A$5:$J$5,0)),0)</f>
        <v>0</v>
      </c>
      <c r="Y668" s="2">
        <f>IF($H668&gt;K668,MIN($H668-K668,L668-K668)*INDEX('2018_commission_structure'!$A$5:$J$8,MATCH(Calculations!$E668,'2018_commission_structure'!$A$5:$A$8,0),MATCH(Calculations!Y$1,'2018_commission_structure'!$A$5:$J$5,0)),0)</f>
        <v>0</v>
      </c>
      <c r="Z668" s="2">
        <f xml:space="preserve"> IF(H668&gt;L668,(H668-L668)*INDEX('2018_commission_structure'!$A$11:$I$14,MATCH(Calculations!$E668,'2018_commission_structure'!$A$11:$A$14,0),MATCH(Calculations!Z$1,'2018_commission_structure'!$A$11:$I$11,0)),0)</f>
        <v>0</v>
      </c>
      <c r="AA668" s="7">
        <f t="shared" si="97"/>
        <v>88325.099999999991</v>
      </c>
      <c r="AB668" s="7">
        <f t="shared" si="98"/>
        <v>141421.09999999998</v>
      </c>
    </row>
    <row r="669" spans="1:28" x14ac:dyDescent="0.25">
      <c r="A669">
        <v>6973806759</v>
      </c>
      <c r="B669" t="s">
        <v>101</v>
      </c>
      <c r="C669" t="s">
        <v>102</v>
      </c>
      <c r="D669" t="str">
        <f>B669&amp;" "&amp;C669</f>
        <v>Baudoin Normanville</v>
      </c>
      <c r="E669" t="s">
        <v>7</v>
      </c>
      <c r="F669">
        <v>45164</v>
      </c>
      <c r="G669">
        <f>COUNTIF(deals_closed!D:D,Calculations!A669)</f>
        <v>19</v>
      </c>
      <c r="H669" s="2">
        <f>SUMIF(deals_closed!D:D,Calculations!A669,deals_closed!C:C)</f>
        <v>637085</v>
      </c>
      <c r="I669" s="2">
        <f>VLOOKUP(E669,'2018_commission_structure'!$A$11:$I$14,9,FALSE)</f>
        <v>500000</v>
      </c>
      <c r="J669" s="2">
        <f t="shared" si="90"/>
        <v>625000</v>
      </c>
      <c r="K669" s="2">
        <f t="shared" si="91"/>
        <v>750000</v>
      </c>
      <c r="L669" s="2">
        <f t="shared" si="92"/>
        <v>1000000</v>
      </c>
      <c r="M669" s="6">
        <f t="shared" si="93"/>
        <v>1.27417</v>
      </c>
      <c r="N669" t="str">
        <f t="shared" si="94"/>
        <v>125-150%</v>
      </c>
      <c r="O669" s="7">
        <f>MIN(I669,H669)*INDEX('2018_commission_structure'!$A$11:$I$14,MATCH(Calculations!$E669,'2018_commission_structure'!$A$11:$A$14,0),MATCH(Calculations!O$1,'2018_commission_structure'!$A$11:$I$11,0))</f>
        <v>50000</v>
      </c>
      <c r="P669" s="7">
        <f>IF($H669&gt;I669,MIN($H669-I669,J669-I669)*INDEX('2018_commission_structure'!$A$11:$I$14,MATCH(Calculations!$E669,'2018_commission_structure'!$A$11:$A$14,0), MATCH(Calculations!P$1,'2018_commission_structure'!$A$11:$I$11,0)),0)</f>
        <v>18750</v>
      </c>
      <c r="Q669" s="7">
        <f>IF($H669&gt;J669,MIN($H669-J669,K669-J669)*INDEX('2018_commission_structure'!$A$11:$I$14,MATCH(Calculations!$E669,'2018_commission_structure'!$A$11:$A$14,0), MATCH(Calculations!Q$1,'2018_commission_structure'!$A$11:$I$11,0)),0)</f>
        <v>2175.2999999999997</v>
      </c>
      <c r="R669" s="7">
        <f>IF($H669&gt;K669,MIN($H669-K669,L669-K669)*INDEX('2018_commission_structure'!$A$11:$I$14,MATCH(Calculations!$E669,'2018_commission_structure'!$A$11:$A$14,0), MATCH(Calculations!R$1,'2018_commission_structure'!$A$11:$I$11,0)),0)</f>
        <v>0</v>
      </c>
      <c r="S669" s="7">
        <f>IF(H669&gt;L669,(H669-L669)*INDEX('2018_commission_structure'!$A$11:$I$14,MATCH(Calculations!$E669,'2018_commission_structure'!$A$11:$A$14,0),MATCH(Calculations!S$1,'2018_commission_structure'!$A$11:$I$11,0)),0)</f>
        <v>0</v>
      </c>
      <c r="T669" s="7">
        <f t="shared" si="95"/>
        <v>70925.3</v>
      </c>
      <c r="U669" s="7">
        <f t="shared" si="96"/>
        <v>116089.3</v>
      </c>
      <c r="V669" s="7">
        <f>MIN(H669,I669)*INDEX('2018_commission_structure'!$A$5:$J$8,MATCH(Calculations!$E669,'2018_commission_structure'!$A$5:$A$8,0),MATCH(Calculations!V$1,'2018_commission_structure'!$A$5:$J$5,0))</f>
        <v>60000</v>
      </c>
      <c r="W669" s="2">
        <f>IF($H669&gt;I669,MIN($H669-I669,J669-I669)*INDEX('2018_commission_structure'!$A$5:$J$8,MATCH(Calculations!$E669,'2018_commission_structure'!$A$5:$A$8,0),MATCH(Calculations!W$1,'2018_commission_structure'!$A$5:$J$5,0)),0)</f>
        <v>21250</v>
      </c>
      <c r="X669" s="2">
        <f>IF($H669&gt;J669,MIN($H669-J669,K669-J669)*INDEX('2018_commission_structure'!$A$5:$J$8,MATCH(Calculations!$E669,'2018_commission_structure'!$A$5:$A$8,0),MATCH(Calculations!X$1,'2018_commission_structure'!$A$5:$J$5,0)),0)</f>
        <v>2417</v>
      </c>
      <c r="Y669" s="2">
        <f>IF($H669&gt;K669,MIN($H669-K669,L669-K669)*INDEX('2018_commission_structure'!$A$5:$J$8,MATCH(Calculations!$E669,'2018_commission_structure'!$A$5:$A$8,0),MATCH(Calculations!Y$1,'2018_commission_structure'!$A$5:$J$5,0)),0)</f>
        <v>0</v>
      </c>
      <c r="Z669" s="2">
        <f xml:space="preserve"> IF(H669&gt;L669,(H669-L669)*INDEX('2018_commission_structure'!$A$11:$I$14,MATCH(Calculations!$E669,'2018_commission_structure'!$A$11:$A$14,0),MATCH(Calculations!Z$1,'2018_commission_structure'!$A$11:$I$11,0)),0)</f>
        <v>0</v>
      </c>
      <c r="AA669" s="7">
        <f t="shared" si="97"/>
        <v>83667</v>
      </c>
      <c r="AB669" s="7">
        <f t="shared" si="98"/>
        <v>128831</v>
      </c>
    </row>
    <row r="670" spans="1:28" x14ac:dyDescent="0.25">
      <c r="A670">
        <v>9892583027</v>
      </c>
      <c r="B670" t="s">
        <v>30</v>
      </c>
      <c r="C670" t="s">
        <v>31</v>
      </c>
      <c r="D670" t="str">
        <f>B670&amp;" "&amp;C670</f>
        <v>Granger Norsworthy</v>
      </c>
      <c r="E670" t="s">
        <v>10</v>
      </c>
      <c r="F670">
        <v>96592</v>
      </c>
      <c r="G670">
        <f>COUNTIF(deals_closed!D:D,Calculations!A670)</f>
        <v>21</v>
      </c>
      <c r="H670" s="2">
        <f>SUMIF(deals_closed!D:D,Calculations!A670,deals_closed!C:C)</f>
        <v>785055</v>
      </c>
      <c r="I670" s="2">
        <f>VLOOKUP(E670,'2018_commission_structure'!$A$11:$I$14,9,FALSE)</f>
        <v>750000</v>
      </c>
      <c r="J670" s="2">
        <f t="shared" si="90"/>
        <v>937500</v>
      </c>
      <c r="K670" s="2">
        <f t="shared" si="91"/>
        <v>1125000</v>
      </c>
      <c r="L670" s="2">
        <f t="shared" si="92"/>
        <v>1500000</v>
      </c>
      <c r="M670" s="6">
        <f t="shared" si="93"/>
        <v>1.04674</v>
      </c>
      <c r="N670" t="str">
        <f t="shared" si="94"/>
        <v>100-125%</v>
      </c>
      <c r="O670" s="7">
        <f>MIN(I670,H670)*INDEX('2018_commission_structure'!$A$11:$I$14,MATCH(Calculations!$E670,'2018_commission_structure'!$A$11:$A$14,0),MATCH(Calculations!O$1,'2018_commission_structure'!$A$11:$I$11,0))</f>
        <v>112500</v>
      </c>
      <c r="P670" s="7">
        <f>IF($H670&gt;I670,MIN($H670-I670,J670-I670)*INDEX('2018_commission_structure'!$A$11:$I$14,MATCH(Calculations!$E670,'2018_commission_structure'!$A$11:$A$14,0), MATCH(Calculations!P$1,'2018_commission_structure'!$A$11:$I$11,0)),0)</f>
        <v>6660.45</v>
      </c>
      <c r="Q670" s="7">
        <f>IF($H670&gt;J670,MIN($H670-J670,K670-J670)*INDEX('2018_commission_structure'!$A$11:$I$14,MATCH(Calculations!$E670,'2018_commission_structure'!$A$11:$A$14,0), MATCH(Calculations!Q$1,'2018_commission_structure'!$A$11:$I$11,0)),0)</f>
        <v>0</v>
      </c>
      <c r="R670" s="7">
        <f>IF($H670&gt;K670,MIN($H670-K670,L670-K670)*INDEX('2018_commission_structure'!$A$11:$I$14,MATCH(Calculations!$E670,'2018_commission_structure'!$A$11:$A$14,0), MATCH(Calculations!R$1,'2018_commission_structure'!$A$11:$I$11,0)),0)</f>
        <v>0</v>
      </c>
      <c r="S670" s="7">
        <f>IF(H670&gt;L670,(H670-L670)*INDEX('2018_commission_structure'!$A$11:$I$14,MATCH(Calculations!$E670,'2018_commission_structure'!$A$11:$A$14,0),MATCH(Calculations!S$1,'2018_commission_structure'!$A$11:$I$11,0)),0)</f>
        <v>0</v>
      </c>
      <c r="T670" s="7">
        <f t="shared" si="95"/>
        <v>119160.45</v>
      </c>
      <c r="U670" s="7">
        <f t="shared" si="96"/>
        <v>215752.45</v>
      </c>
      <c r="V670" s="7">
        <f>MIN(H670,I670)*INDEX('2018_commission_structure'!$A$5:$J$8,MATCH(Calculations!$E670,'2018_commission_structure'!$A$5:$A$8,0),MATCH(Calculations!V$1,'2018_commission_structure'!$A$5:$J$5,0))</f>
        <v>112500</v>
      </c>
      <c r="W670" s="2">
        <f>IF($H670&gt;I670,MIN($H670-I670,J670-I670)*INDEX('2018_commission_structure'!$A$5:$J$8,MATCH(Calculations!$E670,'2018_commission_structure'!$A$5:$A$8,0),MATCH(Calculations!W$1,'2018_commission_structure'!$A$5:$J$5,0)),0)</f>
        <v>7712.1</v>
      </c>
      <c r="X670" s="2">
        <f>IF($H670&gt;J670,MIN($H670-J670,K670-J670)*INDEX('2018_commission_structure'!$A$5:$J$8,MATCH(Calculations!$E670,'2018_commission_structure'!$A$5:$A$8,0),MATCH(Calculations!X$1,'2018_commission_structure'!$A$5:$J$5,0)),0)</f>
        <v>0</v>
      </c>
      <c r="Y670" s="2">
        <f>IF($H670&gt;K670,MIN($H670-K670,L670-K670)*INDEX('2018_commission_structure'!$A$5:$J$8,MATCH(Calculations!$E670,'2018_commission_structure'!$A$5:$A$8,0),MATCH(Calculations!Y$1,'2018_commission_structure'!$A$5:$J$5,0)),0)</f>
        <v>0</v>
      </c>
      <c r="Z670" s="2">
        <f xml:space="preserve"> IF(H670&gt;L670,(H670-L670)*INDEX('2018_commission_structure'!$A$11:$I$14,MATCH(Calculations!$E670,'2018_commission_structure'!$A$11:$A$14,0),MATCH(Calculations!Z$1,'2018_commission_structure'!$A$11:$I$11,0)),0)</f>
        <v>0</v>
      </c>
      <c r="AA670" s="7">
        <f t="shared" si="97"/>
        <v>120212.1</v>
      </c>
      <c r="AB670" s="7">
        <f t="shared" si="98"/>
        <v>216804.1</v>
      </c>
    </row>
    <row r="671" spans="1:28" x14ac:dyDescent="0.25">
      <c r="A671">
        <v>7492341709</v>
      </c>
      <c r="B671" t="s">
        <v>518</v>
      </c>
      <c r="C671" t="s">
        <v>519</v>
      </c>
      <c r="D671" t="str">
        <f>B671&amp;" "&amp;C671</f>
        <v>Terri Novic</v>
      </c>
      <c r="E671" t="s">
        <v>7</v>
      </c>
      <c r="F671">
        <v>35089</v>
      </c>
      <c r="G671">
        <f>COUNTIF(deals_closed!D:D,Calculations!A671)</f>
        <v>14</v>
      </c>
      <c r="H671" s="2">
        <f>SUMIF(deals_closed!D:D,Calculations!A671,deals_closed!C:C)</f>
        <v>428435</v>
      </c>
      <c r="I671" s="2">
        <f>VLOOKUP(E671,'2018_commission_structure'!$A$11:$I$14,9,FALSE)</f>
        <v>500000</v>
      </c>
      <c r="J671" s="2">
        <f t="shared" si="90"/>
        <v>625000</v>
      </c>
      <c r="K671" s="2">
        <f t="shared" si="91"/>
        <v>750000</v>
      </c>
      <c r="L671" s="2">
        <f t="shared" si="92"/>
        <v>1000000</v>
      </c>
      <c r="M671" s="6">
        <f t="shared" si="93"/>
        <v>0.85687000000000002</v>
      </c>
      <c r="N671" t="str">
        <f t="shared" si="94"/>
        <v>0-100%</v>
      </c>
      <c r="O671" s="7">
        <f>MIN(I671,H671)*INDEX('2018_commission_structure'!$A$11:$I$14,MATCH(Calculations!$E671,'2018_commission_structure'!$A$11:$A$14,0),MATCH(Calculations!O$1,'2018_commission_structure'!$A$11:$I$11,0))</f>
        <v>42843.5</v>
      </c>
      <c r="P671" s="7">
        <f>IF($H671&gt;I671,MIN($H671-I671,J671-I671)*INDEX('2018_commission_structure'!$A$11:$I$14,MATCH(Calculations!$E671,'2018_commission_structure'!$A$11:$A$14,0), MATCH(Calculations!P$1,'2018_commission_structure'!$A$11:$I$11,0)),0)</f>
        <v>0</v>
      </c>
      <c r="Q671" s="7">
        <f>IF($H671&gt;J671,MIN($H671-J671,K671-J671)*INDEX('2018_commission_structure'!$A$11:$I$14,MATCH(Calculations!$E671,'2018_commission_structure'!$A$11:$A$14,0), MATCH(Calculations!Q$1,'2018_commission_structure'!$A$11:$I$11,0)),0)</f>
        <v>0</v>
      </c>
      <c r="R671" s="7">
        <f>IF($H671&gt;K671,MIN($H671-K671,L671-K671)*INDEX('2018_commission_structure'!$A$11:$I$14,MATCH(Calculations!$E671,'2018_commission_structure'!$A$11:$A$14,0), MATCH(Calculations!R$1,'2018_commission_structure'!$A$11:$I$11,0)),0)</f>
        <v>0</v>
      </c>
      <c r="S671" s="7">
        <f>IF(H671&gt;L671,(H671-L671)*INDEX('2018_commission_structure'!$A$11:$I$14,MATCH(Calculations!$E671,'2018_commission_structure'!$A$11:$A$14,0),MATCH(Calculations!S$1,'2018_commission_structure'!$A$11:$I$11,0)),0)</f>
        <v>0</v>
      </c>
      <c r="T671" s="7">
        <f t="shared" si="95"/>
        <v>42843.5</v>
      </c>
      <c r="U671" s="7">
        <f t="shared" si="96"/>
        <v>77932.5</v>
      </c>
      <c r="V671" s="7">
        <f>MIN(H671,I671)*INDEX('2018_commission_structure'!$A$5:$J$8,MATCH(Calculations!$E671,'2018_commission_structure'!$A$5:$A$8,0),MATCH(Calculations!V$1,'2018_commission_structure'!$A$5:$J$5,0))</f>
        <v>51412.2</v>
      </c>
      <c r="W671" s="2">
        <f>IF($H671&gt;I671,MIN($H671-I671,J671-I671)*INDEX('2018_commission_structure'!$A$5:$J$8,MATCH(Calculations!$E671,'2018_commission_structure'!$A$5:$A$8,0),MATCH(Calculations!W$1,'2018_commission_structure'!$A$5:$J$5,0)),0)</f>
        <v>0</v>
      </c>
      <c r="X671" s="2">
        <f>IF($H671&gt;J671,MIN($H671-J671,K671-J671)*INDEX('2018_commission_structure'!$A$5:$J$8,MATCH(Calculations!$E671,'2018_commission_structure'!$A$5:$A$8,0),MATCH(Calculations!X$1,'2018_commission_structure'!$A$5:$J$5,0)),0)</f>
        <v>0</v>
      </c>
      <c r="Y671" s="2">
        <f>IF($H671&gt;K671,MIN($H671-K671,L671-K671)*INDEX('2018_commission_structure'!$A$5:$J$8,MATCH(Calculations!$E671,'2018_commission_structure'!$A$5:$A$8,0),MATCH(Calculations!Y$1,'2018_commission_structure'!$A$5:$J$5,0)),0)</f>
        <v>0</v>
      </c>
      <c r="Z671" s="2">
        <f xml:space="preserve"> IF(H671&gt;L671,(H671-L671)*INDEX('2018_commission_structure'!$A$11:$I$14,MATCH(Calculations!$E671,'2018_commission_structure'!$A$11:$A$14,0),MATCH(Calculations!Z$1,'2018_commission_structure'!$A$11:$I$11,0)),0)</f>
        <v>0</v>
      </c>
      <c r="AA671" s="7">
        <f t="shared" si="97"/>
        <v>51412.2</v>
      </c>
      <c r="AB671" s="7">
        <f t="shared" si="98"/>
        <v>86501.2</v>
      </c>
    </row>
    <row r="672" spans="1:28" x14ac:dyDescent="0.25">
      <c r="A672">
        <v>3133221701</v>
      </c>
      <c r="B672" t="s">
        <v>956</v>
      </c>
      <c r="C672" t="s">
        <v>957</v>
      </c>
      <c r="D672" t="str">
        <f>B672&amp;" "&amp;C672</f>
        <v>Bernice Nucci</v>
      </c>
      <c r="E672" t="s">
        <v>29</v>
      </c>
      <c r="F672">
        <v>71686</v>
      </c>
      <c r="G672">
        <f>COUNTIF(deals_closed!D:D,Calculations!A672)</f>
        <v>14</v>
      </c>
      <c r="H672" s="2">
        <f>SUMIF(deals_closed!D:D,Calculations!A672,deals_closed!C:C)</f>
        <v>542057</v>
      </c>
      <c r="I672" s="2">
        <f>VLOOKUP(E672,'2018_commission_structure'!$A$11:$I$14,9,FALSE)</f>
        <v>600000</v>
      </c>
      <c r="J672" s="2">
        <f t="shared" si="90"/>
        <v>750000</v>
      </c>
      <c r="K672" s="2">
        <f t="shared" si="91"/>
        <v>900000</v>
      </c>
      <c r="L672" s="2">
        <f t="shared" si="92"/>
        <v>1200000</v>
      </c>
      <c r="M672" s="6">
        <f t="shared" si="93"/>
        <v>0.90342833333333339</v>
      </c>
      <c r="N672" t="str">
        <f t="shared" si="94"/>
        <v>0-100%</v>
      </c>
      <c r="O672" s="7">
        <f>MIN(I672,H672)*INDEX('2018_commission_structure'!$A$11:$I$14,MATCH(Calculations!$E672,'2018_commission_structure'!$A$11:$A$14,0),MATCH(Calculations!O$1,'2018_commission_structure'!$A$11:$I$11,0))</f>
        <v>70467.41</v>
      </c>
      <c r="P672" s="7">
        <f>IF($H672&gt;I672,MIN($H672-I672,J672-I672)*INDEX('2018_commission_structure'!$A$11:$I$14,MATCH(Calculations!$E672,'2018_commission_structure'!$A$11:$A$14,0), MATCH(Calculations!P$1,'2018_commission_structure'!$A$11:$I$11,0)),0)</f>
        <v>0</v>
      </c>
      <c r="Q672" s="7">
        <f>IF($H672&gt;J672,MIN($H672-J672,K672-J672)*INDEX('2018_commission_structure'!$A$11:$I$14,MATCH(Calculations!$E672,'2018_commission_structure'!$A$11:$A$14,0), MATCH(Calculations!Q$1,'2018_commission_structure'!$A$11:$I$11,0)),0)</f>
        <v>0</v>
      </c>
      <c r="R672" s="7">
        <f>IF($H672&gt;K672,MIN($H672-K672,L672-K672)*INDEX('2018_commission_structure'!$A$11:$I$14,MATCH(Calculations!$E672,'2018_commission_structure'!$A$11:$A$14,0), MATCH(Calculations!R$1,'2018_commission_structure'!$A$11:$I$11,0)),0)</f>
        <v>0</v>
      </c>
      <c r="S672" s="7">
        <f>IF(H672&gt;L672,(H672-L672)*INDEX('2018_commission_structure'!$A$11:$I$14,MATCH(Calculations!$E672,'2018_commission_structure'!$A$11:$A$14,0),MATCH(Calculations!S$1,'2018_commission_structure'!$A$11:$I$11,0)),0)</f>
        <v>0</v>
      </c>
      <c r="T672" s="7">
        <f t="shared" si="95"/>
        <v>70467.41</v>
      </c>
      <c r="U672" s="7">
        <f t="shared" si="96"/>
        <v>142153.41</v>
      </c>
      <c r="V672" s="7">
        <f>MIN(H672,I672)*INDEX('2018_commission_structure'!$A$5:$J$8,MATCH(Calculations!$E672,'2018_commission_structure'!$A$5:$A$8,0),MATCH(Calculations!V$1,'2018_commission_structure'!$A$5:$J$5,0))</f>
        <v>81308.55</v>
      </c>
      <c r="W672" s="2">
        <f>IF($H672&gt;I672,MIN($H672-I672,J672-I672)*INDEX('2018_commission_structure'!$A$5:$J$8,MATCH(Calculations!$E672,'2018_commission_structure'!$A$5:$A$8,0),MATCH(Calculations!W$1,'2018_commission_structure'!$A$5:$J$5,0)),0)</f>
        <v>0</v>
      </c>
      <c r="X672" s="2">
        <f>IF($H672&gt;J672,MIN($H672-J672,K672-J672)*INDEX('2018_commission_structure'!$A$5:$J$8,MATCH(Calculations!$E672,'2018_commission_structure'!$A$5:$A$8,0),MATCH(Calculations!X$1,'2018_commission_structure'!$A$5:$J$5,0)),0)</f>
        <v>0</v>
      </c>
      <c r="Y672" s="2">
        <f>IF($H672&gt;K672,MIN($H672-K672,L672-K672)*INDEX('2018_commission_structure'!$A$5:$J$8,MATCH(Calculations!$E672,'2018_commission_structure'!$A$5:$A$8,0),MATCH(Calculations!Y$1,'2018_commission_structure'!$A$5:$J$5,0)),0)</f>
        <v>0</v>
      </c>
      <c r="Z672" s="2">
        <f xml:space="preserve"> IF(H672&gt;L672,(H672-L672)*INDEX('2018_commission_structure'!$A$11:$I$14,MATCH(Calculations!$E672,'2018_commission_structure'!$A$11:$A$14,0),MATCH(Calculations!Z$1,'2018_commission_structure'!$A$11:$I$11,0)),0)</f>
        <v>0</v>
      </c>
      <c r="AA672" s="7">
        <f t="shared" si="97"/>
        <v>81308.55</v>
      </c>
      <c r="AB672" s="7">
        <f t="shared" si="98"/>
        <v>152994.54999999999</v>
      </c>
    </row>
    <row r="673" spans="1:28" x14ac:dyDescent="0.25">
      <c r="A673">
        <v>8346855079</v>
      </c>
      <c r="B673" t="s">
        <v>123</v>
      </c>
      <c r="C673" t="s">
        <v>124</v>
      </c>
      <c r="D673" t="str">
        <f>B673&amp;" "&amp;C673</f>
        <v>Georgiana Nutten</v>
      </c>
      <c r="E673" t="s">
        <v>7</v>
      </c>
      <c r="F673">
        <v>37411</v>
      </c>
      <c r="G673">
        <f>COUNTIF(deals_closed!D:D,Calculations!A673)</f>
        <v>23</v>
      </c>
      <c r="H673" s="2">
        <f>SUMIF(deals_closed!D:D,Calculations!A673,deals_closed!C:C)</f>
        <v>644872</v>
      </c>
      <c r="I673" s="2">
        <f>VLOOKUP(E673,'2018_commission_structure'!$A$11:$I$14,9,FALSE)</f>
        <v>500000</v>
      </c>
      <c r="J673" s="2">
        <f t="shared" si="90"/>
        <v>625000</v>
      </c>
      <c r="K673" s="2">
        <f t="shared" si="91"/>
        <v>750000</v>
      </c>
      <c r="L673" s="2">
        <f t="shared" si="92"/>
        <v>1000000</v>
      </c>
      <c r="M673" s="6">
        <f t="shared" si="93"/>
        <v>1.289744</v>
      </c>
      <c r="N673" t="str">
        <f t="shared" si="94"/>
        <v>125-150%</v>
      </c>
      <c r="O673" s="7">
        <f>MIN(I673,H673)*INDEX('2018_commission_structure'!$A$11:$I$14,MATCH(Calculations!$E673,'2018_commission_structure'!$A$11:$A$14,0),MATCH(Calculations!O$1,'2018_commission_structure'!$A$11:$I$11,0))</f>
        <v>50000</v>
      </c>
      <c r="P673" s="7">
        <f>IF($H673&gt;I673,MIN($H673-I673,J673-I673)*INDEX('2018_commission_structure'!$A$11:$I$14,MATCH(Calculations!$E673,'2018_commission_structure'!$A$11:$A$14,0), MATCH(Calculations!P$1,'2018_commission_structure'!$A$11:$I$11,0)),0)</f>
        <v>18750</v>
      </c>
      <c r="Q673" s="7">
        <f>IF($H673&gt;J673,MIN($H673-J673,K673-J673)*INDEX('2018_commission_structure'!$A$11:$I$14,MATCH(Calculations!$E673,'2018_commission_structure'!$A$11:$A$14,0), MATCH(Calculations!Q$1,'2018_commission_structure'!$A$11:$I$11,0)),0)</f>
        <v>3576.96</v>
      </c>
      <c r="R673" s="7">
        <f>IF($H673&gt;K673,MIN($H673-K673,L673-K673)*INDEX('2018_commission_structure'!$A$11:$I$14,MATCH(Calculations!$E673,'2018_commission_structure'!$A$11:$A$14,0), MATCH(Calculations!R$1,'2018_commission_structure'!$A$11:$I$11,0)),0)</f>
        <v>0</v>
      </c>
      <c r="S673" s="7">
        <f>IF(H673&gt;L673,(H673-L673)*INDEX('2018_commission_structure'!$A$11:$I$14,MATCH(Calculations!$E673,'2018_commission_structure'!$A$11:$A$14,0),MATCH(Calculations!S$1,'2018_commission_structure'!$A$11:$I$11,0)),0)</f>
        <v>0</v>
      </c>
      <c r="T673" s="7">
        <f t="shared" si="95"/>
        <v>72326.960000000006</v>
      </c>
      <c r="U673" s="7">
        <f t="shared" si="96"/>
        <v>109737.96</v>
      </c>
      <c r="V673" s="7">
        <f>MIN(H673,I673)*INDEX('2018_commission_structure'!$A$5:$J$8,MATCH(Calculations!$E673,'2018_commission_structure'!$A$5:$A$8,0),MATCH(Calculations!V$1,'2018_commission_structure'!$A$5:$J$5,0))</f>
        <v>60000</v>
      </c>
      <c r="W673" s="2">
        <f>IF($H673&gt;I673,MIN($H673-I673,J673-I673)*INDEX('2018_commission_structure'!$A$5:$J$8,MATCH(Calculations!$E673,'2018_commission_structure'!$A$5:$A$8,0),MATCH(Calculations!W$1,'2018_commission_structure'!$A$5:$J$5,0)),0)</f>
        <v>21250</v>
      </c>
      <c r="X673" s="2">
        <f>IF($H673&gt;J673,MIN($H673-J673,K673-J673)*INDEX('2018_commission_structure'!$A$5:$J$8,MATCH(Calculations!$E673,'2018_commission_structure'!$A$5:$A$8,0),MATCH(Calculations!X$1,'2018_commission_structure'!$A$5:$J$5,0)),0)</f>
        <v>3974.4</v>
      </c>
      <c r="Y673" s="2">
        <f>IF($H673&gt;K673,MIN($H673-K673,L673-K673)*INDEX('2018_commission_structure'!$A$5:$J$8,MATCH(Calculations!$E673,'2018_commission_structure'!$A$5:$A$8,0),MATCH(Calculations!Y$1,'2018_commission_structure'!$A$5:$J$5,0)),0)</f>
        <v>0</v>
      </c>
      <c r="Z673" s="2">
        <f xml:space="preserve"> IF(H673&gt;L673,(H673-L673)*INDEX('2018_commission_structure'!$A$11:$I$14,MATCH(Calculations!$E673,'2018_commission_structure'!$A$11:$A$14,0),MATCH(Calculations!Z$1,'2018_commission_structure'!$A$11:$I$11,0)),0)</f>
        <v>0</v>
      </c>
      <c r="AA673" s="7">
        <f t="shared" si="97"/>
        <v>85224.4</v>
      </c>
      <c r="AB673" s="7">
        <f t="shared" si="98"/>
        <v>122635.4</v>
      </c>
    </row>
    <row r="674" spans="1:28" x14ac:dyDescent="0.25">
      <c r="A674">
        <v>1155371844</v>
      </c>
      <c r="B674" t="s">
        <v>632</v>
      </c>
      <c r="C674" t="s">
        <v>633</v>
      </c>
      <c r="D674" t="str">
        <f>B674&amp;" "&amp;C674</f>
        <v>Deloris Nuzzti</v>
      </c>
      <c r="E674" t="s">
        <v>29</v>
      </c>
      <c r="F674">
        <v>55343</v>
      </c>
      <c r="G674">
        <f>COUNTIF(deals_closed!D:D,Calculations!A674)</f>
        <v>24</v>
      </c>
      <c r="H674" s="2">
        <f>SUMIF(deals_closed!D:D,Calculations!A674,deals_closed!C:C)</f>
        <v>772322</v>
      </c>
      <c r="I674" s="2">
        <f>VLOOKUP(E674,'2018_commission_structure'!$A$11:$I$14,9,FALSE)</f>
        <v>600000</v>
      </c>
      <c r="J674" s="2">
        <f t="shared" si="90"/>
        <v>750000</v>
      </c>
      <c r="K674" s="2">
        <f t="shared" si="91"/>
        <v>900000</v>
      </c>
      <c r="L674" s="2">
        <f t="shared" si="92"/>
        <v>1200000</v>
      </c>
      <c r="M674" s="6">
        <f t="shared" si="93"/>
        <v>1.2872033333333333</v>
      </c>
      <c r="N674" t="str">
        <f t="shared" si="94"/>
        <v>125-150%</v>
      </c>
      <c r="O674" s="7">
        <f>MIN(I674,H674)*INDEX('2018_commission_structure'!$A$11:$I$14,MATCH(Calculations!$E674,'2018_commission_structure'!$A$11:$A$14,0),MATCH(Calculations!O$1,'2018_commission_structure'!$A$11:$I$11,0))</f>
        <v>78000</v>
      </c>
      <c r="P674" s="7">
        <f>IF($H674&gt;I674,MIN($H674-I674,J674-I674)*INDEX('2018_commission_structure'!$A$11:$I$14,MATCH(Calculations!$E674,'2018_commission_structure'!$A$11:$A$14,0), MATCH(Calculations!P$1,'2018_commission_structure'!$A$11:$I$11,0)),0)</f>
        <v>25500.000000000004</v>
      </c>
      <c r="Q674" s="7">
        <f>IF($H674&gt;J674,MIN($H674-J674,K674-J674)*INDEX('2018_commission_structure'!$A$11:$I$14,MATCH(Calculations!$E674,'2018_commission_structure'!$A$11:$A$14,0), MATCH(Calculations!Q$1,'2018_commission_structure'!$A$11:$I$11,0)),0)</f>
        <v>4687.62</v>
      </c>
      <c r="R674" s="7">
        <f>IF($H674&gt;K674,MIN($H674-K674,L674-K674)*INDEX('2018_commission_structure'!$A$11:$I$14,MATCH(Calculations!$E674,'2018_commission_structure'!$A$11:$A$14,0), MATCH(Calculations!R$1,'2018_commission_structure'!$A$11:$I$11,0)),0)</f>
        <v>0</v>
      </c>
      <c r="S674" s="7">
        <f>IF(H674&gt;L674,(H674-L674)*INDEX('2018_commission_structure'!$A$11:$I$14,MATCH(Calculations!$E674,'2018_commission_structure'!$A$11:$A$14,0),MATCH(Calculations!S$1,'2018_commission_structure'!$A$11:$I$11,0)),0)</f>
        <v>0</v>
      </c>
      <c r="T674" s="7">
        <f t="shared" si="95"/>
        <v>108187.62</v>
      </c>
      <c r="U674" s="7">
        <f t="shared" si="96"/>
        <v>163530.62</v>
      </c>
      <c r="V674" s="7">
        <f>MIN(H674,I674)*INDEX('2018_commission_structure'!$A$5:$J$8,MATCH(Calculations!$E674,'2018_commission_structure'!$A$5:$A$8,0),MATCH(Calculations!V$1,'2018_commission_structure'!$A$5:$J$5,0))</f>
        <v>90000</v>
      </c>
      <c r="W674" s="2">
        <f>IF($H674&gt;I674,MIN($H674-I674,J674-I674)*INDEX('2018_commission_structure'!$A$5:$J$8,MATCH(Calculations!$E674,'2018_commission_structure'!$A$5:$A$8,0),MATCH(Calculations!W$1,'2018_commission_structure'!$A$5:$J$5,0)),0)</f>
        <v>27000</v>
      </c>
      <c r="X674" s="2">
        <f>IF($H674&gt;J674,MIN($H674-J674,K674-J674)*INDEX('2018_commission_structure'!$A$5:$J$8,MATCH(Calculations!$E674,'2018_commission_structure'!$A$5:$A$8,0),MATCH(Calculations!X$1,'2018_commission_structure'!$A$5:$J$5,0)),0)</f>
        <v>5580.5</v>
      </c>
      <c r="Y674" s="2">
        <f>IF($H674&gt;K674,MIN($H674-K674,L674-K674)*INDEX('2018_commission_structure'!$A$5:$J$8,MATCH(Calculations!$E674,'2018_commission_structure'!$A$5:$A$8,0),MATCH(Calculations!Y$1,'2018_commission_structure'!$A$5:$J$5,0)),0)</f>
        <v>0</v>
      </c>
      <c r="Z674" s="2">
        <f xml:space="preserve"> IF(H674&gt;L674,(H674-L674)*INDEX('2018_commission_structure'!$A$11:$I$14,MATCH(Calculations!$E674,'2018_commission_structure'!$A$11:$A$14,0),MATCH(Calculations!Z$1,'2018_commission_structure'!$A$11:$I$11,0)),0)</f>
        <v>0</v>
      </c>
      <c r="AA674" s="7">
        <f t="shared" si="97"/>
        <v>122580.5</v>
      </c>
      <c r="AB674" s="7">
        <f t="shared" si="98"/>
        <v>177923.5</v>
      </c>
    </row>
    <row r="675" spans="1:28" x14ac:dyDescent="0.25">
      <c r="A675">
        <v>9590888275</v>
      </c>
      <c r="B675" t="s">
        <v>1710</v>
      </c>
      <c r="C675" t="s">
        <v>1711</v>
      </c>
      <c r="D675" t="str">
        <f>B675&amp;" "&amp;C675</f>
        <v>Hoyt O' Loughran</v>
      </c>
      <c r="E675" t="s">
        <v>29</v>
      </c>
      <c r="F675">
        <v>53899</v>
      </c>
      <c r="G675">
        <f>COUNTIF(deals_closed!D:D,Calculations!A675)</f>
        <v>18</v>
      </c>
      <c r="H675" s="2">
        <f>SUMIF(deals_closed!D:D,Calculations!A675,deals_closed!C:C)</f>
        <v>701835</v>
      </c>
      <c r="I675" s="2">
        <f>VLOOKUP(E675,'2018_commission_structure'!$A$11:$I$14,9,FALSE)</f>
        <v>600000</v>
      </c>
      <c r="J675" s="2">
        <f t="shared" si="90"/>
        <v>750000</v>
      </c>
      <c r="K675" s="2">
        <f t="shared" si="91"/>
        <v>900000</v>
      </c>
      <c r="L675" s="2">
        <f t="shared" si="92"/>
        <v>1200000</v>
      </c>
      <c r="M675" s="6">
        <f t="shared" si="93"/>
        <v>1.1697249999999999</v>
      </c>
      <c r="N675" t="str">
        <f t="shared" si="94"/>
        <v>100-125%</v>
      </c>
      <c r="O675" s="7">
        <f>MIN(I675,H675)*INDEX('2018_commission_structure'!$A$11:$I$14,MATCH(Calculations!$E675,'2018_commission_structure'!$A$11:$A$14,0),MATCH(Calculations!O$1,'2018_commission_structure'!$A$11:$I$11,0))</f>
        <v>78000</v>
      </c>
      <c r="P675" s="7">
        <f>IF($H675&gt;I675,MIN($H675-I675,J675-I675)*INDEX('2018_commission_structure'!$A$11:$I$14,MATCH(Calculations!$E675,'2018_commission_structure'!$A$11:$A$14,0), MATCH(Calculations!P$1,'2018_commission_structure'!$A$11:$I$11,0)),0)</f>
        <v>17311.95</v>
      </c>
      <c r="Q675" s="7">
        <f>IF($H675&gt;J675,MIN($H675-J675,K675-J675)*INDEX('2018_commission_structure'!$A$11:$I$14,MATCH(Calculations!$E675,'2018_commission_structure'!$A$11:$A$14,0), MATCH(Calculations!Q$1,'2018_commission_structure'!$A$11:$I$11,0)),0)</f>
        <v>0</v>
      </c>
      <c r="R675" s="7">
        <f>IF($H675&gt;K675,MIN($H675-K675,L675-K675)*INDEX('2018_commission_structure'!$A$11:$I$14,MATCH(Calculations!$E675,'2018_commission_structure'!$A$11:$A$14,0), MATCH(Calculations!R$1,'2018_commission_structure'!$A$11:$I$11,0)),0)</f>
        <v>0</v>
      </c>
      <c r="S675" s="7">
        <f>IF(H675&gt;L675,(H675-L675)*INDEX('2018_commission_structure'!$A$11:$I$14,MATCH(Calculations!$E675,'2018_commission_structure'!$A$11:$A$14,0),MATCH(Calculations!S$1,'2018_commission_structure'!$A$11:$I$11,0)),0)</f>
        <v>0</v>
      </c>
      <c r="T675" s="7">
        <f t="shared" si="95"/>
        <v>95311.95</v>
      </c>
      <c r="U675" s="7">
        <f t="shared" si="96"/>
        <v>149210.95000000001</v>
      </c>
      <c r="V675" s="7">
        <f>MIN(H675,I675)*INDEX('2018_commission_structure'!$A$5:$J$8,MATCH(Calculations!$E675,'2018_commission_structure'!$A$5:$A$8,0),MATCH(Calculations!V$1,'2018_commission_structure'!$A$5:$J$5,0))</f>
        <v>90000</v>
      </c>
      <c r="W675" s="2">
        <f>IF($H675&gt;I675,MIN($H675-I675,J675-I675)*INDEX('2018_commission_structure'!$A$5:$J$8,MATCH(Calculations!$E675,'2018_commission_structure'!$A$5:$A$8,0),MATCH(Calculations!W$1,'2018_commission_structure'!$A$5:$J$5,0)),0)</f>
        <v>18330.3</v>
      </c>
      <c r="X675" s="2">
        <f>IF($H675&gt;J675,MIN($H675-J675,K675-J675)*INDEX('2018_commission_structure'!$A$5:$J$8,MATCH(Calculations!$E675,'2018_commission_structure'!$A$5:$A$8,0),MATCH(Calculations!X$1,'2018_commission_structure'!$A$5:$J$5,0)),0)</f>
        <v>0</v>
      </c>
      <c r="Y675" s="2">
        <f>IF($H675&gt;K675,MIN($H675-K675,L675-K675)*INDEX('2018_commission_structure'!$A$5:$J$8,MATCH(Calculations!$E675,'2018_commission_structure'!$A$5:$A$8,0),MATCH(Calculations!Y$1,'2018_commission_structure'!$A$5:$J$5,0)),0)</f>
        <v>0</v>
      </c>
      <c r="Z675" s="2">
        <f xml:space="preserve"> IF(H675&gt;L675,(H675-L675)*INDEX('2018_commission_structure'!$A$11:$I$14,MATCH(Calculations!$E675,'2018_commission_structure'!$A$11:$A$14,0),MATCH(Calculations!Z$1,'2018_commission_structure'!$A$11:$I$11,0)),0)</f>
        <v>0</v>
      </c>
      <c r="AA675" s="7">
        <f t="shared" si="97"/>
        <v>108330.3</v>
      </c>
      <c r="AB675" s="7">
        <f t="shared" si="98"/>
        <v>162229.29999999999</v>
      </c>
    </row>
    <row r="676" spans="1:28" x14ac:dyDescent="0.25">
      <c r="A676">
        <v>5629875752</v>
      </c>
      <c r="B676" t="s">
        <v>972</v>
      </c>
      <c r="C676" t="s">
        <v>973</v>
      </c>
      <c r="D676" t="str">
        <f>B676&amp;" "&amp;C676</f>
        <v>Joane O' Mulderrig</v>
      </c>
      <c r="E676" t="s">
        <v>10</v>
      </c>
      <c r="F676">
        <v>107750</v>
      </c>
      <c r="G676">
        <f>COUNTIF(deals_closed!D:D,Calculations!A676)</f>
        <v>17</v>
      </c>
      <c r="H676" s="2">
        <f>SUMIF(deals_closed!D:D,Calculations!A676,deals_closed!C:C)</f>
        <v>586374</v>
      </c>
      <c r="I676" s="2">
        <f>VLOOKUP(E676,'2018_commission_structure'!$A$11:$I$14,9,FALSE)</f>
        <v>750000</v>
      </c>
      <c r="J676" s="2">
        <f t="shared" si="90"/>
        <v>937500</v>
      </c>
      <c r="K676" s="2">
        <f t="shared" si="91"/>
        <v>1125000</v>
      </c>
      <c r="L676" s="2">
        <f t="shared" si="92"/>
        <v>1500000</v>
      </c>
      <c r="M676" s="6">
        <f t="shared" si="93"/>
        <v>0.78183199999999997</v>
      </c>
      <c r="N676" t="str">
        <f t="shared" si="94"/>
        <v>0-100%</v>
      </c>
      <c r="O676" s="7">
        <f>MIN(I676,H676)*INDEX('2018_commission_structure'!$A$11:$I$14,MATCH(Calculations!$E676,'2018_commission_structure'!$A$11:$A$14,0),MATCH(Calculations!O$1,'2018_commission_structure'!$A$11:$I$11,0))</f>
        <v>87956.099999999991</v>
      </c>
      <c r="P676" s="7">
        <f>IF($H676&gt;I676,MIN($H676-I676,J676-I676)*INDEX('2018_commission_structure'!$A$11:$I$14,MATCH(Calculations!$E676,'2018_commission_structure'!$A$11:$A$14,0), MATCH(Calculations!P$1,'2018_commission_structure'!$A$11:$I$11,0)),0)</f>
        <v>0</v>
      </c>
      <c r="Q676" s="7">
        <f>IF($H676&gt;J676,MIN($H676-J676,K676-J676)*INDEX('2018_commission_structure'!$A$11:$I$14,MATCH(Calculations!$E676,'2018_commission_structure'!$A$11:$A$14,0), MATCH(Calculations!Q$1,'2018_commission_structure'!$A$11:$I$11,0)),0)</f>
        <v>0</v>
      </c>
      <c r="R676" s="7">
        <f>IF($H676&gt;K676,MIN($H676-K676,L676-K676)*INDEX('2018_commission_structure'!$A$11:$I$14,MATCH(Calculations!$E676,'2018_commission_structure'!$A$11:$A$14,0), MATCH(Calculations!R$1,'2018_commission_structure'!$A$11:$I$11,0)),0)</f>
        <v>0</v>
      </c>
      <c r="S676" s="7">
        <f>IF(H676&gt;L676,(H676-L676)*INDEX('2018_commission_structure'!$A$11:$I$14,MATCH(Calculations!$E676,'2018_commission_structure'!$A$11:$A$14,0),MATCH(Calculations!S$1,'2018_commission_structure'!$A$11:$I$11,0)),0)</f>
        <v>0</v>
      </c>
      <c r="T676" s="7">
        <f t="shared" si="95"/>
        <v>87956.099999999991</v>
      </c>
      <c r="U676" s="7">
        <f t="shared" si="96"/>
        <v>195706.09999999998</v>
      </c>
      <c r="V676" s="7">
        <f>MIN(H676,I676)*INDEX('2018_commission_structure'!$A$5:$J$8,MATCH(Calculations!$E676,'2018_commission_structure'!$A$5:$A$8,0),MATCH(Calculations!V$1,'2018_commission_structure'!$A$5:$J$5,0))</f>
        <v>87956.099999999991</v>
      </c>
      <c r="W676" s="2">
        <f>IF($H676&gt;I676,MIN($H676-I676,J676-I676)*INDEX('2018_commission_structure'!$A$5:$J$8,MATCH(Calculations!$E676,'2018_commission_structure'!$A$5:$A$8,0),MATCH(Calculations!W$1,'2018_commission_structure'!$A$5:$J$5,0)),0)</f>
        <v>0</v>
      </c>
      <c r="X676" s="2">
        <f>IF($H676&gt;J676,MIN($H676-J676,K676-J676)*INDEX('2018_commission_structure'!$A$5:$J$8,MATCH(Calculations!$E676,'2018_commission_structure'!$A$5:$A$8,0),MATCH(Calculations!X$1,'2018_commission_structure'!$A$5:$J$5,0)),0)</f>
        <v>0</v>
      </c>
      <c r="Y676" s="2">
        <f>IF($H676&gt;K676,MIN($H676-K676,L676-K676)*INDEX('2018_commission_structure'!$A$5:$J$8,MATCH(Calculations!$E676,'2018_commission_structure'!$A$5:$A$8,0),MATCH(Calculations!Y$1,'2018_commission_structure'!$A$5:$J$5,0)),0)</f>
        <v>0</v>
      </c>
      <c r="Z676" s="2">
        <f xml:space="preserve"> IF(H676&gt;L676,(H676-L676)*INDEX('2018_commission_structure'!$A$11:$I$14,MATCH(Calculations!$E676,'2018_commission_structure'!$A$11:$A$14,0),MATCH(Calculations!Z$1,'2018_commission_structure'!$A$11:$I$11,0)),0)</f>
        <v>0</v>
      </c>
      <c r="AA676" s="7">
        <f t="shared" si="97"/>
        <v>87956.099999999991</v>
      </c>
      <c r="AB676" s="7">
        <f t="shared" si="98"/>
        <v>195706.09999999998</v>
      </c>
    </row>
    <row r="677" spans="1:28" x14ac:dyDescent="0.25">
      <c r="A677">
        <v>6364724701</v>
      </c>
      <c r="B677" t="s">
        <v>486</v>
      </c>
      <c r="C677" t="s">
        <v>487</v>
      </c>
      <c r="D677" t="str">
        <f>B677&amp;" "&amp;C677</f>
        <v>Petronella O' Ronan</v>
      </c>
      <c r="E677" t="s">
        <v>7</v>
      </c>
      <c r="F677">
        <v>30640</v>
      </c>
      <c r="G677">
        <f>COUNTIF(deals_closed!D:D,Calculations!A677)</f>
        <v>18</v>
      </c>
      <c r="H677" s="2">
        <f>SUMIF(deals_closed!D:D,Calculations!A677,deals_closed!C:C)</f>
        <v>615212</v>
      </c>
      <c r="I677" s="2">
        <f>VLOOKUP(E677,'2018_commission_structure'!$A$11:$I$14,9,FALSE)</f>
        <v>500000</v>
      </c>
      <c r="J677" s="2">
        <f t="shared" si="90"/>
        <v>625000</v>
      </c>
      <c r="K677" s="2">
        <f t="shared" si="91"/>
        <v>750000</v>
      </c>
      <c r="L677" s="2">
        <f t="shared" si="92"/>
        <v>1000000</v>
      </c>
      <c r="M677" s="6">
        <f t="shared" si="93"/>
        <v>1.230424</v>
      </c>
      <c r="N677" t="str">
        <f t="shared" si="94"/>
        <v>100-125%</v>
      </c>
      <c r="O677" s="7">
        <f>MIN(I677,H677)*INDEX('2018_commission_structure'!$A$11:$I$14,MATCH(Calculations!$E677,'2018_commission_structure'!$A$11:$A$14,0),MATCH(Calculations!O$1,'2018_commission_structure'!$A$11:$I$11,0))</f>
        <v>50000</v>
      </c>
      <c r="P677" s="7">
        <f>IF($H677&gt;I677,MIN($H677-I677,J677-I677)*INDEX('2018_commission_structure'!$A$11:$I$14,MATCH(Calculations!$E677,'2018_commission_structure'!$A$11:$A$14,0), MATCH(Calculations!P$1,'2018_commission_structure'!$A$11:$I$11,0)),0)</f>
        <v>17281.8</v>
      </c>
      <c r="Q677" s="7">
        <f>IF($H677&gt;J677,MIN($H677-J677,K677-J677)*INDEX('2018_commission_structure'!$A$11:$I$14,MATCH(Calculations!$E677,'2018_commission_structure'!$A$11:$A$14,0), MATCH(Calculations!Q$1,'2018_commission_structure'!$A$11:$I$11,0)),0)</f>
        <v>0</v>
      </c>
      <c r="R677" s="7">
        <f>IF($H677&gt;K677,MIN($H677-K677,L677-K677)*INDEX('2018_commission_structure'!$A$11:$I$14,MATCH(Calculations!$E677,'2018_commission_structure'!$A$11:$A$14,0), MATCH(Calculations!R$1,'2018_commission_structure'!$A$11:$I$11,0)),0)</f>
        <v>0</v>
      </c>
      <c r="S677" s="7">
        <f>IF(H677&gt;L677,(H677-L677)*INDEX('2018_commission_structure'!$A$11:$I$14,MATCH(Calculations!$E677,'2018_commission_structure'!$A$11:$A$14,0),MATCH(Calculations!S$1,'2018_commission_structure'!$A$11:$I$11,0)),0)</f>
        <v>0</v>
      </c>
      <c r="T677" s="7">
        <f t="shared" si="95"/>
        <v>67281.8</v>
      </c>
      <c r="U677" s="7">
        <f t="shared" si="96"/>
        <v>97921.8</v>
      </c>
      <c r="V677" s="7">
        <f>MIN(H677,I677)*INDEX('2018_commission_structure'!$A$5:$J$8,MATCH(Calculations!$E677,'2018_commission_structure'!$A$5:$A$8,0),MATCH(Calculations!V$1,'2018_commission_structure'!$A$5:$J$5,0))</f>
        <v>60000</v>
      </c>
      <c r="W677" s="2">
        <f>IF($H677&gt;I677,MIN($H677-I677,J677-I677)*INDEX('2018_commission_structure'!$A$5:$J$8,MATCH(Calculations!$E677,'2018_commission_structure'!$A$5:$A$8,0),MATCH(Calculations!W$1,'2018_commission_structure'!$A$5:$J$5,0)),0)</f>
        <v>19586.04</v>
      </c>
      <c r="X677" s="2">
        <f>IF($H677&gt;J677,MIN($H677-J677,K677-J677)*INDEX('2018_commission_structure'!$A$5:$J$8,MATCH(Calculations!$E677,'2018_commission_structure'!$A$5:$A$8,0),MATCH(Calculations!X$1,'2018_commission_structure'!$A$5:$J$5,0)),0)</f>
        <v>0</v>
      </c>
      <c r="Y677" s="2">
        <f>IF($H677&gt;K677,MIN($H677-K677,L677-K677)*INDEX('2018_commission_structure'!$A$5:$J$8,MATCH(Calculations!$E677,'2018_commission_structure'!$A$5:$A$8,0),MATCH(Calculations!Y$1,'2018_commission_structure'!$A$5:$J$5,0)),0)</f>
        <v>0</v>
      </c>
      <c r="Z677" s="2">
        <f xml:space="preserve"> IF(H677&gt;L677,(H677-L677)*INDEX('2018_commission_structure'!$A$11:$I$14,MATCH(Calculations!$E677,'2018_commission_structure'!$A$11:$A$14,0),MATCH(Calculations!Z$1,'2018_commission_structure'!$A$11:$I$11,0)),0)</f>
        <v>0</v>
      </c>
      <c r="AA677" s="7">
        <f t="shared" si="97"/>
        <v>79586.040000000008</v>
      </c>
      <c r="AB677" s="7">
        <f t="shared" si="98"/>
        <v>110226.04000000001</v>
      </c>
    </row>
    <row r="678" spans="1:28" x14ac:dyDescent="0.25">
      <c r="A678">
        <v>6637560367</v>
      </c>
      <c r="B678" t="s">
        <v>670</v>
      </c>
      <c r="C678" t="s">
        <v>1024</v>
      </c>
      <c r="D678" t="str">
        <f>B678&amp;" "&amp;C678</f>
        <v>Jermayne O'Grady</v>
      </c>
      <c r="E678" t="s">
        <v>7</v>
      </c>
      <c r="F678">
        <v>56008</v>
      </c>
      <c r="G678">
        <f>COUNTIF(deals_closed!D:D,Calculations!A678)</f>
        <v>20</v>
      </c>
      <c r="H678" s="2">
        <f>SUMIF(deals_closed!D:D,Calculations!A678,deals_closed!C:C)</f>
        <v>665204</v>
      </c>
      <c r="I678" s="2">
        <f>VLOOKUP(E678,'2018_commission_structure'!$A$11:$I$14,9,FALSE)</f>
        <v>500000</v>
      </c>
      <c r="J678" s="2">
        <f t="shared" si="90"/>
        <v>625000</v>
      </c>
      <c r="K678" s="2">
        <f t="shared" si="91"/>
        <v>750000</v>
      </c>
      <c r="L678" s="2">
        <f t="shared" si="92"/>
        <v>1000000</v>
      </c>
      <c r="M678" s="6">
        <f t="shared" si="93"/>
        <v>1.330408</v>
      </c>
      <c r="N678" t="str">
        <f t="shared" si="94"/>
        <v>125-150%</v>
      </c>
      <c r="O678" s="7">
        <f>MIN(I678,H678)*INDEX('2018_commission_structure'!$A$11:$I$14,MATCH(Calculations!$E678,'2018_commission_structure'!$A$11:$A$14,0),MATCH(Calculations!O$1,'2018_commission_structure'!$A$11:$I$11,0))</f>
        <v>50000</v>
      </c>
      <c r="P678" s="7">
        <f>IF($H678&gt;I678,MIN($H678-I678,J678-I678)*INDEX('2018_commission_structure'!$A$11:$I$14,MATCH(Calculations!$E678,'2018_commission_structure'!$A$11:$A$14,0), MATCH(Calculations!P$1,'2018_commission_structure'!$A$11:$I$11,0)),0)</f>
        <v>18750</v>
      </c>
      <c r="Q678" s="7">
        <f>IF($H678&gt;J678,MIN($H678-J678,K678-J678)*INDEX('2018_commission_structure'!$A$11:$I$14,MATCH(Calculations!$E678,'2018_commission_structure'!$A$11:$A$14,0), MATCH(Calculations!Q$1,'2018_commission_structure'!$A$11:$I$11,0)),0)</f>
        <v>7236.7199999999993</v>
      </c>
      <c r="R678" s="7">
        <f>IF($H678&gt;K678,MIN($H678-K678,L678-K678)*INDEX('2018_commission_structure'!$A$11:$I$14,MATCH(Calculations!$E678,'2018_commission_structure'!$A$11:$A$14,0), MATCH(Calculations!R$1,'2018_commission_structure'!$A$11:$I$11,0)),0)</f>
        <v>0</v>
      </c>
      <c r="S678" s="7">
        <f>IF(H678&gt;L678,(H678-L678)*INDEX('2018_commission_structure'!$A$11:$I$14,MATCH(Calculations!$E678,'2018_commission_structure'!$A$11:$A$14,0),MATCH(Calculations!S$1,'2018_commission_structure'!$A$11:$I$11,0)),0)</f>
        <v>0</v>
      </c>
      <c r="T678" s="7">
        <f t="shared" si="95"/>
        <v>75986.720000000001</v>
      </c>
      <c r="U678" s="7">
        <f t="shared" si="96"/>
        <v>131994.72</v>
      </c>
      <c r="V678" s="7">
        <f>MIN(H678,I678)*INDEX('2018_commission_structure'!$A$5:$J$8,MATCH(Calculations!$E678,'2018_commission_structure'!$A$5:$A$8,0),MATCH(Calculations!V$1,'2018_commission_structure'!$A$5:$J$5,0))</f>
        <v>60000</v>
      </c>
      <c r="W678" s="2">
        <f>IF($H678&gt;I678,MIN($H678-I678,J678-I678)*INDEX('2018_commission_structure'!$A$5:$J$8,MATCH(Calculations!$E678,'2018_commission_structure'!$A$5:$A$8,0),MATCH(Calculations!W$1,'2018_commission_structure'!$A$5:$J$5,0)),0)</f>
        <v>21250</v>
      </c>
      <c r="X678" s="2">
        <f>IF($H678&gt;J678,MIN($H678-J678,K678-J678)*INDEX('2018_commission_structure'!$A$5:$J$8,MATCH(Calculations!$E678,'2018_commission_structure'!$A$5:$A$8,0),MATCH(Calculations!X$1,'2018_commission_structure'!$A$5:$J$5,0)),0)</f>
        <v>8040.8</v>
      </c>
      <c r="Y678" s="2">
        <f>IF($H678&gt;K678,MIN($H678-K678,L678-K678)*INDEX('2018_commission_structure'!$A$5:$J$8,MATCH(Calculations!$E678,'2018_commission_structure'!$A$5:$A$8,0),MATCH(Calculations!Y$1,'2018_commission_structure'!$A$5:$J$5,0)),0)</f>
        <v>0</v>
      </c>
      <c r="Z678" s="2">
        <f xml:space="preserve"> IF(H678&gt;L678,(H678-L678)*INDEX('2018_commission_structure'!$A$11:$I$14,MATCH(Calculations!$E678,'2018_commission_structure'!$A$11:$A$14,0),MATCH(Calculations!Z$1,'2018_commission_structure'!$A$11:$I$11,0)),0)</f>
        <v>0</v>
      </c>
      <c r="AA678" s="7">
        <f t="shared" si="97"/>
        <v>89290.8</v>
      </c>
      <c r="AB678" s="7">
        <f t="shared" si="98"/>
        <v>145298.79999999999</v>
      </c>
    </row>
    <row r="679" spans="1:28" x14ac:dyDescent="0.25">
      <c r="A679">
        <v>3288836432</v>
      </c>
      <c r="B679" t="s">
        <v>292</v>
      </c>
      <c r="C679" t="s">
        <v>293</v>
      </c>
      <c r="D679" t="str">
        <f>B679&amp;" "&amp;C679</f>
        <v>Glenn O'Murtagh</v>
      </c>
      <c r="E679" t="s">
        <v>10</v>
      </c>
      <c r="F679">
        <v>102601</v>
      </c>
      <c r="G679">
        <f>COUNTIF(deals_closed!D:D,Calculations!A679)</f>
        <v>13</v>
      </c>
      <c r="H679" s="2">
        <f>SUMIF(deals_closed!D:D,Calculations!A679,deals_closed!C:C)</f>
        <v>499816</v>
      </c>
      <c r="I679" s="2">
        <f>VLOOKUP(E679,'2018_commission_structure'!$A$11:$I$14,9,FALSE)</f>
        <v>750000</v>
      </c>
      <c r="J679" s="2">
        <f t="shared" si="90"/>
        <v>937500</v>
      </c>
      <c r="K679" s="2">
        <f t="shared" si="91"/>
        <v>1125000</v>
      </c>
      <c r="L679" s="2">
        <f t="shared" si="92"/>
        <v>1500000</v>
      </c>
      <c r="M679" s="6">
        <f t="shared" si="93"/>
        <v>0.66642133333333331</v>
      </c>
      <c r="N679" t="str">
        <f t="shared" si="94"/>
        <v>0-100%</v>
      </c>
      <c r="O679" s="7">
        <f>MIN(I679,H679)*INDEX('2018_commission_structure'!$A$11:$I$14,MATCH(Calculations!$E679,'2018_commission_structure'!$A$11:$A$14,0),MATCH(Calculations!O$1,'2018_commission_structure'!$A$11:$I$11,0))</f>
        <v>74972.399999999994</v>
      </c>
      <c r="P679" s="7">
        <f>IF($H679&gt;I679,MIN($H679-I679,J679-I679)*INDEX('2018_commission_structure'!$A$11:$I$14,MATCH(Calculations!$E679,'2018_commission_structure'!$A$11:$A$14,0), MATCH(Calculations!P$1,'2018_commission_structure'!$A$11:$I$11,0)),0)</f>
        <v>0</v>
      </c>
      <c r="Q679" s="7">
        <f>IF($H679&gt;J679,MIN($H679-J679,K679-J679)*INDEX('2018_commission_structure'!$A$11:$I$14,MATCH(Calculations!$E679,'2018_commission_structure'!$A$11:$A$14,0), MATCH(Calculations!Q$1,'2018_commission_structure'!$A$11:$I$11,0)),0)</f>
        <v>0</v>
      </c>
      <c r="R679" s="7">
        <f>IF($H679&gt;K679,MIN($H679-K679,L679-K679)*INDEX('2018_commission_structure'!$A$11:$I$14,MATCH(Calculations!$E679,'2018_commission_structure'!$A$11:$A$14,0), MATCH(Calculations!R$1,'2018_commission_structure'!$A$11:$I$11,0)),0)</f>
        <v>0</v>
      </c>
      <c r="S679" s="7">
        <f>IF(H679&gt;L679,(H679-L679)*INDEX('2018_commission_structure'!$A$11:$I$14,MATCH(Calculations!$E679,'2018_commission_structure'!$A$11:$A$14,0),MATCH(Calculations!S$1,'2018_commission_structure'!$A$11:$I$11,0)),0)</f>
        <v>0</v>
      </c>
      <c r="T679" s="7">
        <f t="shared" si="95"/>
        <v>74972.399999999994</v>
      </c>
      <c r="U679" s="7">
        <f t="shared" si="96"/>
        <v>177573.4</v>
      </c>
      <c r="V679" s="7">
        <f>MIN(H679,I679)*INDEX('2018_commission_structure'!$A$5:$J$8,MATCH(Calculations!$E679,'2018_commission_structure'!$A$5:$A$8,0),MATCH(Calculations!V$1,'2018_commission_structure'!$A$5:$J$5,0))</f>
        <v>74972.399999999994</v>
      </c>
      <c r="W679" s="2">
        <f>IF($H679&gt;I679,MIN($H679-I679,J679-I679)*INDEX('2018_commission_structure'!$A$5:$J$8,MATCH(Calculations!$E679,'2018_commission_structure'!$A$5:$A$8,0),MATCH(Calculations!W$1,'2018_commission_structure'!$A$5:$J$5,0)),0)</f>
        <v>0</v>
      </c>
      <c r="X679" s="2">
        <f>IF($H679&gt;J679,MIN($H679-J679,K679-J679)*INDEX('2018_commission_structure'!$A$5:$J$8,MATCH(Calculations!$E679,'2018_commission_structure'!$A$5:$A$8,0),MATCH(Calculations!X$1,'2018_commission_structure'!$A$5:$J$5,0)),0)</f>
        <v>0</v>
      </c>
      <c r="Y679" s="2">
        <f>IF($H679&gt;K679,MIN($H679-K679,L679-K679)*INDEX('2018_commission_structure'!$A$5:$J$8,MATCH(Calculations!$E679,'2018_commission_structure'!$A$5:$A$8,0),MATCH(Calculations!Y$1,'2018_commission_structure'!$A$5:$J$5,0)),0)</f>
        <v>0</v>
      </c>
      <c r="Z679" s="2">
        <f xml:space="preserve"> IF(H679&gt;L679,(H679-L679)*INDEX('2018_commission_structure'!$A$11:$I$14,MATCH(Calculations!$E679,'2018_commission_structure'!$A$11:$A$14,0),MATCH(Calculations!Z$1,'2018_commission_structure'!$A$11:$I$11,0)),0)</f>
        <v>0</v>
      </c>
      <c r="AA679" s="7">
        <f t="shared" si="97"/>
        <v>74972.399999999994</v>
      </c>
      <c r="AB679" s="7">
        <f t="shared" si="98"/>
        <v>177573.4</v>
      </c>
    </row>
    <row r="680" spans="1:28" x14ac:dyDescent="0.25">
      <c r="A680">
        <v>992720575</v>
      </c>
      <c r="B680" t="s">
        <v>1310</v>
      </c>
      <c r="C680" t="s">
        <v>1311</v>
      </c>
      <c r="D680" t="str">
        <f>B680&amp;" "&amp;C680</f>
        <v>Brice O'Sheeryne</v>
      </c>
      <c r="E680" t="s">
        <v>7</v>
      </c>
      <c r="F680">
        <v>49548</v>
      </c>
      <c r="G680">
        <f>COUNTIF(deals_closed!D:D,Calculations!A680)</f>
        <v>25</v>
      </c>
      <c r="H680" s="2">
        <f>SUMIF(deals_closed!D:D,Calculations!A680,deals_closed!C:C)</f>
        <v>778272</v>
      </c>
      <c r="I680" s="2">
        <f>VLOOKUP(E680,'2018_commission_structure'!$A$11:$I$14,9,FALSE)</f>
        <v>500000</v>
      </c>
      <c r="J680" s="2">
        <f t="shared" si="90"/>
        <v>625000</v>
      </c>
      <c r="K680" s="2">
        <f t="shared" si="91"/>
        <v>750000</v>
      </c>
      <c r="L680" s="2">
        <f t="shared" si="92"/>
        <v>1000000</v>
      </c>
      <c r="M680" s="6">
        <f t="shared" si="93"/>
        <v>1.5565439999999999</v>
      </c>
      <c r="N680" t="str">
        <f t="shared" si="94"/>
        <v>150-200%</v>
      </c>
      <c r="O680" s="7">
        <f>MIN(I680,H680)*INDEX('2018_commission_structure'!$A$11:$I$14,MATCH(Calculations!$E680,'2018_commission_structure'!$A$11:$A$14,0),MATCH(Calculations!O$1,'2018_commission_structure'!$A$11:$I$11,0))</f>
        <v>50000</v>
      </c>
      <c r="P680" s="7">
        <f>IF($H680&gt;I680,MIN($H680-I680,J680-I680)*INDEX('2018_commission_structure'!$A$11:$I$14,MATCH(Calculations!$E680,'2018_commission_structure'!$A$11:$A$14,0), MATCH(Calculations!P$1,'2018_commission_structure'!$A$11:$I$11,0)),0)</f>
        <v>18750</v>
      </c>
      <c r="Q680" s="7">
        <f>IF($H680&gt;J680,MIN($H680-J680,K680-J680)*INDEX('2018_commission_structure'!$A$11:$I$14,MATCH(Calculations!$E680,'2018_commission_structure'!$A$11:$A$14,0), MATCH(Calculations!Q$1,'2018_commission_structure'!$A$11:$I$11,0)),0)</f>
        <v>22500</v>
      </c>
      <c r="R680" s="7">
        <f>IF($H680&gt;K680,MIN($H680-K680,L680-K680)*INDEX('2018_commission_structure'!$A$11:$I$14,MATCH(Calculations!$E680,'2018_commission_structure'!$A$11:$A$14,0), MATCH(Calculations!R$1,'2018_commission_structure'!$A$11:$I$11,0)),0)</f>
        <v>6219.84</v>
      </c>
      <c r="S680" s="7">
        <f>IF(H680&gt;L680,(H680-L680)*INDEX('2018_commission_structure'!$A$11:$I$14,MATCH(Calculations!$E680,'2018_commission_structure'!$A$11:$A$14,0),MATCH(Calculations!S$1,'2018_commission_structure'!$A$11:$I$11,0)),0)</f>
        <v>0</v>
      </c>
      <c r="T680" s="7">
        <f t="shared" si="95"/>
        <v>97469.84</v>
      </c>
      <c r="U680" s="7">
        <f t="shared" si="96"/>
        <v>147017.84</v>
      </c>
      <c r="V680" s="7">
        <f>MIN(H680,I680)*INDEX('2018_commission_structure'!$A$5:$J$8,MATCH(Calculations!$E680,'2018_commission_structure'!$A$5:$A$8,0),MATCH(Calculations!V$1,'2018_commission_structure'!$A$5:$J$5,0))</f>
        <v>60000</v>
      </c>
      <c r="W680" s="2">
        <f>IF($H680&gt;I680,MIN($H680-I680,J680-I680)*INDEX('2018_commission_structure'!$A$5:$J$8,MATCH(Calculations!$E680,'2018_commission_structure'!$A$5:$A$8,0),MATCH(Calculations!W$1,'2018_commission_structure'!$A$5:$J$5,0)),0)</f>
        <v>21250</v>
      </c>
      <c r="X680" s="2">
        <f>IF($H680&gt;J680,MIN($H680-J680,K680-J680)*INDEX('2018_commission_structure'!$A$5:$J$8,MATCH(Calculations!$E680,'2018_commission_structure'!$A$5:$A$8,0),MATCH(Calculations!X$1,'2018_commission_structure'!$A$5:$J$5,0)),0)</f>
        <v>25000</v>
      </c>
      <c r="Y680" s="2">
        <f>IF($H680&gt;K680,MIN($H680-K680,L680-K680)*INDEX('2018_commission_structure'!$A$5:$J$8,MATCH(Calculations!$E680,'2018_commission_structure'!$A$5:$A$8,0),MATCH(Calculations!Y$1,'2018_commission_structure'!$A$5:$J$5,0)),0)</f>
        <v>6219.84</v>
      </c>
      <c r="Z680" s="2">
        <f xml:space="preserve"> IF(H680&gt;L680,(H680-L680)*INDEX('2018_commission_structure'!$A$11:$I$14,MATCH(Calculations!$E680,'2018_commission_structure'!$A$11:$A$14,0),MATCH(Calculations!Z$1,'2018_commission_structure'!$A$11:$I$11,0)),0)</f>
        <v>0</v>
      </c>
      <c r="AA680" s="7">
        <f t="shared" si="97"/>
        <v>112469.84</v>
      </c>
      <c r="AB680" s="7">
        <f t="shared" si="98"/>
        <v>162017.84</v>
      </c>
    </row>
    <row r="681" spans="1:28" x14ac:dyDescent="0.25">
      <c r="A681">
        <v>1313434965</v>
      </c>
      <c r="B681" t="s">
        <v>402</v>
      </c>
      <c r="C681" t="s">
        <v>627</v>
      </c>
      <c r="D681" t="str">
        <f>B681&amp;" "&amp;C681</f>
        <v>Elsey O'Shevlin</v>
      </c>
      <c r="E681" t="s">
        <v>29</v>
      </c>
      <c r="F681">
        <v>72359</v>
      </c>
      <c r="G681">
        <f>COUNTIF(deals_closed!D:D,Calculations!A681)</f>
        <v>20</v>
      </c>
      <c r="H681" s="2">
        <f>SUMIF(deals_closed!D:D,Calculations!A681,deals_closed!C:C)</f>
        <v>575546</v>
      </c>
      <c r="I681" s="2">
        <f>VLOOKUP(E681,'2018_commission_structure'!$A$11:$I$14,9,FALSE)</f>
        <v>600000</v>
      </c>
      <c r="J681" s="2">
        <f t="shared" si="90"/>
        <v>750000</v>
      </c>
      <c r="K681" s="2">
        <f t="shared" si="91"/>
        <v>900000</v>
      </c>
      <c r="L681" s="2">
        <f t="shared" si="92"/>
        <v>1200000</v>
      </c>
      <c r="M681" s="6">
        <f t="shared" si="93"/>
        <v>0.95924333333333334</v>
      </c>
      <c r="N681" t="str">
        <f t="shared" si="94"/>
        <v>0-100%</v>
      </c>
      <c r="O681" s="7">
        <f>MIN(I681,H681)*INDEX('2018_commission_structure'!$A$11:$I$14,MATCH(Calculations!$E681,'2018_commission_structure'!$A$11:$A$14,0),MATCH(Calculations!O$1,'2018_commission_structure'!$A$11:$I$11,0))</f>
        <v>74820.98</v>
      </c>
      <c r="P681" s="7">
        <f>IF($H681&gt;I681,MIN($H681-I681,J681-I681)*INDEX('2018_commission_structure'!$A$11:$I$14,MATCH(Calculations!$E681,'2018_commission_structure'!$A$11:$A$14,0), MATCH(Calculations!P$1,'2018_commission_structure'!$A$11:$I$11,0)),0)</f>
        <v>0</v>
      </c>
      <c r="Q681" s="7">
        <f>IF($H681&gt;J681,MIN($H681-J681,K681-J681)*INDEX('2018_commission_structure'!$A$11:$I$14,MATCH(Calculations!$E681,'2018_commission_structure'!$A$11:$A$14,0), MATCH(Calculations!Q$1,'2018_commission_structure'!$A$11:$I$11,0)),0)</f>
        <v>0</v>
      </c>
      <c r="R681" s="7">
        <f>IF($H681&gt;K681,MIN($H681-K681,L681-K681)*INDEX('2018_commission_structure'!$A$11:$I$14,MATCH(Calculations!$E681,'2018_commission_structure'!$A$11:$A$14,0), MATCH(Calculations!R$1,'2018_commission_structure'!$A$11:$I$11,0)),0)</f>
        <v>0</v>
      </c>
      <c r="S681" s="7">
        <f>IF(H681&gt;L681,(H681-L681)*INDEX('2018_commission_structure'!$A$11:$I$14,MATCH(Calculations!$E681,'2018_commission_structure'!$A$11:$A$14,0),MATCH(Calculations!S$1,'2018_commission_structure'!$A$11:$I$11,0)),0)</f>
        <v>0</v>
      </c>
      <c r="T681" s="7">
        <f t="shared" si="95"/>
        <v>74820.98</v>
      </c>
      <c r="U681" s="7">
        <f t="shared" si="96"/>
        <v>147179.97999999998</v>
      </c>
      <c r="V681" s="7">
        <f>MIN(H681,I681)*INDEX('2018_commission_structure'!$A$5:$J$8,MATCH(Calculations!$E681,'2018_commission_structure'!$A$5:$A$8,0),MATCH(Calculations!V$1,'2018_commission_structure'!$A$5:$J$5,0))</f>
        <v>86331.9</v>
      </c>
      <c r="W681" s="2">
        <f>IF($H681&gt;I681,MIN($H681-I681,J681-I681)*INDEX('2018_commission_structure'!$A$5:$J$8,MATCH(Calculations!$E681,'2018_commission_structure'!$A$5:$A$8,0),MATCH(Calculations!W$1,'2018_commission_structure'!$A$5:$J$5,0)),0)</f>
        <v>0</v>
      </c>
      <c r="X681" s="2">
        <f>IF($H681&gt;J681,MIN($H681-J681,K681-J681)*INDEX('2018_commission_structure'!$A$5:$J$8,MATCH(Calculations!$E681,'2018_commission_structure'!$A$5:$A$8,0),MATCH(Calculations!X$1,'2018_commission_structure'!$A$5:$J$5,0)),0)</f>
        <v>0</v>
      </c>
      <c r="Y681" s="2">
        <f>IF($H681&gt;K681,MIN($H681-K681,L681-K681)*INDEX('2018_commission_structure'!$A$5:$J$8,MATCH(Calculations!$E681,'2018_commission_structure'!$A$5:$A$8,0),MATCH(Calculations!Y$1,'2018_commission_structure'!$A$5:$J$5,0)),0)</f>
        <v>0</v>
      </c>
      <c r="Z681" s="2">
        <f xml:space="preserve"> IF(H681&gt;L681,(H681-L681)*INDEX('2018_commission_structure'!$A$11:$I$14,MATCH(Calculations!$E681,'2018_commission_structure'!$A$11:$A$14,0),MATCH(Calculations!Z$1,'2018_commission_structure'!$A$11:$I$11,0)),0)</f>
        <v>0</v>
      </c>
      <c r="AA681" s="7">
        <f t="shared" si="97"/>
        <v>86331.9</v>
      </c>
      <c r="AB681" s="7">
        <f t="shared" si="98"/>
        <v>158690.9</v>
      </c>
    </row>
    <row r="682" spans="1:28" x14ac:dyDescent="0.25">
      <c r="A682">
        <v>3538909016</v>
      </c>
      <c r="B682" t="s">
        <v>1797</v>
      </c>
      <c r="C682" t="s">
        <v>1798</v>
      </c>
      <c r="D682" t="str">
        <f>B682&amp;" "&amp;C682</f>
        <v>Cassaundra Offield</v>
      </c>
      <c r="E682" t="s">
        <v>7</v>
      </c>
      <c r="F682">
        <v>57718</v>
      </c>
      <c r="G682">
        <f>COUNTIF(deals_closed!D:D,Calculations!A682)</f>
        <v>18</v>
      </c>
      <c r="H682" s="2">
        <f>SUMIF(deals_closed!D:D,Calculations!A682,deals_closed!C:C)</f>
        <v>581268</v>
      </c>
      <c r="I682" s="2">
        <f>VLOOKUP(E682,'2018_commission_structure'!$A$11:$I$14,9,FALSE)</f>
        <v>500000</v>
      </c>
      <c r="J682" s="2">
        <f t="shared" si="90"/>
        <v>625000</v>
      </c>
      <c r="K682" s="2">
        <f t="shared" si="91"/>
        <v>750000</v>
      </c>
      <c r="L682" s="2">
        <f t="shared" si="92"/>
        <v>1000000</v>
      </c>
      <c r="M682" s="6">
        <f t="shared" si="93"/>
        <v>1.162536</v>
      </c>
      <c r="N682" t="str">
        <f t="shared" si="94"/>
        <v>100-125%</v>
      </c>
      <c r="O682" s="7">
        <f>MIN(I682,H682)*INDEX('2018_commission_structure'!$A$11:$I$14,MATCH(Calculations!$E682,'2018_commission_structure'!$A$11:$A$14,0),MATCH(Calculations!O$1,'2018_commission_structure'!$A$11:$I$11,0))</f>
        <v>50000</v>
      </c>
      <c r="P682" s="7">
        <f>IF($H682&gt;I682,MIN($H682-I682,J682-I682)*INDEX('2018_commission_structure'!$A$11:$I$14,MATCH(Calculations!$E682,'2018_commission_structure'!$A$11:$A$14,0), MATCH(Calculations!P$1,'2018_commission_structure'!$A$11:$I$11,0)),0)</f>
        <v>12190.199999999999</v>
      </c>
      <c r="Q682" s="7">
        <f>IF($H682&gt;J682,MIN($H682-J682,K682-J682)*INDEX('2018_commission_structure'!$A$11:$I$14,MATCH(Calculations!$E682,'2018_commission_structure'!$A$11:$A$14,0), MATCH(Calculations!Q$1,'2018_commission_structure'!$A$11:$I$11,0)),0)</f>
        <v>0</v>
      </c>
      <c r="R682" s="7">
        <f>IF($H682&gt;K682,MIN($H682-K682,L682-K682)*INDEX('2018_commission_structure'!$A$11:$I$14,MATCH(Calculations!$E682,'2018_commission_structure'!$A$11:$A$14,0), MATCH(Calculations!R$1,'2018_commission_structure'!$A$11:$I$11,0)),0)</f>
        <v>0</v>
      </c>
      <c r="S682" s="7">
        <f>IF(H682&gt;L682,(H682-L682)*INDEX('2018_commission_structure'!$A$11:$I$14,MATCH(Calculations!$E682,'2018_commission_structure'!$A$11:$A$14,0),MATCH(Calculations!S$1,'2018_commission_structure'!$A$11:$I$11,0)),0)</f>
        <v>0</v>
      </c>
      <c r="T682" s="7">
        <f t="shared" si="95"/>
        <v>62190.2</v>
      </c>
      <c r="U682" s="7">
        <f t="shared" si="96"/>
        <v>119908.2</v>
      </c>
      <c r="V682" s="7">
        <f>MIN(H682,I682)*INDEX('2018_commission_structure'!$A$5:$J$8,MATCH(Calculations!$E682,'2018_commission_structure'!$A$5:$A$8,0),MATCH(Calculations!V$1,'2018_commission_structure'!$A$5:$J$5,0))</f>
        <v>60000</v>
      </c>
      <c r="W682" s="2">
        <f>IF($H682&gt;I682,MIN($H682-I682,J682-I682)*INDEX('2018_commission_structure'!$A$5:$J$8,MATCH(Calculations!$E682,'2018_commission_structure'!$A$5:$A$8,0),MATCH(Calculations!W$1,'2018_commission_structure'!$A$5:$J$5,0)),0)</f>
        <v>13815.560000000001</v>
      </c>
      <c r="X682" s="2">
        <f>IF($H682&gt;J682,MIN($H682-J682,K682-J682)*INDEX('2018_commission_structure'!$A$5:$J$8,MATCH(Calculations!$E682,'2018_commission_structure'!$A$5:$A$8,0),MATCH(Calculations!X$1,'2018_commission_structure'!$A$5:$J$5,0)),0)</f>
        <v>0</v>
      </c>
      <c r="Y682" s="2">
        <f>IF($H682&gt;K682,MIN($H682-K682,L682-K682)*INDEX('2018_commission_structure'!$A$5:$J$8,MATCH(Calculations!$E682,'2018_commission_structure'!$A$5:$A$8,0),MATCH(Calculations!Y$1,'2018_commission_structure'!$A$5:$J$5,0)),0)</f>
        <v>0</v>
      </c>
      <c r="Z682" s="2">
        <f xml:space="preserve"> IF(H682&gt;L682,(H682-L682)*INDEX('2018_commission_structure'!$A$11:$I$14,MATCH(Calculations!$E682,'2018_commission_structure'!$A$11:$A$14,0),MATCH(Calculations!Z$1,'2018_commission_structure'!$A$11:$I$11,0)),0)</f>
        <v>0</v>
      </c>
      <c r="AA682" s="7">
        <f t="shared" si="97"/>
        <v>73815.56</v>
      </c>
      <c r="AB682" s="7">
        <f t="shared" si="98"/>
        <v>131533.56</v>
      </c>
    </row>
    <row r="683" spans="1:28" x14ac:dyDescent="0.25">
      <c r="A683">
        <v>3269054114</v>
      </c>
      <c r="B683" t="s">
        <v>1751</v>
      </c>
      <c r="C683" t="s">
        <v>1752</v>
      </c>
      <c r="D683" t="str">
        <f>B683&amp;" "&amp;C683</f>
        <v>Skipper Ohm</v>
      </c>
      <c r="E683" t="s">
        <v>29</v>
      </c>
      <c r="F683">
        <v>73223</v>
      </c>
      <c r="G683">
        <f>COUNTIF(deals_closed!D:D,Calculations!A683)</f>
        <v>22</v>
      </c>
      <c r="H683" s="2">
        <f>SUMIF(deals_closed!D:D,Calculations!A683,deals_closed!C:C)</f>
        <v>750849</v>
      </c>
      <c r="I683" s="2">
        <f>VLOOKUP(E683,'2018_commission_structure'!$A$11:$I$14,9,FALSE)</f>
        <v>600000</v>
      </c>
      <c r="J683" s="2">
        <f t="shared" si="90"/>
        <v>750000</v>
      </c>
      <c r="K683" s="2">
        <f t="shared" si="91"/>
        <v>900000</v>
      </c>
      <c r="L683" s="2">
        <f t="shared" si="92"/>
        <v>1200000</v>
      </c>
      <c r="M683" s="6">
        <f t="shared" si="93"/>
        <v>1.2514149999999999</v>
      </c>
      <c r="N683" t="str">
        <f t="shared" si="94"/>
        <v>125-150%</v>
      </c>
      <c r="O683" s="7">
        <f>MIN(I683,H683)*INDEX('2018_commission_structure'!$A$11:$I$14,MATCH(Calculations!$E683,'2018_commission_structure'!$A$11:$A$14,0),MATCH(Calculations!O$1,'2018_commission_structure'!$A$11:$I$11,0))</f>
        <v>78000</v>
      </c>
      <c r="P683" s="7">
        <f>IF($H683&gt;I683,MIN($H683-I683,J683-I683)*INDEX('2018_commission_structure'!$A$11:$I$14,MATCH(Calculations!$E683,'2018_commission_structure'!$A$11:$A$14,0), MATCH(Calculations!P$1,'2018_commission_structure'!$A$11:$I$11,0)),0)</f>
        <v>25500.000000000004</v>
      </c>
      <c r="Q683" s="7">
        <f>IF($H683&gt;J683,MIN($H683-J683,K683-J683)*INDEX('2018_commission_structure'!$A$11:$I$14,MATCH(Calculations!$E683,'2018_commission_structure'!$A$11:$A$14,0), MATCH(Calculations!Q$1,'2018_commission_structure'!$A$11:$I$11,0)),0)</f>
        <v>178.29</v>
      </c>
      <c r="R683" s="7">
        <f>IF($H683&gt;K683,MIN($H683-K683,L683-K683)*INDEX('2018_commission_structure'!$A$11:$I$14,MATCH(Calculations!$E683,'2018_commission_structure'!$A$11:$A$14,0), MATCH(Calculations!R$1,'2018_commission_structure'!$A$11:$I$11,0)),0)</f>
        <v>0</v>
      </c>
      <c r="S683" s="7">
        <f>IF(H683&gt;L683,(H683-L683)*INDEX('2018_commission_structure'!$A$11:$I$14,MATCH(Calculations!$E683,'2018_commission_structure'!$A$11:$A$14,0),MATCH(Calculations!S$1,'2018_commission_structure'!$A$11:$I$11,0)),0)</f>
        <v>0</v>
      </c>
      <c r="T683" s="7">
        <f t="shared" si="95"/>
        <v>103678.29</v>
      </c>
      <c r="U683" s="7">
        <f t="shared" si="96"/>
        <v>176901.28999999998</v>
      </c>
      <c r="V683" s="7">
        <f>MIN(H683,I683)*INDEX('2018_commission_structure'!$A$5:$J$8,MATCH(Calculations!$E683,'2018_commission_structure'!$A$5:$A$8,0),MATCH(Calculations!V$1,'2018_commission_structure'!$A$5:$J$5,0))</f>
        <v>90000</v>
      </c>
      <c r="W683" s="2">
        <f>IF($H683&gt;I683,MIN($H683-I683,J683-I683)*INDEX('2018_commission_structure'!$A$5:$J$8,MATCH(Calculations!$E683,'2018_commission_structure'!$A$5:$A$8,0),MATCH(Calculations!W$1,'2018_commission_structure'!$A$5:$J$5,0)),0)</f>
        <v>27000</v>
      </c>
      <c r="X683" s="2">
        <f>IF($H683&gt;J683,MIN($H683-J683,K683-J683)*INDEX('2018_commission_structure'!$A$5:$J$8,MATCH(Calculations!$E683,'2018_commission_structure'!$A$5:$A$8,0),MATCH(Calculations!X$1,'2018_commission_structure'!$A$5:$J$5,0)),0)</f>
        <v>212.25</v>
      </c>
      <c r="Y683" s="2">
        <f>IF($H683&gt;K683,MIN($H683-K683,L683-K683)*INDEX('2018_commission_structure'!$A$5:$J$8,MATCH(Calculations!$E683,'2018_commission_structure'!$A$5:$A$8,0),MATCH(Calculations!Y$1,'2018_commission_structure'!$A$5:$J$5,0)),0)</f>
        <v>0</v>
      </c>
      <c r="Z683" s="2">
        <f xml:space="preserve"> IF(H683&gt;L683,(H683-L683)*INDEX('2018_commission_structure'!$A$11:$I$14,MATCH(Calculations!$E683,'2018_commission_structure'!$A$11:$A$14,0),MATCH(Calculations!Z$1,'2018_commission_structure'!$A$11:$I$11,0)),0)</f>
        <v>0</v>
      </c>
      <c r="AA683" s="7">
        <f t="shared" si="97"/>
        <v>117212.25</v>
      </c>
      <c r="AB683" s="7">
        <f t="shared" si="98"/>
        <v>190435.25</v>
      </c>
    </row>
    <row r="684" spans="1:28" x14ac:dyDescent="0.25">
      <c r="A684">
        <v>7865341539</v>
      </c>
      <c r="B684" t="s">
        <v>408</v>
      </c>
      <c r="C684" t="s">
        <v>409</v>
      </c>
      <c r="D684" t="str">
        <f>B684&amp;" "&amp;C684</f>
        <v>Farand Okie</v>
      </c>
      <c r="E684" t="s">
        <v>7</v>
      </c>
      <c r="F684">
        <v>64631</v>
      </c>
      <c r="G684">
        <f>COUNTIF(deals_closed!D:D,Calculations!A684)</f>
        <v>13</v>
      </c>
      <c r="H684" s="2">
        <f>SUMIF(deals_closed!D:D,Calculations!A684,deals_closed!C:C)</f>
        <v>577150</v>
      </c>
      <c r="I684" s="2">
        <f>VLOOKUP(E684,'2018_commission_structure'!$A$11:$I$14,9,FALSE)</f>
        <v>500000</v>
      </c>
      <c r="J684" s="2">
        <f t="shared" si="90"/>
        <v>625000</v>
      </c>
      <c r="K684" s="2">
        <f t="shared" si="91"/>
        <v>750000</v>
      </c>
      <c r="L684" s="2">
        <f t="shared" si="92"/>
        <v>1000000</v>
      </c>
      <c r="M684" s="6">
        <f t="shared" si="93"/>
        <v>1.1543000000000001</v>
      </c>
      <c r="N684" t="str">
        <f t="shared" si="94"/>
        <v>100-125%</v>
      </c>
      <c r="O684" s="7">
        <f>MIN(I684,H684)*INDEX('2018_commission_structure'!$A$11:$I$14,MATCH(Calculations!$E684,'2018_commission_structure'!$A$11:$A$14,0),MATCH(Calculations!O$1,'2018_commission_structure'!$A$11:$I$11,0))</f>
        <v>50000</v>
      </c>
      <c r="P684" s="7">
        <f>IF($H684&gt;I684,MIN($H684-I684,J684-I684)*INDEX('2018_commission_structure'!$A$11:$I$14,MATCH(Calculations!$E684,'2018_commission_structure'!$A$11:$A$14,0), MATCH(Calculations!P$1,'2018_commission_structure'!$A$11:$I$11,0)),0)</f>
        <v>11572.5</v>
      </c>
      <c r="Q684" s="7">
        <f>IF($H684&gt;J684,MIN($H684-J684,K684-J684)*INDEX('2018_commission_structure'!$A$11:$I$14,MATCH(Calculations!$E684,'2018_commission_structure'!$A$11:$A$14,0), MATCH(Calculations!Q$1,'2018_commission_structure'!$A$11:$I$11,0)),0)</f>
        <v>0</v>
      </c>
      <c r="R684" s="7">
        <f>IF($H684&gt;K684,MIN($H684-K684,L684-K684)*INDEX('2018_commission_structure'!$A$11:$I$14,MATCH(Calculations!$E684,'2018_commission_structure'!$A$11:$A$14,0), MATCH(Calculations!R$1,'2018_commission_structure'!$A$11:$I$11,0)),0)</f>
        <v>0</v>
      </c>
      <c r="S684" s="7">
        <f>IF(H684&gt;L684,(H684-L684)*INDEX('2018_commission_structure'!$A$11:$I$14,MATCH(Calculations!$E684,'2018_commission_structure'!$A$11:$A$14,0),MATCH(Calculations!S$1,'2018_commission_structure'!$A$11:$I$11,0)),0)</f>
        <v>0</v>
      </c>
      <c r="T684" s="7">
        <f t="shared" si="95"/>
        <v>61572.5</v>
      </c>
      <c r="U684" s="7">
        <f t="shared" si="96"/>
        <v>126203.5</v>
      </c>
      <c r="V684" s="7">
        <f>MIN(H684,I684)*INDEX('2018_commission_structure'!$A$5:$J$8,MATCH(Calculations!$E684,'2018_commission_structure'!$A$5:$A$8,0),MATCH(Calculations!V$1,'2018_commission_structure'!$A$5:$J$5,0))</f>
        <v>60000</v>
      </c>
      <c r="W684" s="2">
        <f>IF($H684&gt;I684,MIN($H684-I684,J684-I684)*INDEX('2018_commission_structure'!$A$5:$J$8,MATCH(Calculations!$E684,'2018_commission_structure'!$A$5:$A$8,0),MATCH(Calculations!W$1,'2018_commission_structure'!$A$5:$J$5,0)),0)</f>
        <v>13115.500000000002</v>
      </c>
      <c r="X684" s="2">
        <f>IF($H684&gt;J684,MIN($H684-J684,K684-J684)*INDEX('2018_commission_structure'!$A$5:$J$8,MATCH(Calculations!$E684,'2018_commission_structure'!$A$5:$A$8,0),MATCH(Calculations!X$1,'2018_commission_structure'!$A$5:$J$5,0)),0)</f>
        <v>0</v>
      </c>
      <c r="Y684" s="2">
        <f>IF($H684&gt;K684,MIN($H684-K684,L684-K684)*INDEX('2018_commission_structure'!$A$5:$J$8,MATCH(Calculations!$E684,'2018_commission_structure'!$A$5:$A$8,0),MATCH(Calculations!Y$1,'2018_commission_structure'!$A$5:$J$5,0)),0)</f>
        <v>0</v>
      </c>
      <c r="Z684" s="2">
        <f xml:space="preserve"> IF(H684&gt;L684,(H684-L684)*INDEX('2018_commission_structure'!$A$11:$I$14,MATCH(Calculations!$E684,'2018_commission_structure'!$A$11:$A$14,0),MATCH(Calculations!Z$1,'2018_commission_structure'!$A$11:$I$11,0)),0)</f>
        <v>0</v>
      </c>
      <c r="AA684" s="7">
        <f t="shared" si="97"/>
        <v>73115.5</v>
      </c>
      <c r="AB684" s="7">
        <f t="shared" si="98"/>
        <v>137746.5</v>
      </c>
    </row>
    <row r="685" spans="1:28" x14ac:dyDescent="0.25">
      <c r="A685">
        <v>2763158331</v>
      </c>
      <c r="B685" t="s">
        <v>1900</v>
      </c>
      <c r="C685" t="s">
        <v>1901</v>
      </c>
      <c r="D685" t="str">
        <f>B685&amp;" "&amp;C685</f>
        <v>Bear Olczyk</v>
      </c>
      <c r="E685" t="s">
        <v>7</v>
      </c>
      <c r="F685">
        <v>63815</v>
      </c>
      <c r="G685">
        <f>COUNTIF(deals_closed!D:D,Calculations!A685)</f>
        <v>30</v>
      </c>
      <c r="H685" s="2">
        <f>SUMIF(deals_closed!D:D,Calculations!A685,deals_closed!C:C)</f>
        <v>1025894</v>
      </c>
      <c r="I685" s="2">
        <f>VLOOKUP(E685,'2018_commission_structure'!$A$11:$I$14,9,FALSE)</f>
        <v>500000</v>
      </c>
      <c r="J685" s="2">
        <f t="shared" si="90"/>
        <v>625000</v>
      </c>
      <c r="K685" s="2">
        <f t="shared" si="91"/>
        <v>750000</v>
      </c>
      <c r="L685" s="2">
        <f t="shared" si="92"/>
        <v>1000000</v>
      </c>
      <c r="M685" s="6">
        <f t="shared" si="93"/>
        <v>2.0517880000000002</v>
      </c>
      <c r="N685" t="str">
        <f t="shared" si="94"/>
        <v>&gt;200%</v>
      </c>
      <c r="O685" s="7">
        <f>MIN(I685,H685)*INDEX('2018_commission_structure'!$A$11:$I$14,MATCH(Calculations!$E685,'2018_commission_structure'!$A$11:$A$14,0),MATCH(Calculations!O$1,'2018_commission_structure'!$A$11:$I$11,0))</f>
        <v>50000</v>
      </c>
      <c r="P685" s="7">
        <f>IF($H685&gt;I685,MIN($H685-I685,J685-I685)*INDEX('2018_commission_structure'!$A$11:$I$14,MATCH(Calculations!$E685,'2018_commission_structure'!$A$11:$A$14,0), MATCH(Calculations!P$1,'2018_commission_structure'!$A$11:$I$11,0)),0)</f>
        <v>18750</v>
      </c>
      <c r="Q685" s="7">
        <f>IF($H685&gt;J685,MIN($H685-J685,K685-J685)*INDEX('2018_commission_structure'!$A$11:$I$14,MATCH(Calculations!$E685,'2018_commission_structure'!$A$11:$A$14,0), MATCH(Calculations!Q$1,'2018_commission_structure'!$A$11:$I$11,0)),0)</f>
        <v>22500</v>
      </c>
      <c r="R685" s="7">
        <f>IF($H685&gt;K685,MIN($H685-K685,L685-K685)*INDEX('2018_commission_structure'!$A$11:$I$14,MATCH(Calculations!$E685,'2018_commission_structure'!$A$11:$A$14,0), MATCH(Calculations!R$1,'2018_commission_structure'!$A$11:$I$11,0)),0)</f>
        <v>55000</v>
      </c>
      <c r="S685" s="7">
        <f>IF(H685&gt;L685,(H685-L685)*INDEX('2018_commission_structure'!$A$11:$I$14,MATCH(Calculations!$E685,'2018_commission_structure'!$A$11:$A$14,0),MATCH(Calculations!S$1,'2018_commission_structure'!$A$11:$I$11,0)),0)</f>
        <v>2589.4</v>
      </c>
      <c r="T685" s="7">
        <f t="shared" si="95"/>
        <v>148839.4</v>
      </c>
      <c r="U685" s="7">
        <f t="shared" si="96"/>
        <v>212654.4</v>
      </c>
      <c r="V685" s="7">
        <f>MIN(H685,I685)*INDEX('2018_commission_structure'!$A$5:$J$8,MATCH(Calculations!$E685,'2018_commission_structure'!$A$5:$A$8,0),MATCH(Calculations!V$1,'2018_commission_structure'!$A$5:$J$5,0))</f>
        <v>60000</v>
      </c>
      <c r="W685" s="2">
        <f>IF($H685&gt;I685,MIN($H685-I685,J685-I685)*INDEX('2018_commission_structure'!$A$5:$J$8,MATCH(Calculations!$E685,'2018_commission_structure'!$A$5:$A$8,0),MATCH(Calculations!W$1,'2018_commission_structure'!$A$5:$J$5,0)),0)</f>
        <v>21250</v>
      </c>
      <c r="X685" s="2">
        <f>IF($H685&gt;J685,MIN($H685-J685,K685-J685)*INDEX('2018_commission_structure'!$A$5:$J$8,MATCH(Calculations!$E685,'2018_commission_structure'!$A$5:$A$8,0),MATCH(Calculations!X$1,'2018_commission_structure'!$A$5:$J$5,0)),0)</f>
        <v>25000</v>
      </c>
      <c r="Y685" s="2">
        <f>IF($H685&gt;K685,MIN($H685-K685,L685-K685)*INDEX('2018_commission_structure'!$A$5:$J$8,MATCH(Calculations!$E685,'2018_commission_structure'!$A$5:$A$8,0),MATCH(Calculations!Y$1,'2018_commission_structure'!$A$5:$J$5,0)),0)</f>
        <v>55000</v>
      </c>
      <c r="Z685" s="2">
        <f xml:space="preserve"> IF(H685&gt;L685,(H685-L685)*INDEX('2018_commission_structure'!$A$11:$I$14,MATCH(Calculations!$E685,'2018_commission_structure'!$A$11:$A$14,0),MATCH(Calculations!Z$1,'2018_commission_structure'!$A$11:$I$11,0)),0)</f>
        <v>2589.4</v>
      </c>
      <c r="AA685" s="7">
        <f t="shared" si="97"/>
        <v>163839.4</v>
      </c>
      <c r="AB685" s="7">
        <f t="shared" si="98"/>
        <v>227654.39999999999</v>
      </c>
    </row>
    <row r="686" spans="1:28" x14ac:dyDescent="0.25">
      <c r="A686">
        <v>784224471</v>
      </c>
      <c r="B686" t="s">
        <v>604</v>
      </c>
      <c r="C686" t="s">
        <v>605</v>
      </c>
      <c r="D686" t="str">
        <f>B686&amp;" "&amp;C686</f>
        <v>Malachi Oldknow</v>
      </c>
      <c r="E686" t="s">
        <v>10</v>
      </c>
      <c r="F686">
        <v>122759</v>
      </c>
      <c r="G686">
        <f>COUNTIF(deals_closed!D:D,Calculations!A686)</f>
        <v>25</v>
      </c>
      <c r="H686" s="2">
        <f>SUMIF(deals_closed!D:D,Calculations!A686,deals_closed!C:C)</f>
        <v>815097</v>
      </c>
      <c r="I686" s="2">
        <f>VLOOKUP(E686,'2018_commission_structure'!$A$11:$I$14,9,FALSE)</f>
        <v>750000</v>
      </c>
      <c r="J686" s="2">
        <f t="shared" si="90"/>
        <v>937500</v>
      </c>
      <c r="K686" s="2">
        <f t="shared" si="91"/>
        <v>1125000</v>
      </c>
      <c r="L686" s="2">
        <f t="shared" si="92"/>
        <v>1500000</v>
      </c>
      <c r="M686" s="6">
        <f t="shared" si="93"/>
        <v>1.0867960000000001</v>
      </c>
      <c r="N686" t="str">
        <f t="shared" si="94"/>
        <v>100-125%</v>
      </c>
      <c r="O686" s="7">
        <f>MIN(I686,H686)*INDEX('2018_commission_structure'!$A$11:$I$14,MATCH(Calculations!$E686,'2018_commission_structure'!$A$11:$A$14,0),MATCH(Calculations!O$1,'2018_commission_structure'!$A$11:$I$11,0))</f>
        <v>112500</v>
      </c>
      <c r="P686" s="7">
        <f>IF($H686&gt;I686,MIN($H686-I686,J686-I686)*INDEX('2018_commission_structure'!$A$11:$I$14,MATCH(Calculations!$E686,'2018_commission_structure'!$A$11:$A$14,0), MATCH(Calculations!P$1,'2018_commission_structure'!$A$11:$I$11,0)),0)</f>
        <v>12368.43</v>
      </c>
      <c r="Q686" s="7">
        <f>IF($H686&gt;J686,MIN($H686-J686,K686-J686)*INDEX('2018_commission_structure'!$A$11:$I$14,MATCH(Calculations!$E686,'2018_commission_structure'!$A$11:$A$14,0), MATCH(Calculations!Q$1,'2018_commission_structure'!$A$11:$I$11,0)),0)</f>
        <v>0</v>
      </c>
      <c r="R686" s="7">
        <f>IF($H686&gt;K686,MIN($H686-K686,L686-K686)*INDEX('2018_commission_structure'!$A$11:$I$14,MATCH(Calculations!$E686,'2018_commission_structure'!$A$11:$A$14,0), MATCH(Calculations!R$1,'2018_commission_structure'!$A$11:$I$11,0)),0)</f>
        <v>0</v>
      </c>
      <c r="S686" s="7">
        <f>IF(H686&gt;L686,(H686-L686)*INDEX('2018_commission_structure'!$A$11:$I$14,MATCH(Calculations!$E686,'2018_commission_structure'!$A$11:$A$14,0),MATCH(Calculations!S$1,'2018_commission_structure'!$A$11:$I$11,0)),0)</f>
        <v>0</v>
      </c>
      <c r="T686" s="7">
        <f t="shared" si="95"/>
        <v>124868.43</v>
      </c>
      <c r="U686" s="7">
        <f t="shared" si="96"/>
        <v>247627.43</v>
      </c>
      <c r="V686" s="7">
        <f>MIN(H686,I686)*INDEX('2018_commission_structure'!$A$5:$J$8,MATCH(Calculations!$E686,'2018_commission_structure'!$A$5:$A$8,0),MATCH(Calculations!V$1,'2018_commission_structure'!$A$5:$J$5,0))</f>
        <v>112500</v>
      </c>
      <c r="W686" s="2">
        <f>IF($H686&gt;I686,MIN($H686-I686,J686-I686)*INDEX('2018_commission_structure'!$A$5:$J$8,MATCH(Calculations!$E686,'2018_commission_structure'!$A$5:$A$8,0),MATCH(Calculations!W$1,'2018_commission_structure'!$A$5:$J$5,0)),0)</f>
        <v>14321.34</v>
      </c>
      <c r="X686" s="2">
        <f>IF($H686&gt;J686,MIN($H686-J686,K686-J686)*INDEX('2018_commission_structure'!$A$5:$J$8,MATCH(Calculations!$E686,'2018_commission_structure'!$A$5:$A$8,0),MATCH(Calculations!X$1,'2018_commission_structure'!$A$5:$J$5,0)),0)</f>
        <v>0</v>
      </c>
      <c r="Y686" s="2">
        <f>IF($H686&gt;K686,MIN($H686-K686,L686-K686)*INDEX('2018_commission_structure'!$A$5:$J$8,MATCH(Calculations!$E686,'2018_commission_structure'!$A$5:$A$8,0),MATCH(Calculations!Y$1,'2018_commission_structure'!$A$5:$J$5,0)),0)</f>
        <v>0</v>
      </c>
      <c r="Z686" s="2">
        <f xml:space="preserve"> IF(H686&gt;L686,(H686-L686)*INDEX('2018_commission_structure'!$A$11:$I$14,MATCH(Calculations!$E686,'2018_commission_structure'!$A$11:$A$14,0),MATCH(Calculations!Z$1,'2018_commission_structure'!$A$11:$I$11,0)),0)</f>
        <v>0</v>
      </c>
      <c r="AA686" s="7">
        <f t="shared" si="97"/>
        <v>126821.34</v>
      </c>
      <c r="AB686" s="7">
        <f t="shared" si="98"/>
        <v>249580.34</v>
      </c>
    </row>
    <row r="687" spans="1:28" x14ac:dyDescent="0.25">
      <c r="A687">
        <v>6260817967</v>
      </c>
      <c r="B687" t="s">
        <v>1441</v>
      </c>
      <c r="C687" t="s">
        <v>1442</v>
      </c>
      <c r="D687" t="str">
        <f>B687&amp;" "&amp;C687</f>
        <v>Colline Openshaw</v>
      </c>
      <c r="E687" t="s">
        <v>7</v>
      </c>
      <c r="F687">
        <v>37016</v>
      </c>
      <c r="G687">
        <f>COUNTIF(deals_closed!D:D,Calculations!A687)</f>
        <v>22</v>
      </c>
      <c r="H687" s="2">
        <f>SUMIF(deals_closed!D:D,Calculations!A687,deals_closed!C:C)</f>
        <v>860163</v>
      </c>
      <c r="I687" s="2">
        <f>VLOOKUP(E687,'2018_commission_structure'!$A$11:$I$14,9,FALSE)</f>
        <v>500000</v>
      </c>
      <c r="J687" s="2">
        <f t="shared" si="90"/>
        <v>625000</v>
      </c>
      <c r="K687" s="2">
        <f t="shared" si="91"/>
        <v>750000</v>
      </c>
      <c r="L687" s="2">
        <f t="shared" si="92"/>
        <v>1000000</v>
      </c>
      <c r="M687" s="6">
        <f t="shared" si="93"/>
        <v>1.720326</v>
      </c>
      <c r="N687" t="str">
        <f t="shared" si="94"/>
        <v>150-200%</v>
      </c>
      <c r="O687" s="7">
        <f>MIN(I687,H687)*INDEX('2018_commission_structure'!$A$11:$I$14,MATCH(Calculations!$E687,'2018_commission_structure'!$A$11:$A$14,0),MATCH(Calculations!O$1,'2018_commission_structure'!$A$11:$I$11,0))</f>
        <v>50000</v>
      </c>
      <c r="P687" s="7">
        <f>IF($H687&gt;I687,MIN($H687-I687,J687-I687)*INDEX('2018_commission_structure'!$A$11:$I$14,MATCH(Calculations!$E687,'2018_commission_structure'!$A$11:$A$14,0), MATCH(Calculations!P$1,'2018_commission_structure'!$A$11:$I$11,0)),0)</f>
        <v>18750</v>
      </c>
      <c r="Q687" s="7">
        <f>IF($H687&gt;J687,MIN($H687-J687,K687-J687)*INDEX('2018_commission_structure'!$A$11:$I$14,MATCH(Calculations!$E687,'2018_commission_structure'!$A$11:$A$14,0), MATCH(Calculations!Q$1,'2018_commission_structure'!$A$11:$I$11,0)),0)</f>
        <v>22500</v>
      </c>
      <c r="R687" s="7">
        <f>IF($H687&gt;K687,MIN($H687-K687,L687-K687)*INDEX('2018_commission_structure'!$A$11:$I$14,MATCH(Calculations!$E687,'2018_commission_structure'!$A$11:$A$14,0), MATCH(Calculations!R$1,'2018_commission_structure'!$A$11:$I$11,0)),0)</f>
        <v>24235.86</v>
      </c>
      <c r="S687" s="7">
        <f>IF(H687&gt;L687,(H687-L687)*INDEX('2018_commission_structure'!$A$11:$I$14,MATCH(Calculations!$E687,'2018_commission_structure'!$A$11:$A$14,0),MATCH(Calculations!S$1,'2018_commission_structure'!$A$11:$I$11,0)),0)</f>
        <v>0</v>
      </c>
      <c r="T687" s="7">
        <f t="shared" si="95"/>
        <v>115485.86</v>
      </c>
      <c r="U687" s="7">
        <f t="shared" si="96"/>
        <v>152501.85999999999</v>
      </c>
      <c r="V687" s="7">
        <f>MIN(H687,I687)*INDEX('2018_commission_structure'!$A$5:$J$8,MATCH(Calculations!$E687,'2018_commission_structure'!$A$5:$A$8,0),MATCH(Calculations!V$1,'2018_commission_structure'!$A$5:$J$5,0))</f>
        <v>60000</v>
      </c>
      <c r="W687" s="2">
        <f>IF($H687&gt;I687,MIN($H687-I687,J687-I687)*INDEX('2018_commission_structure'!$A$5:$J$8,MATCH(Calculations!$E687,'2018_commission_structure'!$A$5:$A$8,0),MATCH(Calculations!W$1,'2018_commission_structure'!$A$5:$J$5,0)),0)</f>
        <v>21250</v>
      </c>
      <c r="X687" s="2">
        <f>IF($H687&gt;J687,MIN($H687-J687,K687-J687)*INDEX('2018_commission_structure'!$A$5:$J$8,MATCH(Calculations!$E687,'2018_commission_structure'!$A$5:$A$8,0),MATCH(Calculations!X$1,'2018_commission_structure'!$A$5:$J$5,0)),0)</f>
        <v>25000</v>
      </c>
      <c r="Y687" s="2">
        <f>IF($H687&gt;K687,MIN($H687-K687,L687-K687)*INDEX('2018_commission_structure'!$A$5:$J$8,MATCH(Calculations!$E687,'2018_commission_structure'!$A$5:$A$8,0),MATCH(Calculations!Y$1,'2018_commission_structure'!$A$5:$J$5,0)),0)</f>
        <v>24235.86</v>
      </c>
      <c r="Z687" s="2">
        <f xml:space="preserve"> IF(H687&gt;L687,(H687-L687)*INDEX('2018_commission_structure'!$A$11:$I$14,MATCH(Calculations!$E687,'2018_commission_structure'!$A$11:$A$14,0),MATCH(Calculations!Z$1,'2018_commission_structure'!$A$11:$I$11,0)),0)</f>
        <v>0</v>
      </c>
      <c r="AA687" s="7">
        <f t="shared" si="97"/>
        <v>130485.86</v>
      </c>
      <c r="AB687" s="7">
        <f t="shared" si="98"/>
        <v>167501.85999999999</v>
      </c>
    </row>
    <row r="688" spans="1:28" x14ac:dyDescent="0.25">
      <c r="A688">
        <v>7132417177</v>
      </c>
      <c r="B688" t="s">
        <v>111</v>
      </c>
      <c r="C688" t="s">
        <v>112</v>
      </c>
      <c r="D688" t="str">
        <f>B688&amp;" "&amp;C688</f>
        <v>Manya Orbell</v>
      </c>
      <c r="E688" t="s">
        <v>7</v>
      </c>
      <c r="F688">
        <v>52665</v>
      </c>
      <c r="G688">
        <f>COUNTIF(deals_closed!D:D,Calculations!A688)</f>
        <v>18</v>
      </c>
      <c r="H688" s="2">
        <f>SUMIF(deals_closed!D:D,Calculations!A688,deals_closed!C:C)</f>
        <v>561559</v>
      </c>
      <c r="I688" s="2">
        <f>VLOOKUP(E688,'2018_commission_structure'!$A$11:$I$14,9,FALSE)</f>
        <v>500000</v>
      </c>
      <c r="J688" s="2">
        <f t="shared" si="90"/>
        <v>625000</v>
      </c>
      <c r="K688" s="2">
        <f t="shared" si="91"/>
        <v>750000</v>
      </c>
      <c r="L688" s="2">
        <f t="shared" si="92"/>
        <v>1000000</v>
      </c>
      <c r="M688" s="6">
        <f t="shared" si="93"/>
        <v>1.1231180000000001</v>
      </c>
      <c r="N688" t="str">
        <f t="shared" si="94"/>
        <v>100-125%</v>
      </c>
      <c r="O688" s="7">
        <f>MIN(I688,H688)*INDEX('2018_commission_structure'!$A$11:$I$14,MATCH(Calculations!$E688,'2018_commission_structure'!$A$11:$A$14,0),MATCH(Calculations!O$1,'2018_commission_structure'!$A$11:$I$11,0))</f>
        <v>50000</v>
      </c>
      <c r="P688" s="7">
        <f>IF($H688&gt;I688,MIN($H688-I688,J688-I688)*INDEX('2018_commission_structure'!$A$11:$I$14,MATCH(Calculations!$E688,'2018_commission_structure'!$A$11:$A$14,0), MATCH(Calculations!P$1,'2018_commission_structure'!$A$11:$I$11,0)),0)</f>
        <v>9233.85</v>
      </c>
      <c r="Q688" s="7">
        <f>IF($H688&gt;J688,MIN($H688-J688,K688-J688)*INDEX('2018_commission_structure'!$A$11:$I$14,MATCH(Calculations!$E688,'2018_commission_structure'!$A$11:$A$14,0), MATCH(Calculations!Q$1,'2018_commission_structure'!$A$11:$I$11,0)),0)</f>
        <v>0</v>
      </c>
      <c r="R688" s="7">
        <f>IF($H688&gt;K688,MIN($H688-K688,L688-K688)*INDEX('2018_commission_structure'!$A$11:$I$14,MATCH(Calculations!$E688,'2018_commission_structure'!$A$11:$A$14,0), MATCH(Calculations!R$1,'2018_commission_structure'!$A$11:$I$11,0)),0)</f>
        <v>0</v>
      </c>
      <c r="S688" s="7">
        <f>IF(H688&gt;L688,(H688-L688)*INDEX('2018_commission_structure'!$A$11:$I$14,MATCH(Calculations!$E688,'2018_commission_structure'!$A$11:$A$14,0),MATCH(Calculations!S$1,'2018_commission_structure'!$A$11:$I$11,0)),0)</f>
        <v>0</v>
      </c>
      <c r="T688" s="7">
        <f t="shared" si="95"/>
        <v>59233.85</v>
      </c>
      <c r="U688" s="7">
        <f t="shared" si="96"/>
        <v>111898.85</v>
      </c>
      <c r="V688" s="7">
        <f>MIN(H688,I688)*INDEX('2018_commission_structure'!$A$5:$J$8,MATCH(Calculations!$E688,'2018_commission_structure'!$A$5:$A$8,0),MATCH(Calculations!V$1,'2018_commission_structure'!$A$5:$J$5,0))</f>
        <v>60000</v>
      </c>
      <c r="W688" s="2">
        <f>IF($H688&gt;I688,MIN($H688-I688,J688-I688)*INDEX('2018_commission_structure'!$A$5:$J$8,MATCH(Calculations!$E688,'2018_commission_structure'!$A$5:$A$8,0),MATCH(Calculations!W$1,'2018_commission_structure'!$A$5:$J$5,0)),0)</f>
        <v>10465.030000000001</v>
      </c>
      <c r="X688" s="2">
        <f>IF($H688&gt;J688,MIN($H688-J688,K688-J688)*INDEX('2018_commission_structure'!$A$5:$J$8,MATCH(Calculations!$E688,'2018_commission_structure'!$A$5:$A$8,0),MATCH(Calculations!X$1,'2018_commission_structure'!$A$5:$J$5,0)),0)</f>
        <v>0</v>
      </c>
      <c r="Y688" s="2">
        <f>IF($H688&gt;K688,MIN($H688-K688,L688-K688)*INDEX('2018_commission_structure'!$A$5:$J$8,MATCH(Calculations!$E688,'2018_commission_structure'!$A$5:$A$8,0),MATCH(Calculations!Y$1,'2018_commission_structure'!$A$5:$J$5,0)),0)</f>
        <v>0</v>
      </c>
      <c r="Z688" s="2">
        <f xml:space="preserve"> IF(H688&gt;L688,(H688-L688)*INDEX('2018_commission_structure'!$A$11:$I$14,MATCH(Calculations!$E688,'2018_commission_structure'!$A$11:$A$14,0),MATCH(Calculations!Z$1,'2018_commission_structure'!$A$11:$I$11,0)),0)</f>
        <v>0</v>
      </c>
      <c r="AA688" s="7">
        <f t="shared" si="97"/>
        <v>70465.03</v>
      </c>
      <c r="AB688" s="7">
        <f t="shared" si="98"/>
        <v>123130.03</v>
      </c>
    </row>
    <row r="689" spans="1:28" x14ac:dyDescent="0.25">
      <c r="A689">
        <v>2908560011</v>
      </c>
      <c r="B689" t="s">
        <v>1793</v>
      </c>
      <c r="C689" t="s">
        <v>1794</v>
      </c>
      <c r="D689" t="str">
        <f>B689&amp;" "&amp;C689</f>
        <v>Barr Orring</v>
      </c>
      <c r="E689" t="s">
        <v>10</v>
      </c>
      <c r="F689">
        <v>103276</v>
      </c>
      <c r="G689">
        <f>COUNTIF(deals_closed!D:D,Calculations!A689)</f>
        <v>28</v>
      </c>
      <c r="H689" s="2">
        <f>SUMIF(deals_closed!D:D,Calculations!A689,deals_closed!C:C)</f>
        <v>930406</v>
      </c>
      <c r="I689" s="2">
        <f>VLOOKUP(E689,'2018_commission_structure'!$A$11:$I$14,9,FALSE)</f>
        <v>750000</v>
      </c>
      <c r="J689" s="2">
        <f t="shared" si="90"/>
        <v>937500</v>
      </c>
      <c r="K689" s="2">
        <f t="shared" si="91"/>
        <v>1125000</v>
      </c>
      <c r="L689" s="2">
        <f t="shared" si="92"/>
        <v>1500000</v>
      </c>
      <c r="M689" s="6">
        <f t="shared" si="93"/>
        <v>1.2405413333333333</v>
      </c>
      <c r="N689" t="str">
        <f t="shared" si="94"/>
        <v>100-125%</v>
      </c>
      <c r="O689" s="7">
        <f>MIN(I689,H689)*INDEX('2018_commission_structure'!$A$11:$I$14,MATCH(Calculations!$E689,'2018_commission_structure'!$A$11:$A$14,0),MATCH(Calculations!O$1,'2018_commission_structure'!$A$11:$I$11,0))</f>
        <v>112500</v>
      </c>
      <c r="P689" s="7">
        <f>IF($H689&gt;I689,MIN($H689-I689,J689-I689)*INDEX('2018_commission_structure'!$A$11:$I$14,MATCH(Calculations!$E689,'2018_commission_structure'!$A$11:$A$14,0), MATCH(Calculations!P$1,'2018_commission_structure'!$A$11:$I$11,0)),0)</f>
        <v>34277.14</v>
      </c>
      <c r="Q689" s="7">
        <f>IF($H689&gt;J689,MIN($H689-J689,K689-J689)*INDEX('2018_commission_structure'!$A$11:$I$14,MATCH(Calculations!$E689,'2018_commission_structure'!$A$11:$A$14,0), MATCH(Calculations!Q$1,'2018_commission_structure'!$A$11:$I$11,0)),0)</f>
        <v>0</v>
      </c>
      <c r="R689" s="7">
        <f>IF($H689&gt;K689,MIN($H689-K689,L689-K689)*INDEX('2018_commission_structure'!$A$11:$I$14,MATCH(Calculations!$E689,'2018_commission_structure'!$A$11:$A$14,0), MATCH(Calculations!R$1,'2018_commission_structure'!$A$11:$I$11,0)),0)</f>
        <v>0</v>
      </c>
      <c r="S689" s="7">
        <f>IF(H689&gt;L689,(H689-L689)*INDEX('2018_commission_structure'!$A$11:$I$14,MATCH(Calculations!$E689,'2018_commission_structure'!$A$11:$A$14,0),MATCH(Calculations!S$1,'2018_commission_structure'!$A$11:$I$11,0)),0)</f>
        <v>0</v>
      </c>
      <c r="T689" s="7">
        <f t="shared" si="95"/>
        <v>146777.14000000001</v>
      </c>
      <c r="U689" s="7">
        <f t="shared" si="96"/>
        <v>250053.14</v>
      </c>
      <c r="V689" s="7">
        <f>MIN(H689,I689)*INDEX('2018_commission_structure'!$A$5:$J$8,MATCH(Calculations!$E689,'2018_commission_structure'!$A$5:$A$8,0),MATCH(Calculations!V$1,'2018_commission_structure'!$A$5:$J$5,0))</f>
        <v>112500</v>
      </c>
      <c r="W689" s="2">
        <f>IF($H689&gt;I689,MIN($H689-I689,J689-I689)*INDEX('2018_commission_structure'!$A$5:$J$8,MATCH(Calculations!$E689,'2018_commission_structure'!$A$5:$A$8,0),MATCH(Calculations!W$1,'2018_commission_structure'!$A$5:$J$5,0)),0)</f>
        <v>39689.32</v>
      </c>
      <c r="X689" s="2">
        <f>IF($H689&gt;J689,MIN($H689-J689,K689-J689)*INDEX('2018_commission_structure'!$A$5:$J$8,MATCH(Calculations!$E689,'2018_commission_structure'!$A$5:$A$8,0),MATCH(Calculations!X$1,'2018_commission_structure'!$A$5:$J$5,0)),0)</f>
        <v>0</v>
      </c>
      <c r="Y689" s="2">
        <f>IF($H689&gt;K689,MIN($H689-K689,L689-K689)*INDEX('2018_commission_structure'!$A$5:$J$8,MATCH(Calculations!$E689,'2018_commission_structure'!$A$5:$A$8,0),MATCH(Calculations!Y$1,'2018_commission_structure'!$A$5:$J$5,0)),0)</f>
        <v>0</v>
      </c>
      <c r="Z689" s="2">
        <f xml:space="preserve"> IF(H689&gt;L689,(H689-L689)*INDEX('2018_commission_structure'!$A$11:$I$14,MATCH(Calculations!$E689,'2018_commission_structure'!$A$11:$A$14,0),MATCH(Calculations!Z$1,'2018_commission_structure'!$A$11:$I$11,0)),0)</f>
        <v>0</v>
      </c>
      <c r="AA689" s="7">
        <f t="shared" si="97"/>
        <v>152189.32</v>
      </c>
      <c r="AB689" s="7">
        <f t="shared" si="98"/>
        <v>255465.32</v>
      </c>
    </row>
    <row r="690" spans="1:28" x14ac:dyDescent="0.25">
      <c r="A690">
        <v>2792499575</v>
      </c>
      <c r="B690" t="s">
        <v>1463</v>
      </c>
      <c r="C690" t="s">
        <v>1352</v>
      </c>
      <c r="D690" t="str">
        <f>B690&amp;" "&amp;C690</f>
        <v>Broderic Osbourne</v>
      </c>
      <c r="E690" t="s">
        <v>10</v>
      </c>
      <c r="F690">
        <v>103988</v>
      </c>
      <c r="G690">
        <f>COUNTIF(deals_closed!D:D,Calculations!A690)</f>
        <v>10</v>
      </c>
      <c r="H690" s="2">
        <f>SUMIF(deals_closed!D:D,Calculations!A690,deals_closed!C:C)</f>
        <v>372686</v>
      </c>
      <c r="I690" s="2">
        <f>VLOOKUP(E690,'2018_commission_structure'!$A$11:$I$14,9,FALSE)</f>
        <v>750000</v>
      </c>
      <c r="J690" s="2">
        <f t="shared" si="90"/>
        <v>937500</v>
      </c>
      <c r="K690" s="2">
        <f t="shared" si="91"/>
        <v>1125000</v>
      </c>
      <c r="L690" s="2">
        <f t="shared" si="92"/>
        <v>1500000</v>
      </c>
      <c r="M690" s="6">
        <f t="shared" si="93"/>
        <v>0.49691466666666667</v>
      </c>
      <c r="N690" t="str">
        <f t="shared" si="94"/>
        <v>0-100%</v>
      </c>
      <c r="O690" s="7">
        <f>MIN(I690,H690)*INDEX('2018_commission_structure'!$A$11:$I$14,MATCH(Calculations!$E690,'2018_commission_structure'!$A$11:$A$14,0),MATCH(Calculations!O$1,'2018_commission_structure'!$A$11:$I$11,0))</f>
        <v>55902.9</v>
      </c>
      <c r="P690" s="7">
        <f>IF($H690&gt;I690,MIN($H690-I690,J690-I690)*INDEX('2018_commission_structure'!$A$11:$I$14,MATCH(Calculations!$E690,'2018_commission_structure'!$A$11:$A$14,0), MATCH(Calculations!P$1,'2018_commission_structure'!$A$11:$I$11,0)),0)</f>
        <v>0</v>
      </c>
      <c r="Q690" s="7">
        <f>IF($H690&gt;J690,MIN($H690-J690,K690-J690)*INDEX('2018_commission_structure'!$A$11:$I$14,MATCH(Calculations!$E690,'2018_commission_structure'!$A$11:$A$14,0), MATCH(Calculations!Q$1,'2018_commission_structure'!$A$11:$I$11,0)),0)</f>
        <v>0</v>
      </c>
      <c r="R690" s="7">
        <f>IF($H690&gt;K690,MIN($H690-K690,L690-K690)*INDEX('2018_commission_structure'!$A$11:$I$14,MATCH(Calculations!$E690,'2018_commission_structure'!$A$11:$A$14,0), MATCH(Calculations!R$1,'2018_commission_structure'!$A$11:$I$11,0)),0)</f>
        <v>0</v>
      </c>
      <c r="S690" s="7">
        <f>IF(H690&gt;L690,(H690-L690)*INDEX('2018_commission_structure'!$A$11:$I$14,MATCH(Calculations!$E690,'2018_commission_structure'!$A$11:$A$14,0),MATCH(Calculations!S$1,'2018_commission_structure'!$A$11:$I$11,0)),0)</f>
        <v>0</v>
      </c>
      <c r="T690" s="7">
        <f t="shared" si="95"/>
        <v>55902.9</v>
      </c>
      <c r="U690" s="7">
        <f t="shared" si="96"/>
        <v>159890.9</v>
      </c>
      <c r="V690" s="7">
        <f>MIN(H690,I690)*INDEX('2018_commission_structure'!$A$5:$J$8,MATCH(Calculations!$E690,'2018_commission_structure'!$A$5:$A$8,0),MATCH(Calculations!V$1,'2018_commission_structure'!$A$5:$J$5,0))</f>
        <v>55902.9</v>
      </c>
      <c r="W690" s="2">
        <f>IF($H690&gt;I690,MIN($H690-I690,J690-I690)*INDEX('2018_commission_structure'!$A$5:$J$8,MATCH(Calculations!$E690,'2018_commission_structure'!$A$5:$A$8,0),MATCH(Calculations!W$1,'2018_commission_structure'!$A$5:$J$5,0)),0)</f>
        <v>0</v>
      </c>
      <c r="X690" s="2">
        <f>IF($H690&gt;J690,MIN($H690-J690,K690-J690)*INDEX('2018_commission_structure'!$A$5:$J$8,MATCH(Calculations!$E690,'2018_commission_structure'!$A$5:$A$8,0),MATCH(Calculations!X$1,'2018_commission_structure'!$A$5:$J$5,0)),0)</f>
        <v>0</v>
      </c>
      <c r="Y690" s="2">
        <f>IF($H690&gt;K690,MIN($H690-K690,L690-K690)*INDEX('2018_commission_structure'!$A$5:$J$8,MATCH(Calculations!$E690,'2018_commission_structure'!$A$5:$A$8,0),MATCH(Calculations!Y$1,'2018_commission_structure'!$A$5:$J$5,0)),0)</f>
        <v>0</v>
      </c>
      <c r="Z690" s="2">
        <f xml:space="preserve"> IF(H690&gt;L690,(H690-L690)*INDEX('2018_commission_structure'!$A$11:$I$14,MATCH(Calculations!$E690,'2018_commission_structure'!$A$11:$A$14,0),MATCH(Calculations!Z$1,'2018_commission_structure'!$A$11:$I$11,0)),0)</f>
        <v>0</v>
      </c>
      <c r="AA690" s="7">
        <f t="shared" si="97"/>
        <v>55902.9</v>
      </c>
      <c r="AB690" s="7">
        <f t="shared" si="98"/>
        <v>159890.9</v>
      </c>
    </row>
    <row r="691" spans="1:28" x14ac:dyDescent="0.25">
      <c r="A691">
        <v>2423731264</v>
      </c>
      <c r="B691" t="s">
        <v>165</v>
      </c>
      <c r="C691" t="s">
        <v>166</v>
      </c>
      <c r="D691" t="str">
        <f>B691&amp;" "&amp;C691</f>
        <v>Bonny Oxteby</v>
      </c>
      <c r="E691" t="s">
        <v>10</v>
      </c>
      <c r="F691">
        <v>124700</v>
      </c>
      <c r="G691">
        <f>COUNTIF(deals_closed!D:D,Calculations!A691)</f>
        <v>15</v>
      </c>
      <c r="H691" s="2">
        <f>SUMIF(deals_closed!D:D,Calculations!A691,deals_closed!C:C)</f>
        <v>588818</v>
      </c>
      <c r="I691" s="2">
        <f>VLOOKUP(E691,'2018_commission_structure'!$A$11:$I$14,9,FALSE)</f>
        <v>750000</v>
      </c>
      <c r="J691" s="2">
        <f t="shared" si="90"/>
        <v>937500</v>
      </c>
      <c r="K691" s="2">
        <f t="shared" si="91"/>
        <v>1125000</v>
      </c>
      <c r="L691" s="2">
        <f t="shared" si="92"/>
        <v>1500000</v>
      </c>
      <c r="M691" s="6">
        <f t="shared" si="93"/>
        <v>0.78509066666666671</v>
      </c>
      <c r="N691" t="str">
        <f t="shared" si="94"/>
        <v>0-100%</v>
      </c>
      <c r="O691" s="7">
        <f>MIN(I691,H691)*INDEX('2018_commission_structure'!$A$11:$I$14,MATCH(Calculations!$E691,'2018_commission_structure'!$A$11:$A$14,0),MATCH(Calculations!O$1,'2018_commission_structure'!$A$11:$I$11,0))</f>
        <v>88322.7</v>
      </c>
      <c r="P691" s="7">
        <f>IF($H691&gt;I691,MIN($H691-I691,J691-I691)*INDEX('2018_commission_structure'!$A$11:$I$14,MATCH(Calculations!$E691,'2018_commission_structure'!$A$11:$A$14,0), MATCH(Calculations!P$1,'2018_commission_structure'!$A$11:$I$11,0)),0)</f>
        <v>0</v>
      </c>
      <c r="Q691" s="7">
        <f>IF($H691&gt;J691,MIN($H691-J691,K691-J691)*INDEX('2018_commission_structure'!$A$11:$I$14,MATCH(Calculations!$E691,'2018_commission_structure'!$A$11:$A$14,0), MATCH(Calculations!Q$1,'2018_commission_structure'!$A$11:$I$11,0)),0)</f>
        <v>0</v>
      </c>
      <c r="R691" s="7">
        <f>IF($H691&gt;K691,MIN($H691-K691,L691-K691)*INDEX('2018_commission_structure'!$A$11:$I$14,MATCH(Calculations!$E691,'2018_commission_structure'!$A$11:$A$14,0), MATCH(Calculations!R$1,'2018_commission_structure'!$A$11:$I$11,0)),0)</f>
        <v>0</v>
      </c>
      <c r="S691" s="7">
        <f>IF(H691&gt;L691,(H691-L691)*INDEX('2018_commission_structure'!$A$11:$I$14,MATCH(Calculations!$E691,'2018_commission_structure'!$A$11:$A$14,0),MATCH(Calculations!S$1,'2018_commission_structure'!$A$11:$I$11,0)),0)</f>
        <v>0</v>
      </c>
      <c r="T691" s="7">
        <f t="shared" si="95"/>
        <v>88322.7</v>
      </c>
      <c r="U691" s="7">
        <f t="shared" si="96"/>
        <v>213022.7</v>
      </c>
      <c r="V691" s="7">
        <f>MIN(H691,I691)*INDEX('2018_commission_structure'!$A$5:$J$8,MATCH(Calculations!$E691,'2018_commission_structure'!$A$5:$A$8,0),MATCH(Calculations!V$1,'2018_commission_structure'!$A$5:$J$5,0))</f>
        <v>88322.7</v>
      </c>
      <c r="W691" s="2">
        <f>IF($H691&gt;I691,MIN($H691-I691,J691-I691)*INDEX('2018_commission_structure'!$A$5:$J$8,MATCH(Calculations!$E691,'2018_commission_structure'!$A$5:$A$8,0),MATCH(Calculations!W$1,'2018_commission_structure'!$A$5:$J$5,0)),0)</f>
        <v>0</v>
      </c>
      <c r="X691" s="2">
        <f>IF($H691&gt;J691,MIN($H691-J691,K691-J691)*INDEX('2018_commission_structure'!$A$5:$J$8,MATCH(Calculations!$E691,'2018_commission_structure'!$A$5:$A$8,0),MATCH(Calculations!X$1,'2018_commission_structure'!$A$5:$J$5,0)),0)</f>
        <v>0</v>
      </c>
      <c r="Y691" s="2">
        <f>IF($H691&gt;K691,MIN($H691-K691,L691-K691)*INDEX('2018_commission_structure'!$A$5:$J$8,MATCH(Calculations!$E691,'2018_commission_structure'!$A$5:$A$8,0),MATCH(Calculations!Y$1,'2018_commission_structure'!$A$5:$J$5,0)),0)</f>
        <v>0</v>
      </c>
      <c r="Z691" s="2">
        <f xml:space="preserve"> IF(H691&gt;L691,(H691-L691)*INDEX('2018_commission_structure'!$A$11:$I$14,MATCH(Calculations!$E691,'2018_commission_structure'!$A$11:$A$14,0),MATCH(Calculations!Z$1,'2018_commission_structure'!$A$11:$I$11,0)),0)</f>
        <v>0</v>
      </c>
      <c r="AA691" s="7">
        <f t="shared" si="97"/>
        <v>88322.7</v>
      </c>
      <c r="AB691" s="7">
        <f t="shared" si="98"/>
        <v>213022.7</v>
      </c>
    </row>
    <row r="692" spans="1:28" x14ac:dyDescent="0.25">
      <c r="A692">
        <v>2456061896</v>
      </c>
      <c r="B692" t="s">
        <v>1492</v>
      </c>
      <c r="C692" t="s">
        <v>1493</v>
      </c>
      <c r="D692" t="str">
        <f>B692&amp;" "&amp;C692</f>
        <v>Craggie Paradin</v>
      </c>
      <c r="E692" t="s">
        <v>7</v>
      </c>
      <c r="F692">
        <v>32384</v>
      </c>
      <c r="G692">
        <f>COUNTIF(deals_closed!D:D,Calculations!A692)</f>
        <v>15</v>
      </c>
      <c r="H692" s="2">
        <f>SUMIF(deals_closed!D:D,Calculations!A692,deals_closed!C:C)</f>
        <v>458838</v>
      </c>
      <c r="I692" s="2">
        <f>VLOOKUP(E692,'2018_commission_structure'!$A$11:$I$14,9,FALSE)</f>
        <v>500000</v>
      </c>
      <c r="J692" s="2">
        <f t="shared" si="90"/>
        <v>625000</v>
      </c>
      <c r="K692" s="2">
        <f t="shared" si="91"/>
        <v>750000</v>
      </c>
      <c r="L692" s="2">
        <f t="shared" si="92"/>
        <v>1000000</v>
      </c>
      <c r="M692" s="6">
        <f t="shared" si="93"/>
        <v>0.91767600000000005</v>
      </c>
      <c r="N692" t="str">
        <f t="shared" si="94"/>
        <v>0-100%</v>
      </c>
      <c r="O692" s="7">
        <f>MIN(I692,H692)*INDEX('2018_commission_structure'!$A$11:$I$14,MATCH(Calculations!$E692,'2018_commission_structure'!$A$11:$A$14,0),MATCH(Calculations!O$1,'2018_commission_structure'!$A$11:$I$11,0))</f>
        <v>45883.8</v>
      </c>
      <c r="P692" s="7">
        <f>IF($H692&gt;I692,MIN($H692-I692,J692-I692)*INDEX('2018_commission_structure'!$A$11:$I$14,MATCH(Calculations!$E692,'2018_commission_structure'!$A$11:$A$14,0), MATCH(Calculations!P$1,'2018_commission_structure'!$A$11:$I$11,0)),0)</f>
        <v>0</v>
      </c>
      <c r="Q692" s="7">
        <f>IF($H692&gt;J692,MIN($H692-J692,K692-J692)*INDEX('2018_commission_structure'!$A$11:$I$14,MATCH(Calculations!$E692,'2018_commission_structure'!$A$11:$A$14,0), MATCH(Calculations!Q$1,'2018_commission_structure'!$A$11:$I$11,0)),0)</f>
        <v>0</v>
      </c>
      <c r="R692" s="7">
        <f>IF($H692&gt;K692,MIN($H692-K692,L692-K692)*INDEX('2018_commission_structure'!$A$11:$I$14,MATCH(Calculations!$E692,'2018_commission_structure'!$A$11:$A$14,0), MATCH(Calculations!R$1,'2018_commission_structure'!$A$11:$I$11,0)),0)</f>
        <v>0</v>
      </c>
      <c r="S692" s="7">
        <f>IF(H692&gt;L692,(H692-L692)*INDEX('2018_commission_structure'!$A$11:$I$14,MATCH(Calculations!$E692,'2018_commission_structure'!$A$11:$A$14,0),MATCH(Calculations!S$1,'2018_commission_structure'!$A$11:$I$11,0)),0)</f>
        <v>0</v>
      </c>
      <c r="T692" s="7">
        <f t="shared" si="95"/>
        <v>45883.8</v>
      </c>
      <c r="U692" s="7">
        <f t="shared" si="96"/>
        <v>78267.8</v>
      </c>
      <c r="V692" s="7">
        <f>MIN(H692,I692)*INDEX('2018_commission_structure'!$A$5:$J$8,MATCH(Calculations!$E692,'2018_commission_structure'!$A$5:$A$8,0),MATCH(Calculations!V$1,'2018_commission_structure'!$A$5:$J$5,0))</f>
        <v>55060.56</v>
      </c>
      <c r="W692" s="2">
        <f>IF($H692&gt;I692,MIN($H692-I692,J692-I692)*INDEX('2018_commission_structure'!$A$5:$J$8,MATCH(Calculations!$E692,'2018_commission_structure'!$A$5:$A$8,0),MATCH(Calculations!W$1,'2018_commission_structure'!$A$5:$J$5,0)),0)</f>
        <v>0</v>
      </c>
      <c r="X692" s="2">
        <f>IF($H692&gt;J692,MIN($H692-J692,K692-J692)*INDEX('2018_commission_structure'!$A$5:$J$8,MATCH(Calculations!$E692,'2018_commission_structure'!$A$5:$A$8,0),MATCH(Calculations!X$1,'2018_commission_structure'!$A$5:$J$5,0)),0)</f>
        <v>0</v>
      </c>
      <c r="Y692" s="2">
        <f>IF($H692&gt;K692,MIN($H692-K692,L692-K692)*INDEX('2018_commission_structure'!$A$5:$J$8,MATCH(Calculations!$E692,'2018_commission_structure'!$A$5:$A$8,0),MATCH(Calculations!Y$1,'2018_commission_structure'!$A$5:$J$5,0)),0)</f>
        <v>0</v>
      </c>
      <c r="Z692" s="2">
        <f xml:space="preserve"> IF(H692&gt;L692,(H692-L692)*INDEX('2018_commission_structure'!$A$11:$I$14,MATCH(Calculations!$E692,'2018_commission_structure'!$A$11:$A$14,0),MATCH(Calculations!Z$1,'2018_commission_structure'!$A$11:$I$11,0)),0)</f>
        <v>0</v>
      </c>
      <c r="AA692" s="7">
        <f t="shared" si="97"/>
        <v>55060.56</v>
      </c>
      <c r="AB692" s="7">
        <f t="shared" si="98"/>
        <v>87444.56</v>
      </c>
    </row>
    <row r="693" spans="1:28" x14ac:dyDescent="0.25">
      <c r="A693">
        <v>1442784075</v>
      </c>
      <c r="B693" t="s">
        <v>1645</v>
      </c>
      <c r="C693" t="s">
        <v>1646</v>
      </c>
      <c r="D693" t="str">
        <f>B693&amp;" "&amp;C693</f>
        <v>Anselma Paradise</v>
      </c>
      <c r="E693" t="s">
        <v>10</v>
      </c>
      <c r="F693">
        <v>102948</v>
      </c>
      <c r="G693">
        <f>COUNTIF(deals_closed!D:D,Calculations!A693)</f>
        <v>24</v>
      </c>
      <c r="H693" s="2">
        <f>SUMIF(deals_closed!D:D,Calculations!A693,deals_closed!C:C)</f>
        <v>805015</v>
      </c>
      <c r="I693" s="2">
        <f>VLOOKUP(E693,'2018_commission_structure'!$A$11:$I$14,9,FALSE)</f>
        <v>750000</v>
      </c>
      <c r="J693" s="2">
        <f t="shared" si="90"/>
        <v>937500</v>
      </c>
      <c r="K693" s="2">
        <f t="shared" si="91"/>
        <v>1125000</v>
      </c>
      <c r="L693" s="2">
        <f t="shared" si="92"/>
        <v>1500000</v>
      </c>
      <c r="M693" s="6">
        <f t="shared" si="93"/>
        <v>1.0733533333333334</v>
      </c>
      <c r="N693" t="str">
        <f t="shared" si="94"/>
        <v>100-125%</v>
      </c>
      <c r="O693" s="7">
        <f>MIN(I693,H693)*INDEX('2018_commission_structure'!$A$11:$I$14,MATCH(Calculations!$E693,'2018_commission_structure'!$A$11:$A$14,0),MATCH(Calculations!O$1,'2018_commission_structure'!$A$11:$I$11,0))</f>
        <v>112500</v>
      </c>
      <c r="P693" s="7">
        <f>IF($H693&gt;I693,MIN($H693-I693,J693-I693)*INDEX('2018_commission_structure'!$A$11:$I$14,MATCH(Calculations!$E693,'2018_commission_structure'!$A$11:$A$14,0), MATCH(Calculations!P$1,'2018_commission_structure'!$A$11:$I$11,0)),0)</f>
        <v>10452.85</v>
      </c>
      <c r="Q693" s="7">
        <f>IF($H693&gt;J693,MIN($H693-J693,K693-J693)*INDEX('2018_commission_structure'!$A$11:$I$14,MATCH(Calculations!$E693,'2018_commission_structure'!$A$11:$A$14,0), MATCH(Calculations!Q$1,'2018_commission_structure'!$A$11:$I$11,0)),0)</f>
        <v>0</v>
      </c>
      <c r="R693" s="7">
        <f>IF($H693&gt;K693,MIN($H693-K693,L693-K693)*INDEX('2018_commission_structure'!$A$11:$I$14,MATCH(Calculations!$E693,'2018_commission_structure'!$A$11:$A$14,0), MATCH(Calculations!R$1,'2018_commission_structure'!$A$11:$I$11,0)),0)</f>
        <v>0</v>
      </c>
      <c r="S693" s="7">
        <f>IF(H693&gt;L693,(H693-L693)*INDEX('2018_commission_structure'!$A$11:$I$14,MATCH(Calculations!$E693,'2018_commission_structure'!$A$11:$A$14,0),MATCH(Calculations!S$1,'2018_commission_structure'!$A$11:$I$11,0)),0)</f>
        <v>0</v>
      </c>
      <c r="T693" s="7">
        <f t="shared" si="95"/>
        <v>122952.85</v>
      </c>
      <c r="U693" s="7">
        <f t="shared" si="96"/>
        <v>225900.85</v>
      </c>
      <c r="V693" s="7">
        <f>MIN(H693,I693)*INDEX('2018_commission_structure'!$A$5:$J$8,MATCH(Calculations!$E693,'2018_commission_structure'!$A$5:$A$8,0),MATCH(Calculations!V$1,'2018_commission_structure'!$A$5:$J$5,0))</f>
        <v>112500</v>
      </c>
      <c r="W693" s="2">
        <f>IF($H693&gt;I693,MIN($H693-I693,J693-I693)*INDEX('2018_commission_structure'!$A$5:$J$8,MATCH(Calculations!$E693,'2018_commission_structure'!$A$5:$A$8,0),MATCH(Calculations!W$1,'2018_commission_structure'!$A$5:$J$5,0)),0)</f>
        <v>12103.3</v>
      </c>
      <c r="X693" s="2">
        <f>IF($H693&gt;J693,MIN($H693-J693,K693-J693)*INDEX('2018_commission_structure'!$A$5:$J$8,MATCH(Calculations!$E693,'2018_commission_structure'!$A$5:$A$8,0),MATCH(Calculations!X$1,'2018_commission_structure'!$A$5:$J$5,0)),0)</f>
        <v>0</v>
      </c>
      <c r="Y693" s="2">
        <f>IF($H693&gt;K693,MIN($H693-K693,L693-K693)*INDEX('2018_commission_structure'!$A$5:$J$8,MATCH(Calculations!$E693,'2018_commission_structure'!$A$5:$A$8,0),MATCH(Calculations!Y$1,'2018_commission_structure'!$A$5:$J$5,0)),0)</f>
        <v>0</v>
      </c>
      <c r="Z693" s="2">
        <f xml:space="preserve"> IF(H693&gt;L693,(H693-L693)*INDEX('2018_commission_structure'!$A$11:$I$14,MATCH(Calculations!$E693,'2018_commission_structure'!$A$11:$A$14,0),MATCH(Calculations!Z$1,'2018_commission_structure'!$A$11:$I$11,0)),0)</f>
        <v>0</v>
      </c>
      <c r="AA693" s="7">
        <f t="shared" si="97"/>
        <v>124603.3</v>
      </c>
      <c r="AB693" s="7">
        <f t="shared" si="98"/>
        <v>227551.3</v>
      </c>
    </row>
    <row r="694" spans="1:28" x14ac:dyDescent="0.25">
      <c r="A694">
        <v>8162941088</v>
      </c>
      <c r="B694" t="s">
        <v>1482</v>
      </c>
      <c r="C694" t="s">
        <v>1483</v>
      </c>
      <c r="D694" t="str">
        <f>B694&amp;" "&amp;C694</f>
        <v>Zebadiah Parham</v>
      </c>
      <c r="E694" t="s">
        <v>7</v>
      </c>
      <c r="F694">
        <v>30769</v>
      </c>
      <c r="G694">
        <f>COUNTIF(deals_closed!D:D,Calculations!A694)</f>
        <v>29</v>
      </c>
      <c r="H694" s="2">
        <f>SUMIF(deals_closed!D:D,Calculations!A694,deals_closed!C:C)</f>
        <v>869443</v>
      </c>
      <c r="I694" s="2">
        <f>VLOOKUP(E694,'2018_commission_structure'!$A$11:$I$14,9,FALSE)</f>
        <v>500000</v>
      </c>
      <c r="J694" s="2">
        <f t="shared" si="90"/>
        <v>625000</v>
      </c>
      <c r="K694" s="2">
        <f t="shared" si="91"/>
        <v>750000</v>
      </c>
      <c r="L694" s="2">
        <f t="shared" si="92"/>
        <v>1000000</v>
      </c>
      <c r="M694" s="6">
        <f t="shared" si="93"/>
        <v>1.7388859999999999</v>
      </c>
      <c r="N694" t="str">
        <f t="shared" si="94"/>
        <v>150-200%</v>
      </c>
      <c r="O694" s="7">
        <f>MIN(I694,H694)*INDEX('2018_commission_structure'!$A$11:$I$14,MATCH(Calculations!$E694,'2018_commission_structure'!$A$11:$A$14,0),MATCH(Calculations!O$1,'2018_commission_structure'!$A$11:$I$11,0))</f>
        <v>50000</v>
      </c>
      <c r="P694" s="7">
        <f>IF($H694&gt;I694,MIN($H694-I694,J694-I694)*INDEX('2018_commission_structure'!$A$11:$I$14,MATCH(Calculations!$E694,'2018_commission_structure'!$A$11:$A$14,0), MATCH(Calculations!P$1,'2018_commission_structure'!$A$11:$I$11,0)),0)</f>
        <v>18750</v>
      </c>
      <c r="Q694" s="7">
        <f>IF($H694&gt;J694,MIN($H694-J694,K694-J694)*INDEX('2018_commission_structure'!$A$11:$I$14,MATCH(Calculations!$E694,'2018_commission_structure'!$A$11:$A$14,0), MATCH(Calculations!Q$1,'2018_commission_structure'!$A$11:$I$11,0)),0)</f>
        <v>22500</v>
      </c>
      <c r="R694" s="7">
        <f>IF($H694&gt;K694,MIN($H694-K694,L694-K694)*INDEX('2018_commission_structure'!$A$11:$I$14,MATCH(Calculations!$E694,'2018_commission_structure'!$A$11:$A$14,0), MATCH(Calculations!R$1,'2018_commission_structure'!$A$11:$I$11,0)),0)</f>
        <v>26277.46</v>
      </c>
      <c r="S694" s="7">
        <f>IF(H694&gt;L694,(H694-L694)*INDEX('2018_commission_structure'!$A$11:$I$14,MATCH(Calculations!$E694,'2018_commission_structure'!$A$11:$A$14,0),MATCH(Calculations!S$1,'2018_commission_structure'!$A$11:$I$11,0)),0)</f>
        <v>0</v>
      </c>
      <c r="T694" s="7">
        <f t="shared" si="95"/>
        <v>117527.45999999999</v>
      </c>
      <c r="U694" s="7">
        <f t="shared" si="96"/>
        <v>148296.46</v>
      </c>
      <c r="V694" s="7">
        <f>MIN(H694,I694)*INDEX('2018_commission_structure'!$A$5:$J$8,MATCH(Calculations!$E694,'2018_commission_structure'!$A$5:$A$8,0),MATCH(Calculations!V$1,'2018_commission_structure'!$A$5:$J$5,0))</f>
        <v>60000</v>
      </c>
      <c r="W694" s="2">
        <f>IF($H694&gt;I694,MIN($H694-I694,J694-I694)*INDEX('2018_commission_structure'!$A$5:$J$8,MATCH(Calculations!$E694,'2018_commission_structure'!$A$5:$A$8,0),MATCH(Calculations!W$1,'2018_commission_structure'!$A$5:$J$5,0)),0)</f>
        <v>21250</v>
      </c>
      <c r="X694" s="2">
        <f>IF($H694&gt;J694,MIN($H694-J694,K694-J694)*INDEX('2018_commission_structure'!$A$5:$J$8,MATCH(Calculations!$E694,'2018_commission_structure'!$A$5:$A$8,0),MATCH(Calculations!X$1,'2018_commission_structure'!$A$5:$J$5,0)),0)</f>
        <v>25000</v>
      </c>
      <c r="Y694" s="2">
        <f>IF($H694&gt;K694,MIN($H694-K694,L694-K694)*INDEX('2018_commission_structure'!$A$5:$J$8,MATCH(Calculations!$E694,'2018_commission_structure'!$A$5:$A$8,0),MATCH(Calculations!Y$1,'2018_commission_structure'!$A$5:$J$5,0)),0)</f>
        <v>26277.46</v>
      </c>
      <c r="Z694" s="2">
        <f xml:space="preserve"> IF(H694&gt;L694,(H694-L694)*INDEX('2018_commission_structure'!$A$11:$I$14,MATCH(Calculations!$E694,'2018_commission_structure'!$A$11:$A$14,0),MATCH(Calculations!Z$1,'2018_commission_structure'!$A$11:$I$11,0)),0)</f>
        <v>0</v>
      </c>
      <c r="AA694" s="7">
        <f t="shared" si="97"/>
        <v>132527.46</v>
      </c>
      <c r="AB694" s="7">
        <f t="shared" si="98"/>
        <v>163296.46</v>
      </c>
    </row>
    <row r="695" spans="1:28" x14ac:dyDescent="0.25">
      <c r="A695">
        <v>7286297414</v>
      </c>
      <c r="B695" t="s">
        <v>1060</v>
      </c>
      <c r="C695" t="s">
        <v>1276</v>
      </c>
      <c r="D695" t="str">
        <f>B695&amp;" "&amp;C695</f>
        <v>Luisa Parradice</v>
      </c>
      <c r="E695" t="s">
        <v>7</v>
      </c>
      <c r="F695">
        <v>47678</v>
      </c>
      <c r="G695">
        <f>COUNTIF(deals_closed!D:D,Calculations!A695)</f>
        <v>23</v>
      </c>
      <c r="H695" s="2">
        <f>SUMIF(deals_closed!D:D,Calculations!A695,deals_closed!C:C)</f>
        <v>835659</v>
      </c>
      <c r="I695" s="2">
        <f>VLOOKUP(E695,'2018_commission_structure'!$A$11:$I$14,9,FALSE)</f>
        <v>500000</v>
      </c>
      <c r="J695" s="2">
        <f t="shared" si="90"/>
        <v>625000</v>
      </c>
      <c r="K695" s="2">
        <f t="shared" si="91"/>
        <v>750000</v>
      </c>
      <c r="L695" s="2">
        <f t="shared" si="92"/>
        <v>1000000</v>
      </c>
      <c r="M695" s="6">
        <f t="shared" si="93"/>
        <v>1.6713180000000001</v>
      </c>
      <c r="N695" t="str">
        <f t="shared" si="94"/>
        <v>150-200%</v>
      </c>
      <c r="O695" s="7">
        <f>MIN(I695,H695)*INDEX('2018_commission_structure'!$A$11:$I$14,MATCH(Calculations!$E695,'2018_commission_structure'!$A$11:$A$14,0),MATCH(Calculations!O$1,'2018_commission_structure'!$A$11:$I$11,0))</f>
        <v>50000</v>
      </c>
      <c r="P695" s="7">
        <f>IF($H695&gt;I695,MIN($H695-I695,J695-I695)*INDEX('2018_commission_structure'!$A$11:$I$14,MATCH(Calculations!$E695,'2018_commission_structure'!$A$11:$A$14,0), MATCH(Calculations!P$1,'2018_commission_structure'!$A$11:$I$11,0)),0)</f>
        <v>18750</v>
      </c>
      <c r="Q695" s="7">
        <f>IF($H695&gt;J695,MIN($H695-J695,K695-J695)*INDEX('2018_commission_structure'!$A$11:$I$14,MATCH(Calculations!$E695,'2018_commission_structure'!$A$11:$A$14,0), MATCH(Calculations!Q$1,'2018_commission_structure'!$A$11:$I$11,0)),0)</f>
        <v>22500</v>
      </c>
      <c r="R695" s="7">
        <f>IF($H695&gt;K695,MIN($H695-K695,L695-K695)*INDEX('2018_commission_structure'!$A$11:$I$14,MATCH(Calculations!$E695,'2018_commission_structure'!$A$11:$A$14,0), MATCH(Calculations!R$1,'2018_commission_structure'!$A$11:$I$11,0)),0)</f>
        <v>18844.98</v>
      </c>
      <c r="S695" s="7">
        <f>IF(H695&gt;L695,(H695-L695)*INDEX('2018_commission_structure'!$A$11:$I$14,MATCH(Calculations!$E695,'2018_commission_structure'!$A$11:$A$14,0),MATCH(Calculations!S$1,'2018_commission_structure'!$A$11:$I$11,0)),0)</f>
        <v>0</v>
      </c>
      <c r="T695" s="7">
        <f t="shared" si="95"/>
        <v>110094.98</v>
      </c>
      <c r="U695" s="7">
        <f t="shared" si="96"/>
        <v>157772.97999999998</v>
      </c>
      <c r="V695" s="7">
        <f>MIN(H695,I695)*INDEX('2018_commission_structure'!$A$5:$J$8,MATCH(Calculations!$E695,'2018_commission_structure'!$A$5:$A$8,0),MATCH(Calculations!V$1,'2018_commission_structure'!$A$5:$J$5,0))</f>
        <v>60000</v>
      </c>
      <c r="W695" s="2">
        <f>IF($H695&gt;I695,MIN($H695-I695,J695-I695)*INDEX('2018_commission_structure'!$A$5:$J$8,MATCH(Calculations!$E695,'2018_commission_structure'!$A$5:$A$8,0),MATCH(Calculations!W$1,'2018_commission_structure'!$A$5:$J$5,0)),0)</f>
        <v>21250</v>
      </c>
      <c r="X695" s="2">
        <f>IF($H695&gt;J695,MIN($H695-J695,K695-J695)*INDEX('2018_commission_structure'!$A$5:$J$8,MATCH(Calculations!$E695,'2018_commission_structure'!$A$5:$A$8,0),MATCH(Calculations!X$1,'2018_commission_structure'!$A$5:$J$5,0)),0)</f>
        <v>25000</v>
      </c>
      <c r="Y695" s="2">
        <f>IF($H695&gt;K695,MIN($H695-K695,L695-K695)*INDEX('2018_commission_structure'!$A$5:$J$8,MATCH(Calculations!$E695,'2018_commission_structure'!$A$5:$A$8,0),MATCH(Calculations!Y$1,'2018_commission_structure'!$A$5:$J$5,0)),0)</f>
        <v>18844.98</v>
      </c>
      <c r="Z695" s="2">
        <f xml:space="preserve"> IF(H695&gt;L695,(H695-L695)*INDEX('2018_commission_structure'!$A$11:$I$14,MATCH(Calculations!$E695,'2018_commission_structure'!$A$11:$A$14,0),MATCH(Calculations!Z$1,'2018_commission_structure'!$A$11:$I$11,0)),0)</f>
        <v>0</v>
      </c>
      <c r="AA695" s="7">
        <f t="shared" si="97"/>
        <v>125094.98</v>
      </c>
      <c r="AB695" s="7">
        <f t="shared" si="98"/>
        <v>172772.97999999998</v>
      </c>
    </row>
    <row r="696" spans="1:28" x14ac:dyDescent="0.25">
      <c r="A696">
        <v>8718856853</v>
      </c>
      <c r="B696" t="s">
        <v>1508</v>
      </c>
      <c r="C696" t="s">
        <v>1509</v>
      </c>
      <c r="D696" t="str">
        <f>B696&amp;" "&amp;C696</f>
        <v>Jourdain Patience</v>
      </c>
      <c r="E696" t="s">
        <v>29</v>
      </c>
      <c r="F696">
        <v>71243</v>
      </c>
      <c r="G696">
        <f>COUNTIF(deals_closed!D:D,Calculations!A696)</f>
        <v>19</v>
      </c>
      <c r="H696" s="2">
        <f>SUMIF(deals_closed!D:D,Calculations!A696,deals_closed!C:C)</f>
        <v>681071</v>
      </c>
      <c r="I696" s="2">
        <f>VLOOKUP(E696,'2018_commission_structure'!$A$11:$I$14,9,FALSE)</f>
        <v>600000</v>
      </c>
      <c r="J696" s="2">
        <f t="shared" si="90"/>
        <v>750000</v>
      </c>
      <c r="K696" s="2">
        <f t="shared" si="91"/>
        <v>900000</v>
      </c>
      <c r="L696" s="2">
        <f t="shared" si="92"/>
        <v>1200000</v>
      </c>
      <c r="M696" s="6">
        <f t="shared" si="93"/>
        <v>1.1351183333333332</v>
      </c>
      <c r="N696" t="str">
        <f t="shared" si="94"/>
        <v>100-125%</v>
      </c>
      <c r="O696" s="7">
        <f>MIN(I696,H696)*INDEX('2018_commission_structure'!$A$11:$I$14,MATCH(Calculations!$E696,'2018_commission_structure'!$A$11:$A$14,0),MATCH(Calculations!O$1,'2018_commission_structure'!$A$11:$I$11,0))</f>
        <v>78000</v>
      </c>
      <c r="P696" s="7">
        <f>IF($H696&gt;I696,MIN($H696-I696,J696-I696)*INDEX('2018_commission_structure'!$A$11:$I$14,MATCH(Calculations!$E696,'2018_commission_structure'!$A$11:$A$14,0), MATCH(Calculations!P$1,'2018_commission_structure'!$A$11:$I$11,0)),0)</f>
        <v>13782.070000000002</v>
      </c>
      <c r="Q696" s="7">
        <f>IF($H696&gt;J696,MIN($H696-J696,K696-J696)*INDEX('2018_commission_structure'!$A$11:$I$14,MATCH(Calculations!$E696,'2018_commission_structure'!$A$11:$A$14,0), MATCH(Calculations!Q$1,'2018_commission_structure'!$A$11:$I$11,0)),0)</f>
        <v>0</v>
      </c>
      <c r="R696" s="7">
        <f>IF($H696&gt;K696,MIN($H696-K696,L696-K696)*INDEX('2018_commission_structure'!$A$11:$I$14,MATCH(Calculations!$E696,'2018_commission_structure'!$A$11:$A$14,0), MATCH(Calculations!R$1,'2018_commission_structure'!$A$11:$I$11,0)),0)</f>
        <v>0</v>
      </c>
      <c r="S696" s="7">
        <f>IF(H696&gt;L696,(H696-L696)*INDEX('2018_commission_structure'!$A$11:$I$14,MATCH(Calculations!$E696,'2018_commission_structure'!$A$11:$A$14,0),MATCH(Calculations!S$1,'2018_commission_structure'!$A$11:$I$11,0)),0)</f>
        <v>0</v>
      </c>
      <c r="T696" s="7">
        <f t="shared" si="95"/>
        <v>91782.07</v>
      </c>
      <c r="U696" s="7">
        <f t="shared" si="96"/>
        <v>163025.07</v>
      </c>
      <c r="V696" s="7">
        <f>MIN(H696,I696)*INDEX('2018_commission_structure'!$A$5:$J$8,MATCH(Calculations!$E696,'2018_commission_structure'!$A$5:$A$8,0),MATCH(Calculations!V$1,'2018_commission_structure'!$A$5:$J$5,0))</f>
        <v>90000</v>
      </c>
      <c r="W696" s="2">
        <f>IF($H696&gt;I696,MIN($H696-I696,J696-I696)*INDEX('2018_commission_structure'!$A$5:$J$8,MATCH(Calculations!$E696,'2018_commission_structure'!$A$5:$A$8,0),MATCH(Calculations!W$1,'2018_commission_structure'!$A$5:$J$5,0)),0)</f>
        <v>14592.779999999999</v>
      </c>
      <c r="X696" s="2">
        <f>IF($H696&gt;J696,MIN($H696-J696,K696-J696)*INDEX('2018_commission_structure'!$A$5:$J$8,MATCH(Calculations!$E696,'2018_commission_structure'!$A$5:$A$8,0),MATCH(Calculations!X$1,'2018_commission_structure'!$A$5:$J$5,0)),0)</f>
        <v>0</v>
      </c>
      <c r="Y696" s="2">
        <f>IF($H696&gt;K696,MIN($H696-K696,L696-K696)*INDEX('2018_commission_structure'!$A$5:$J$8,MATCH(Calculations!$E696,'2018_commission_structure'!$A$5:$A$8,0),MATCH(Calculations!Y$1,'2018_commission_structure'!$A$5:$J$5,0)),0)</f>
        <v>0</v>
      </c>
      <c r="Z696" s="2">
        <f xml:space="preserve"> IF(H696&gt;L696,(H696-L696)*INDEX('2018_commission_structure'!$A$11:$I$14,MATCH(Calculations!$E696,'2018_commission_structure'!$A$11:$A$14,0),MATCH(Calculations!Z$1,'2018_commission_structure'!$A$11:$I$11,0)),0)</f>
        <v>0</v>
      </c>
      <c r="AA696" s="7">
        <f t="shared" si="97"/>
        <v>104592.78</v>
      </c>
      <c r="AB696" s="7">
        <f t="shared" si="98"/>
        <v>175835.78</v>
      </c>
    </row>
    <row r="697" spans="1:28" x14ac:dyDescent="0.25">
      <c r="A697">
        <v>8895721314</v>
      </c>
      <c r="B697" t="s">
        <v>327</v>
      </c>
      <c r="C697" t="s">
        <v>328</v>
      </c>
      <c r="D697" t="str">
        <f>B697&amp;" "&amp;C697</f>
        <v>Noami Pauletti</v>
      </c>
      <c r="E697" t="s">
        <v>29</v>
      </c>
      <c r="F697">
        <v>55660</v>
      </c>
      <c r="G697">
        <f>COUNTIF(deals_closed!D:D,Calculations!A697)</f>
        <v>23</v>
      </c>
      <c r="H697" s="2">
        <f>SUMIF(deals_closed!D:D,Calculations!A697,deals_closed!C:C)</f>
        <v>847352</v>
      </c>
      <c r="I697" s="2">
        <f>VLOOKUP(E697,'2018_commission_structure'!$A$11:$I$14,9,FALSE)</f>
        <v>600000</v>
      </c>
      <c r="J697" s="2">
        <f t="shared" si="90"/>
        <v>750000</v>
      </c>
      <c r="K697" s="2">
        <f t="shared" si="91"/>
        <v>900000</v>
      </c>
      <c r="L697" s="2">
        <f t="shared" si="92"/>
        <v>1200000</v>
      </c>
      <c r="M697" s="6">
        <f t="shared" si="93"/>
        <v>1.4122533333333334</v>
      </c>
      <c r="N697" t="str">
        <f t="shared" si="94"/>
        <v>125-150%</v>
      </c>
      <c r="O697" s="7">
        <f>MIN(I697,H697)*INDEX('2018_commission_structure'!$A$11:$I$14,MATCH(Calculations!$E697,'2018_commission_structure'!$A$11:$A$14,0),MATCH(Calculations!O$1,'2018_commission_structure'!$A$11:$I$11,0))</f>
        <v>78000</v>
      </c>
      <c r="P697" s="7">
        <f>IF($H697&gt;I697,MIN($H697-I697,J697-I697)*INDEX('2018_commission_structure'!$A$11:$I$14,MATCH(Calculations!$E697,'2018_commission_structure'!$A$11:$A$14,0), MATCH(Calculations!P$1,'2018_commission_structure'!$A$11:$I$11,0)),0)</f>
        <v>25500.000000000004</v>
      </c>
      <c r="Q697" s="7">
        <f>IF($H697&gt;J697,MIN($H697-J697,K697-J697)*INDEX('2018_commission_structure'!$A$11:$I$14,MATCH(Calculations!$E697,'2018_commission_structure'!$A$11:$A$14,0), MATCH(Calculations!Q$1,'2018_commission_structure'!$A$11:$I$11,0)),0)</f>
        <v>20443.919999999998</v>
      </c>
      <c r="R697" s="7">
        <f>IF($H697&gt;K697,MIN($H697-K697,L697-K697)*INDEX('2018_commission_structure'!$A$11:$I$14,MATCH(Calculations!$E697,'2018_commission_structure'!$A$11:$A$14,0), MATCH(Calculations!R$1,'2018_commission_structure'!$A$11:$I$11,0)),0)</f>
        <v>0</v>
      </c>
      <c r="S697" s="7">
        <f>IF(H697&gt;L697,(H697-L697)*INDEX('2018_commission_structure'!$A$11:$I$14,MATCH(Calculations!$E697,'2018_commission_structure'!$A$11:$A$14,0),MATCH(Calculations!S$1,'2018_commission_structure'!$A$11:$I$11,0)),0)</f>
        <v>0</v>
      </c>
      <c r="T697" s="7">
        <f t="shared" si="95"/>
        <v>123943.92</v>
      </c>
      <c r="U697" s="7">
        <f t="shared" si="96"/>
        <v>179603.91999999998</v>
      </c>
      <c r="V697" s="7">
        <f>MIN(H697,I697)*INDEX('2018_commission_structure'!$A$5:$J$8,MATCH(Calculations!$E697,'2018_commission_structure'!$A$5:$A$8,0),MATCH(Calculations!V$1,'2018_commission_structure'!$A$5:$J$5,0))</f>
        <v>90000</v>
      </c>
      <c r="W697" s="2">
        <f>IF($H697&gt;I697,MIN($H697-I697,J697-I697)*INDEX('2018_commission_structure'!$A$5:$J$8,MATCH(Calculations!$E697,'2018_commission_structure'!$A$5:$A$8,0),MATCH(Calculations!W$1,'2018_commission_structure'!$A$5:$J$5,0)),0)</f>
        <v>27000</v>
      </c>
      <c r="X697" s="2">
        <f>IF($H697&gt;J697,MIN($H697-J697,K697-J697)*INDEX('2018_commission_structure'!$A$5:$J$8,MATCH(Calculations!$E697,'2018_commission_structure'!$A$5:$A$8,0),MATCH(Calculations!X$1,'2018_commission_structure'!$A$5:$J$5,0)),0)</f>
        <v>24338</v>
      </c>
      <c r="Y697" s="2">
        <f>IF($H697&gt;K697,MIN($H697-K697,L697-K697)*INDEX('2018_commission_structure'!$A$5:$J$8,MATCH(Calculations!$E697,'2018_commission_structure'!$A$5:$A$8,0),MATCH(Calculations!Y$1,'2018_commission_structure'!$A$5:$J$5,0)),0)</f>
        <v>0</v>
      </c>
      <c r="Z697" s="2">
        <f xml:space="preserve"> IF(H697&gt;L697,(H697-L697)*INDEX('2018_commission_structure'!$A$11:$I$14,MATCH(Calculations!$E697,'2018_commission_structure'!$A$11:$A$14,0),MATCH(Calculations!Z$1,'2018_commission_structure'!$A$11:$I$11,0)),0)</f>
        <v>0</v>
      </c>
      <c r="AA697" s="7">
        <f t="shared" si="97"/>
        <v>141338</v>
      </c>
      <c r="AB697" s="7">
        <f t="shared" si="98"/>
        <v>196998</v>
      </c>
    </row>
    <row r="698" spans="1:28" x14ac:dyDescent="0.25">
      <c r="A698">
        <v>5000631609</v>
      </c>
      <c r="B698" t="s">
        <v>897</v>
      </c>
      <c r="C698" t="s">
        <v>898</v>
      </c>
      <c r="D698" t="str">
        <f>B698&amp;" "&amp;C698</f>
        <v>Kathe Pauly</v>
      </c>
      <c r="E698" t="s">
        <v>7</v>
      </c>
      <c r="F698">
        <v>59055</v>
      </c>
      <c r="G698">
        <f>COUNTIF(deals_closed!D:D,Calculations!A698)</f>
        <v>23</v>
      </c>
      <c r="H698" s="2">
        <f>SUMIF(deals_closed!D:D,Calculations!A698,deals_closed!C:C)</f>
        <v>834217</v>
      </c>
      <c r="I698" s="2">
        <f>VLOOKUP(E698,'2018_commission_structure'!$A$11:$I$14,9,FALSE)</f>
        <v>500000</v>
      </c>
      <c r="J698" s="2">
        <f t="shared" si="90"/>
        <v>625000</v>
      </c>
      <c r="K698" s="2">
        <f t="shared" si="91"/>
        <v>750000</v>
      </c>
      <c r="L698" s="2">
        <f t="shared" si="92"/>
        <v>1000000</v>
      </c>
      <c r="M698" s="6">
        <f t="shared" si="93"/>
        <v>1.668434</v>
      </c>
      <c r="N698" t="str">
        <f t="shared" si="94"/>
        <v>150-200%</v>
      </c>
      <c r="O698" s="7">
        <f>MIN(I698,H698)*INDEX('2018_commission_structure'!$A$11:$I$14,MATCH(Calculations!$E698,'2018_commission_structure'!$A$11:$A$14,0),MATCH(Calculations!O$1,'2018_commission_structure'!$A$11:$I$11,0))</f>
        <v>50000</v>
      </c>
      <c r="P698" s="7">
        <f>IF($H698&gt;I698,MIN($H698-I698,J698-I698)*INDEX('2018_commission_structure'!$A$11:$I$14,MATCH(Calculations!$E698,'2018_commission_structure'!$A$11:$A$14,0), MATCH(Calculations!P$1,'2018_commission_structure'!$A$11:$I$11,0)),0)</f>
        <v>18750</v>
      </c>
      <c r="Q698" s="7">
        <f>IF($H698&gt;J698,MIN($H698-J698,K698-J698)*INDEX('2018_commission_structure'!$A$11:$I$14,MATCH(Calculations!$E698,'2018_commission_structure'!$A$11:$A$14,0), MATCH(Calculations!Q$1,'2018_commission_structure'!$A$11:$I$11,0)),0)</f>
        <v>22500</v>
      </c>
      <c r="R698" s="7">
        <f>IF($H698&gt;K698,MIN($H698-K698,L698-K698)*INDEX('2018_commission_structure'!$A$11:$I$14,MATCH(Calculations!$E698,'2018_commission_structure'!$A$11:$A$14,0), MATCH(Calculations!R$1,'2018_commission_structure'!$A$11:$I$11,0)),0)</f>
        <v>18527.740000000002</v>
      </c>
      <c r="S698" s="7">
        <f>IF(H698&gt;L698,(H698-L698)*INDEX('2018_commission_structure'!$A$11:$I$14,MATCH(Calculations!$E698,'2018_commission_structure'!$A$11:$A$14,0),MATCH(Calculations!S$1,'2018_commission_structure'!$A$11:$I$11,0)),0)</f>
        <v>0</v>
      </c>
      <c r="T698" s="7">
        <f t="shared" si="95"/>
        <v>109777.74</v>
      </c>
      <c r="U698" s="7">
        <f t="shared" si="96"/>
        <v>168832.74</v>
      </c>
      <c r="V698" s="7">
        <f>MIN(H698,I698)*INDEX('2018_commission_structure'!$A$5:$J$8,MATCH(Calculations!$E698,'2018_commission_structure'!$A$5:$A$8,0),MATCH(Calculations!V$1,'2018_commission_structure'!$A$5:$J$5,0))</f>
        <v>60000</v>
      </c>
      <c r="W698" s="2">
        <f>IF($H698&gt;I698,MIN($H698-I698,J698-I698)*INDEX('2018_commission_structure'!$A$5:$J$8,MATCH(Calculations!$E698,'2018_commission_structure'!$A$5:$A$8,0),MATCH(Calculations!W$1,'2018_commission_structure'!$A$5:$J$5,0)),0)</f>
        <v>21250</v>
      </c>
      <c r="X698" s="2">
        <f>IF($H698&gt;J698,MIN($H698-J698,K698-J698)*INDEX('2018_commission_structure'!$A$5:$J$8,MATCH(Calculations!$E698,'2018_commission_structure'!$A$5:$A$8,0),MATCH(Calculations!X$1,'2018_commission_structure'!$A$5:$J$5,0)),0)</f>
        <v>25000</v>
      </c>
      <c r="Y698" s="2">
        <f>IF($H698&gt;K698,MIN($H698-K698,L698-K698)*INDEX('2018_commission_structure'!$A$5:$J$8,MATCH(Calculations!$E698,'2018_commission_structure'!$A$5:$A$8,0),MATCH(Calculations!Y$1,'2018_commission_structure'!$A$5:$J$5,0)),0)</f>
        <v>18527.740000000002</v>
      </c>
      <c r="Z698" s="2">
        <f xml:space="preserve"> IF(H698&gt;L698,(H698-L698)*INDEX('2018_commission_structure'!$A$11:$I$14,MATCH(Calculations!$E698,'2018_commission_structure'!$A$11:$A$14,0),MATCH(Calculations!Z$1,'2018_commission_structure'!$A$11:$I$11,0)),0)</f>
        <v>0</v>
      </c>
      <c r="AA698" s="7">
        <f t="shared" si="97"/>
        <v>124777.74</v>
      </c>
      <c r="AB698" s="7">
        <f t="shared" si="98"/>
        <v>183832.74</v>
      </c>
    </row>
    <row r="699" spans="1:28" x14ac:dyDescent="0.25">
      <c r="A699">
        <v>453763030</v>
      </c>
      <c r="B699" t="s">
        <v>1017</v>
      </c>
      <c r="C699" t="s">
        <v>1018</v>
      </c>
      <c r="D699" t="str">
        <f>B699&amp;" "&amp;C699</f>
        <v>Wenona Pawlik</v>
      </c>
      <c r="E699" t="s">
        <v>29</v>
      </c>
      <c r="F699">
        <v>65782</v>
      </c>
      <c r="G699">
        <f>COUNTIF(deals_closed!D:D,Calculations!A699)</f>
        <v>22</v>
      </c>
      <c r="H699" s="2">
        <f>SUMIF(deals_closed!D:D,Calculations!A699,deals_closed!C:C)</f>
        <v>711633</v>
      </c>
      <c r="I699" s="2">
        <f>VLOOKUP(E699,'2018_commission_structure'!$A$11:$I$14,9,FALSE)</f>
        <v>600000</v>
      </c>
      <c r="J699" s="2">
        <f t="shared" si="90"/>
        <v>750000</v>
      </c>
      <c r="K699" s="2">
        <f t="shared" si="91"/>
        <v>900000</v>
      </c>
      <c r="L699" s="2">
        <f t="shared" si="92"/>
        <v>1200000</v>
      </c>
      <c r="M699" s="6">
        <f t="shared" si="93"/>
        <v>1.1860550000000001</v>
      </c>
      <c r="N699" t="str">
        <f t="shared" si="94"/>
        <v>100-125%</v>
      </c>
      <c r="O699" s="7">
        <f>MIN(I699,H699)*INDEX('2018_commission_structure'!$A$11:$I$14,MATCH(Calculations!$E699,'2018_commission_structure'!$A$11:$A$14,0),MATCH(Calculations!O$1,'2018_commission_structure'!$A$11:$I$11,0))</f>
        <v>78000</v>
      </c>
      <c r="P699" s="7">
        <f>IF($H699&gt;I699,MIN($H699-I699,J699-I699)*INDEX('2018_commission_structure'!$A$11:$I$14,MATCH(Calculations!$E699,'2018_commission_structure'!$A$11:$A$14,0), MATCH(Calculations!P$1,'2018_commission_structure'!$A$11:$I$11,0)),0)</f>
        <v>18977.61</v>
      </c>
      <c r="Q699" s="7">
        <f>IF($H699&gt;J699,MIN($H699-J699,K699-J699)*INDEX('2018_commission_structure'!$A$11:$I$14,MATCH(Calculations!$E699,'2018_commission_structure'!$A$11:$A$14,0), MATCH(Calculations!Q$1,'2018_commission_structure'!$A$11:$I$11,0)),0)</f>
        <v>0</v>
      </c>
      <c r="R699" s="7">
        <f>IF($H699&gt;K699,MIN($H699-K699,L699-K699)*INDEX('2018_commission_structure'!$A$11:$I$14,MATCH(Calculations!$E699,'2018_commission_structure'!$A$11:$A$14,0), MATCH(Calculations!R$1,'2018_commission_structure'!$A$11:$I$11,0)),0)</f>
        <v>0</v>
      </c>
      <c r="S699" s="7">
        <f>IF(H699&gt;L699,(H699-L699)*INDEX('2018_commission_structure'!$A$11:$I$14,MATCH(Calculations!$E699,'2018_commission_structure'!$A$11:$A$14,0),MATCH(Calculations!S$1,'2018_commission_structure'!$A$11:$I$11,0)),0)</f>
        <v>0</v>
      </c>
      <c r="T699" s="7">
        <f t="shared" si="95"/>
        <v>96977.61</v>
      </c>
      <c r="U699" s="7">
        <f t="shared" si="96"/>
        <v>162759.60999999999</v>
      </c>
      <c r="V699" s="7">
        <f>MIN(H699,I699)*INDEX('2018_commission_structure'!$A$5:$J$8,MATCH(Calculations!$E699,'2018_commission_structure'!$A$5:$A$8,0),MATCH(Calculations!V$1,'2018_commission_structure'!$A$5:$J$5,0))</f>
        <v>90000</v>
      </c>
      <c r="W699" s="2">
        <f>IF($H699&gt;I699,MIN($H699-I699,J699-I699)*INDEX('2018_commission_structure'!$A$5:$J$8,MATCH(Calculations!$E699,'2018_commission_structure'!$A$5:$A$8,0),MATCH(Calculations!W$1,'2018_commission_structure'!$A$5:$J$5,0)),0)</f>
        <v>20093.939999999999</v>
      </c>
      <c r="X699" s="2">
        <f>IF($H699&gt;J699,MIN($H699-J699,K699-J699)*INDEX('2018_commission_structure'!$A$5:$J$8,MATCH(Calculations!$E699,'2018_commission_structure'!$A$5:$A$8,0),MATCH(Calculations!X$1,'2018_commission_structure'!$A$5:$J$5,0)),0)</f>
        <v>0</v>
      </c>
      <c r="Y699" s="2">
        <f>IF($H699&gt;K699,MIN($H699-K699,L699-K699)*INDEX('2018_commission_structure'!$A$5:$J$8,MATCH(Calculations!$E699,'2018_commission_structure'!$A$5:$A$8,0),MATCH(Calculations!Y$1,'2018_commission_structure'!$A$5:$J$5,0)),0)</f>
        <v>0</v>
      </c>
      <c r="Z699" s="2">
        <f xml:space="preserve"> IF(H699&gt;L699,(H699-L699)*INDEX('2018_commission_structure'!$A$11:$I$14,MATCH(Calculations!$E699,'2018_commission_structure'!$A$11:$A$14,0),MATCH(Calculations!Z$1,'2018_commission_structure'!$A$11:$I$11,0)),0)</f>
        <v>0</v>
      </c>
      <c r="AA699" s="7">
        <f t="shared" si="97"/>
        <v>110093.94</v>
      </c>
      <c r="AB699" s="7">
        <f t="shared" si="98"/>
        <v>175875.94</v>
      </c>
    </row>
    <row r="700" spans="1:28" x14ac:dyDescent="0.25">
      <c r="A700">
        <v>4878156686</v>
      </c>
      <c r="B700" t="s">
        <v>1512</v>
      </c>
      <c r="C700" t="s">
        <v>1513</v>
      </c>
      <c r="D700" t="str">
        <f>B700&amp;" "&amp;C700</f>
        <v>Maighdiln Payfoot</v>
      </c>
      <c r="E700" t="s">
        <v>7</v>
      </c>
      <c r="F700">
        <v>38736</v>
      </c>
      <c r="G700">
        <f>COUNTIF(deals_closed!D:D,Calculations!A700)</f>
        <v>20</v>
      </c>
      <c r="H700" s="2">
        <f>SUMIF(deals_closed!D:D,Calculations!A700,deals_closed!C:C)</f>
        <v>650341</v>
      </c>
      <c r="I700" s="2">
        <f>VLOOKUP(E700,'2018_commission_structure'!$A$11:$I$14,9,FALSE)</f>
        <v>500000</v>
      </c>
      <c r="J700" s="2">
        <f t="shared" si="90"/>
        <v>625000</v>
      </c>
      <c r="K700" s="2">
        <f t="shared" si="91"/>
        <v>750000</v>
      </c>
      <c r="L700" s="2">
        <f t="shared" si="92"/>
        <v>1000000</v>
      </c>
      <c r="M700" s="6">
        <f t="shared" si="93"/>
        <v>1.3006819999999999</v>
      </c>
      <c r="N700" t="str">
        <f t="shared" si="94"/>
        <v>125-150%</v>
      </c>
      <c r="O700" s="7">
        <f>MIN(I700,H700)*INDEX('2018_commission_structure'!$A$11:$I$14,MATCH(Calculations!$E700,'2018_commission_structure'!$A$11:$A$14,0),MATCH(Calculations!O$1,'2018_commission_structure'!$A$11:$I$11,0))</f>
        <v>50000</v>
      </c>
      <c r="P700" s="7">
        <f>IF($H700&gt;I700,MIN($H700-I700,J700-I700)*INDEX('2018_commission_structure'!$A$11:$I$14,MATCH(Calculations!$E700,'2018_commission_structure'!$A$11:$A$14,0), MATCH(Calculations!P$1,'2018_commission_structure'!$A$11:$I$11,0)),0)</f>
        <v>18750</v>
      </c>
      <c r="Q700" s="7">
        <f>IF($H700&gt;J700,MIN($H700-J700,K700-J700)*INDEX('2018_commission_structure'!$A$11:$I$14,MATCH(Calculations!$E700,'2018_commission_structure'!$A$11:$A$14,0), MATCH(Calculations!Q$1,'2018_commission_structure'!$A$11:$I$11,0)),0)</f>
        <v>4561.38</v>
      </c>
      <c r="R700" s="7">
        <f>IF($H700&gt;K700,MIN($H700-K700,L700-K700)*INDEX('2018_commission_structure'!$A$11:$I$14,MATCH(Calculations!$E700,'2018_commission_structure'!$A$11:$A$14,0), MATCH(Calculations!R$1,'2018_commission_structure'!$A$11:$I$11,0)),0)</f>
        <v>0</v>
      </c>
      <c r="S700" s="7">
        <f>IF(H700&gt;L700,(H700-L700)*INDEX('2018_commission_structure'!$A$11:$I$14,MATCH(Calculations!$E700,'2018_commission_structure'!$A$11:$A$14,0),MATCH(Calculations!S$1,'2018_commission_structure'!$A$11:$I$11,0)),0)</f>
        <v>0</v>
      </c>
      <c r="T700" s="7">
        <f t="shared" si="95"/>
        <v>73311.38</v>
      </c>
      <c r="U700" s="7">
        <f t="shared" si="96"/>
        <v>112047.38</v>
      </c>
      <c r="V700" s="7">
        <f>MIN(H700,I700)*INDEX('2018_commission_structure'!$A$5:$J$8,MATCH(Calculations!$E700,'2018_commission_structure'!$A$5:$A$8,0),MATCH(Calculations!V$1,'2018_commission_structure'!$A$5:$J$5,0))</f>
        <v>60000</v>
      </c>
      <c r="W700" s="2">
        <f>IF($H700&gt;I700,MIN($H700-I700,J700-I700)*INDEX('2018_commission_structure'!$A$5:$J$8,MATCH(Calculations!$E700,'2018_commission_structure'!$A$5:$A$8,0),MATCH(Calculations!W$1,'2018_commission_structure'!$A$5:$J$5,0)),0)</f>
        <v>21250</v>
      </c>
      <c r="X700" s="2">
        <f>IF($H700&gt;J700,MIN($H700-J700,K700-J700)*INDEX('2018_commission_structure'!$A$5:$J$8,MATCH(Calculations!$E700,'2018_commission_structure'!$A$5:$A$8,0),MATCH(Calculations!X$1,'2018_commission_structure'!$A$5:$J$5,0)),0)</f>
        <v>5068.2000000000007</v>
      </c>
      <c r="Y700" s="2">
        <f>IF($H700&gt;K700,MIN($H700-K700,L700-K700)*INDEX('2018_commission_structure'!$A$5:$J$8,MATCH(Calculations!$E700,'2018_commission_structure'!$A$5:$A$8,0),MATCH(Calculations!Y$1,'2018_commission_structure'!$A$5:$J$5,0)),0)</f>
        <v>0</v>
      </c>
      <c r="Z700" s="2">
        <f xml:space="preserve"> IF(H700&gt;L700,(H700-L700)*INDEX('2018_commission_structure'!$A$11:$I$14,MATCH(Calculations!$E700,'2018_commission_structure'!$A$11:$A$14,0),MATCH(Calculations!Z$1,'2018_commission_structure'!$A$11:$I$11,0)),0)</f>
        <v>0</v>
      </c>
      <c r="AA700" s="7">
        <f t="shared" si="97"/>
        <v>86318.2</v>
      </c>
      <c r="AB700" s="7">
        <f t="shared" si="98"/>
        <v>125054.2</v>
      </c>
    </row>
    <row r="701" spans="1:28" x14ac:dyDescent="0.25">
      <c r="A701">
        <v>6695538166</v>
      </c>
      <c r="B701" t="s">
        <v>1064</v>
      </c>
      <c r="C701" t="s">
        <v>1065</v>
      </c>
      <c r="D701" t="str">
        <f>B701&amp;" "&amp;C701</f>
        <v>Jessie Peabody</v>
      </c>
      <c r="E701" t="s">
        <v>29</v>
      </c>
      <c r="F701">
        <v>72309</v>
      </c>
      <c r="G701">
        <f>COUNTIF(deals_closed!D:D,Calculations!A701)</f>
        <v>22</v>
      </c>
      <c r="H701" s="2">
        <f>SUMIF(deals_closed!D:D,Calculations!A701,deals_closed!C:C)</f>
        <v>782719</v>
      </c>
      <c r="I701" s="2">
        <f>VLOOKUP(E701,'2018_commission_structure'!$A$11:$I$14,9,FALSE)</f>
        <v>600000</v>
      </c>
      <c r="J701" s="2">
        <f t="shared" si="90"/>
        <v>750000</v>
      </c>
      <c r="K701" s="2">
        <f t="shared" si="91"/>
        <v>900000</v>
      </c>
      <c r="L701" s="2">
        <f t="shared" si="92"/>
        <v>1200000</v>
      </c>
      <c r="M701" s="6">
        <f t="shared" si="93"/>
        <v>1.3045316666666666</v>
      </c>
      <c r="N701" t="str">
        <f t="shared" si="94"/>
        <v>125-150%</v>
      </c>
      <c r="O701" s="7">
        <f>MIN(I701,H701)*INDEX('2018_commission_structure'!$A$11:$I$14,MATCH(Calculations!$E701,'2018_commission_structure'!$A$11:$A$14,0),MATCH(Calculations!O$1,'2018_commission_structure'!$A$11:$I$11,0))</f>
        <v>78000</v>
      </c>
      <c r="P701" s="7">
        <f>IF($H701&gt;I701,MIN($H701-I701,J701-I701)*INDEX('2018_commission_structure'!$A$11:$I$14,MATCH(Calculations!$E701,'2018_commission_structure'!$A$11:$A$14,0), MATCH(Calculations!P$1,'2018_commission_structure'!$A$11:$I$11,0)),0)</f>
        <v>25500.000000000004</v>
      </c>
      <c r="Q701" s="7">
        <f>IF($H701&gt;J701,MIN($H701-J701,K701-J701)*INDEX('2018_commission_structure'!$A$11:$I$14,MATCH(Calculations!$E701,'2018_commission_structure'!$A$11:$A$14,0), MATCH(Calculations!Q$1,'2018_commission_structure'!$A$11:$I$11,0)),0)</f>
        <v>6870.99</v>
      </c>
      <c r="R701" s="7">
        <f>IF($H701&gt;K701,MIN($H701-K701,L701-K701)*INDEX('2018_commission_structure'!$A$11:$I$14,MATCH(Calculations!$E701,'2018_commission_structure'!$A$11:$A$14,0), MATCH(Calculations!R$1,'2018_commission_structure'!$A$11:$I$11,0)),0)</f>
        <v>0</v>
      </c>
      <c r="S701" s="7">
        <f>IF(H701&gt;L701,(H701-L701)*INDEX('2018_commission_structure'!$A$11:$I$14,MATCH(Calculations!$E701,'2018_commission_structure'!$A$11:$A$14,0),MATCH(Calculations!S$1,'2018_commission_structure'!$A$11:$I$11,0)),0)</f>
        <v>0</v>
      </c>
      <c r="T701" s="7">
        <f t="shared" si="95"/>
        <v>110370.99</v>
      </c>
      <c r="U701" s="7">
        <f t="shared" si="96"/>
        <v>182679.99</v>
      </c>
      <c r="V701" s="7">
        <f>MIN(H701,I701)*INDEX('2018_commission_structure'!$A$5:$J$8,MATCH(Calculations!$E701,'2018_commission_structure'!$A$5:$A$8,0),MATCH(Calculations!V$1,'2018_commission_structure'!$A$5:$J$5,0))</f>
        <v>90000</v>
      </c>
      <c r="W701" s="2">
        <f>IF($H701&gt;I701,MIN($H701-I701,J701-I701)*INDEX('2018_commission_structure'!$A$5:$J$8,MATCH(Calculations!$E701,'2018_commission_structure'!$A$5:$A$8,0),MATCH(Calculations!W$1,'2018_commission_structure'!$A$5:$J$5,0)),0)</f>
        <v>27000</v>
      </c>
      <c r="X701" s="2">
        <f>IF($H701&gt;J701,MIN($H701-J701,K701-J701)*INDEX('2018_commission_structure'!$A$5:$J$8,MATCH(Calculations!$E701,'2018_commission_structure'!$A$5:$A$8,0),MATCH(Calculations!X$1,'2018_commission_structure'!$A$5:$J$5,0)),0)</f>
        <v>8179.75</v>
      </c>
      <c r="Y701" s="2">
        <f>IF($H701&gt;K701,MIN($H701-K701,L701-K701)*INDEX('2018_commission_structure'!$A$5:$J$8,MATCH(Calculations!$E701,'2018_commission_structure'!$A$5:$A$8,0),MATCH(Calculations!Y$1,'2018_commission_structure'!$A$5:$J$5,0)),0)</f>
        <v>0</v>
      </c>
      <c r="Z701" s="2">
        <f xml:space="preserve"> IF(H701&gt;L701,(H701-L701)*INDEX('2018_commission_structure'!$A$11:$I$14,MATCH(Calculations!$E701,'2018_commission_structure'!$A$11:$A$14,0),MATCH(Calculations!Z$1,'2018_commission_structure'!$A$11:$I$11,0)),0)</f>
        <v>0</v>
      </c>
      <c r="AA701" s="7">
        <f t="shared" si="97"/>
        <v>125179.75</v>
      </c>
      <c r="AB701" s="7">
        <f t="shared" si="98"/>
        <v>197488.75</v>
      </c>
    </row>
    <row r="702" spans="1:28" x14ac:dyDescent="0.25">
      <c r="A702">
        <v>3524504531</v>
      </c>
      <c r="B702" t="s">
        <v>1522</v>
      </c>
      <c r="C702" t="s">
        <v>1523</v>
      </c>
      <c r="D702" t="str">
        <f>B702&amp;" "&amp;C702</f>
        <v>Winston Pech</v>
      </c>
      <c r="E702" t="s">
        <v>10</v>
      </c>
      <c r="F702">
        <v>106058</v>
      </c>
      <c r="G702">
        <f>COUNTIF(deals_closed!D:D,Calculations!A702)</f>
        <v>21</v>
      </c>
      <c r="H702" s="2">
        <f>SUMIF(deals_closed!D:D,Calculations!A702,deals_closed!C:C)</f>
        <v>716444</v>
      </c>
      <c r="I702" s="2">
        <f>VLOOKUP(E702,'2018_commission_structure'!$A$11:$I$14,9,FALSE)</f>
        <v>750000</v>
      </c>
      <c r="J702" s="2">
        <f t="shared" si="90"/>
        <v>937500</v>
      </c>
      <c r="K702" s="2">
        <f t="shared" si="91"/>
        <v>1125000</v>
      </c>
      <c r="L702" s="2">
        <f t="shared" si="92"/>
        <v>1500000</v>
      </c>
      <c r="M702" s="6">
        <f t="shared" si="93"/>
        <v>0.9552586666666667</v>
      </c>
      <c r="N702" t="str">
        <f t="shared" si="94"/>
        <v>0-100%</v>
      </c>
      <c r="O702" s="7">
        <f>MIN(I702,H702)*INDEX('2018_commission_structure'!$A$11:$I$14,MATCH(Calculations!$E702,'2018_commission_structure'!$A$11:$A$14,0),MATCH(Calculations!O$1,'2018_commission_structure'!$A$11:$I$11,0))</f>
        <v>107466.59999999999</v>
      </c>
      <c r="P702" s="7">
        <f>IF($H702&gt;I702,MIN($H702-I702,J702-I702)*INDEX('2018_commission_structure'!$A$11:$I$14,MATCH(Calculations!$E702,'2018_commission_structure'!$A$11:$A$14,0), MATCH(Calculations!P$1,'2018_commission_structure'!$A$11:$I$11,0)),0)</f>
        <v>0</v>
      </c>
      <c r="Q702" s="7">
        <f>IF($H702&gt;J702,MIN($H702-J702,K702-J702)*INDEX('2018_commission_structure'!$A$11:$I$14,MATCH(Calculations!$E702,'2018_commission_structure'!$A$11:$A$14,0), MATCH(Calculations!Q$1,'2018_commission_structure'!$A$11:$I$11,0)),0)</f>
        <v>0</v>
      </c>
      <c r="R702" s="7">
        <f>IF($H702&gt;K702,MIN($H702-K702,L702-K702)*INDEX('2018_commission_structure'!$A$11:$I$14,MATCH(Calculations!$E702,'2018_commission_structure'!$A$11:$A$14,0), MATCH(Calculations!R$1,'2018_commission_structure'!$A$11:$I$11,0)),0)</f>
        <v>0</v>
      </c>
      <c r="S702" s="7">
        <f>IF(H702&gt;L702,(H702-L702)*INDEX('2018_commission_structure'!$A$11:$I$14,MATCH(Calculations!$E702,'2018_commission_structure'!$A$11:$A$14,0),MATCH(Calculations!S$1,'2018_commission_structure'!$A$11:$I$11,0)),0)</f>
        <v>0</v>
      </c>
      <c r="T702" s="7">
        <f t="shared" si="95"/>
        <v>107466.59999999999</v>
      </c>
      <c r="U702" s="7">
        <f t="shared" si="96"/>
        <v>213524.59999999998</v>
      </c>
      <c r="V702" s="7">
        <f>MIN(H702,I702)*INDEX('2018_commission_structure'!$A$5:$J$8,MATCH(Calculations!$E702,'2018_commission_structure'!$A$5:$A$8,0),MATCH(Calculations!V$1,'2018_commission_structure'!$A$5:$J$5,0))</f>
        <v>107466.59999999999</v>
      </c>
      <c r="W702" s="2">
        <f>IF($H702&gt;I702,MIN($H702-I702,J702-I702)*INDEX('2018_commission_structure'!$A$5:$J$8,MATCH(Calculations!$E702,'2018_commission_structure'!$A$5:$A$8,0),MATCH(Calculations!W$1,'2018_commission_structure'!$A$5:$J$5,0)),0)</f>
        <v>0</v>
      </c>
      <c r="X702" s="2">
        <f>IF($H702&gt;J702,MIN($H702-J702,K702-J702)*INDEX('2018_commission_structure'!$A$5:$J$8,MATCH(Calculations!$E702,'2018_commission_structure'!$A$5:$A$8,0),MATCH(Calculations!X$1,'2018_commission_structure'!$A$5:$J$5,0)),0)</f>
        <v>0</v>
      </c>
      <c r="Y702" s="2">
        <f>IF($H702&gt;K702,MIN($H702-K702,L702-K702)*INDEX('2018_commission_structure'!$A$5:$J$8,MATCH(Calculations!$E702,'2018_commission_structure'!$A$5:$A$8,0),MATCH(Calculations!Y$1,'2018_commission_structure'!$A$5:$J$5,0)),0)</f>
        <v>0</v>
      </c>
      <c r="Z702" s="2">
        <f xml:space="preserve"> IF(H702&gt;L702,(H702-L702)*INDEX('2018_commission_structure'!$A$11:$I$14,MATCH(Calculations!$E702,'2018_commission_structure'!$A$11:$A$14,0),MATCH(Calculations!Z$1,'2018_commission_structure'!$A$11:$I$11,0)),0)</f>
        <v>0</v>
      </c>
      <c r="AA702" s="7">
        <f t="shared" si="97"/>
        <v>107466.59999999999</v>
      </c>
      <c r="AB702" s="7">
        <f t="shared" si="98"/>
        <v>213524.59999999998</v>
      </c>
    </row>
    <row r="703" spans="1:28" x14ac:dyDescent="0.25">
      <c r="A703">
        <v>4900475084</v>
      </c>
      <c r="B703" t="s">
        <v>507</v>
      </c>
      <c r="C703" t="s">
        <v>508</v>
      </c>
      <c r="D703" t="str">
        <f>B703&amp;" "&amp;C703</f>
        <v>Fidelia Pedrocco</v>
      </c>
      <c r="E703" t="s">
        <v>29</v>
      </c>
      <c r="F703">
        <v>62855</v>
      </c>
      <c r="G703">
        <f>COUNTIF(deals_closed!D:D,Calculations!A703)</f>
        <v>22</v>
      </c>
      <c r="H703" s="2">
        <f>SUMIF(deals_closed!D:D,Calculations!A703,deals_closed!C:C)</f>
        <v>787783</v>
      </c>
      <c r="I703" s="2">
        <f>VLOOKUP(E703,'2018_commission_structure'!$A$11:$I$14,9,FALSE)</f>
        <v>600000</v>
      </c>
      <c r="J703" s="2">
        <f t="shared" si="90"/>
        <v>750000</v>
      </c>
      <c r="K703" s="2">
        <f t="shared" si="91"/>
        <v>900000</v>
      </c>
      <c r="L703" s="2">
        <f t="shared" si="92"/>
        <v>1200000</v>
      </c>
      <c r="M703" s="6">
        <f t="shared" si="93"/>
        <v>1.3129716666666666</v>
      </c>
      <c r="N703" t="str">
        <f t="shared" si="94"/>
        <v>125-150%</v>
      </c>
      <c r="O703" s="7">
        <f>MIN(I703,H703)*INDEX('2018_commission_structure'!$A$11:$I$14,MATCH(Calculations!$E703,'2018_commission_structure'!$A$11:$A$14,0),MATCH(Calculations!O$1,'2018_commission_structure'!$A$11:$I$11,0))</f>
        <v>78000</v>
      </c>
      <c r="P703" s="7">
        <f>IF($H703&gt;I703,MIN($H703-I703,J703-I703)*INDEX('2018_commission_structure'!$A$11:$I$14,MATCH(Calculations!$E703,'2018_commission_structure'!$A$11:$A$14,0), MATCH(Calculations!P$1,'2018_commission_structure'!$A$11:$I$11,0)),0)</f>
        <v>25500.000000000004</v>
      </c>
      <c r="Q703" s="7">
        <f>IF($H703&gt;J703,MIN($H703-J703,K703-J703)*INDEX('2018_commission_structure'!$A$11:$I$14,MATCH(Calculations!$E703,'2018_commission_structure'!$A$11:$A$14,0), MATCH(Calculations!Q$1,'2018_commission_structure'!$A$11:$I$11,0)),0)</f>
        <v>7934.4299999999994</v>
      </c>
      <c r="R703" s="7">
        <f>IF($H703&gt;K703,MIN($H703-K703,L703-K703)*INDEX('2018_commission_structure'!$A$11:$I$14,MATCH(Calculations!$E703,'2018_commission_structure'!$A$11:$A$14,0), MATCH(Calculations!R$1,'2018_commission_structure'!$A$11:$I$11,0)),0)</f>
        <v>0</v>
      </c>
      <c r="S703" s="7">
        <f>IF(H703&gt;L703,(H703-L703)*INDEX('2018_commission_structure'!$A$11:$I$14,MATCH(Calculations!$E703,'2018_commission_structure'!$A$11:$A$14,0),MATCH(Calculations!S$1,'2018_commission_structure'!$A$11:$I$11,0)),0)</f>
        <v>0</v>
      </c>
      <c r="T703" s="7">
        <f t="shared" si="95"/>
        <v>111434.43</v>
      </c>
      <c r="U703" s="7">
        <f t="shared" si="96"/>
        <v>174289.43</v>
      </c>
      <c r="V703" s="7">
        <f>MIN(H703,I703)*INDEX('2018_commission_structure'!$A$5:$J$8,MATCH(Calculations!$E703,'2018_commission_structure'!$A$5:$A$8,0),MATCH(Calculations!V$1,'2018_commission_structure'!$A$5:$J$5,0))</f>
        <v>90000</v>
      </c>
      <c r="W703" s="2">
        <f>IF($H703&gt;I703,MIN($H703-I703,J703-I703)*INDEX('2018_commission_structure'!$A$5:$J$8,MATCH(Calculations!$E703,'2018_commission_structure'!$A$5:$A$8,0),MATCH(Calculations!W$1,'2018_commission_structure'!$A$5:$J$5,0)),0)</f>
        <v>27000</v>
      </c>
      <c r="X703" s="2">
        <f>IF($H703&gt;J703,MIN($H703-J703,K703-J703)*INDEX('2018_commission_structure'!$A$5:$J$8,MATCH(Calculations!$E703,'2018_commission_structure'!$A$5:$A$8,0),MATCH(Calculations!X$1,'2018_commission_structure'!$A$5:$J$5,0)),0)</f>
        <v>9445.75</v>
      </c>
      <c r="Y703" s="2">
        <f>IF($H703&gt;K703,MIN($H703-K703,L703-K703)*INDEX('2018_commission_structure'!$A$5:$J$8,MATCH(Calculations!$E703,'2018_commission_structure'!$A$5:$A$8,0),MATCH(Calculations!Y$1,'2018_commission_structure'!$A$5:$J$5,0)),0)</f>
        <v>0</v>
      </c>
      <c r="Z703" s="2">
        <f xml:space="preserve"> IF(H703&gt;L703,(H703-L703)*INDEX('2018_commission_structure'!$A$11:$I$14,MATCH(Calculations!$E703,'2018_commission_structure'!$A$11:$A$14,0),MATCH(Calculations!Z$1,'2018_commission_structure'!$A$11:$I$11,0)),0)</f>
        <v>0</v>
      </c>
      <c r="AA703" s="7">
        <f t="shared" si="97"/>
        <v>126445.75</v>
      </c>
      <c r="AB703" s="7">
        <f t="shared" si="98"/>
        <v>189300.75</v>
      </c>
    </row>
    <row r="704" spans="1:28" x14ac:dyDescent="0.25">
      <c r="A704">
        <v>4670832530</v>
      </c>
      <c r="B704" t="s">
        <v>1804</v>
      </c>
      <c r="C704" t="s">
        <v>1805</v>
      </c>
      <c r="D704" t="str">
        <f>B704&amp;" "&amp;C704</f>
        <v>Lindy Pember</v>
      </c>
      <c r="E704" t="s">
        <v>10</v>
      </c>
      <c r="F704">
        <v>99389</v>
      </c>
      <c r="G704">
        <f>COUNTIF(deals_closed!D:D,Calculations!A704)</f>
        <v>23</v>
      </c>
      <c r="H704" s="2">
        <f>SUMIF(deals_closed!D:D,Calculations!A704,deals_closed!C:C)</f>
        <v>896729</v>
      </c>
      <c r="I704" s="2">
        <f>VLOOKUP(E704,'2018_commission_structure'!$A$11:$I$14,9,FALSE)</f>
        <v>750000</v>
      </c>
      <c r="J704" s="2">
        <f t="shared" si="90"/>
        <v>937500</v>
      </c>
      <c r="K704" s="2">
        <f t="shared" si="91"/>
        <v>1125000</v>
      </c>
      <c r="L704" s="2">
        <f t="shared" si="92"/>
        <v>1500000</v>
      </c>
      <c r="M704" s="6">
        <f t="shared" si="93"/>
        <v>1.1956386666666667</v>
      </c>
      <c r="N704" t="str">
        <f t="shared" si="94"/>
        <v>100-125%</v>
      </c>
      <c r="O704" s="7">
        <f>MIN(I704,H704)*INDEX('2018_commission_structure'!$A$11:$I$14,MATCH(Calculations!$E704,'2018_commission_structure'!$A$11:$A$14,0),MATCH(Calculations!O$1,'2018_commission_structure'!$A$11:$I$11,0))</f>
        <v>112500</v>
      </c>
      <c r="P704" s="7">
        <f>IF($H704&gt;I704,MIN($H704-I704,J704-I704)*INDEX('2018_commission_structure'!$A$11:$I$14,MATCH(Calculations!$E704,'2018_commission_structure'!$A$11:$A$14,0), MATCH(Calculations!P$1,'2018_commission_structure'!$A$11:$I$11,0)),0)</f>
        <v>27878.510000000002</v>
      </c>
      <c r="Q704" s="7">
        <f>IF($H704&gt;J704,MIN($H704-J704,K704-J704)*INDEX('2018_commission_structure'!$A$11:$I$14,MATCH(Calculations!$E704,'2018_commission_structure'!$A$11:$A$14,0), MATCH(Calculations!Q$1,'2018_commission_structure'!$A$11:$I$11,0)),0)</f>
        <v>0</v>
      </c>
      <c r="R704" s="7">
        <f>IF($H704&gt;K704,MIN($H704-K704,L704-K704)*INDEX('2018_commission_structure'!$A$11:$I$14,MATCH(Calculations!$E704,'2018_commission_structure'!$A$11:$A$14,0), MATCH(Calculations!R$1,'2018_commission_structure'!$A$11:$I$11,0)),0)</f>
        <v>0</v>
      </c>
      <c r="S704" s="7">
        <f>IF(H704&gt;L704,(H704-L704)*INDEX('2018_commission_structure'!$A$11:$I$14,MATCH(Calculations!$E704,'2018_commission_structure'!$A$11:$A$14,0),MATCH(Calculations!S$1,'2018_commission_structure'!$A$11:$I$11,0)),0)</f>
        <v>0</v>
      </c>
      <c r="T704" s="7">
        <f t="shared" si="95"/>
        <v>140378.51</v>
      </c>
      <c r="U704" s="7">
        <f t="shared" si="96"/>
        <v>239767.51</v>
      </c>
      <c r="V704" s="7">
        <f>MIN(H704,I704)*INDEX('2018_commission_structure'!$A$5:$J$8,MATCH(Calculations!$E704,'2018_commission_structure'!$A$5:$A$8,0),MATCH(Calculations!V$1,'2018_commission_structure'!$A$5:$J$5,0))</f>
        <v>112500</v>
      </c>
      <c r="W704" s="2">
        <f>IF($H704&gt;I704,MIN($H704-I704,J704-I704)*INDEX('2018_commission_structure'!$A$5:$J$8,MATCH(Calculations!$E704,'2018_commission_structure'!$A$5:$A$8,0),MATCH(Calculations!W$1,'2018_commission_structure'!$A$5:$J$5,0)),0)</f>
        <v>32280.38</v>
      </c>
      <c r="X704" s="2">
        <f>IF($H704&gt;J704,MIN($H704-J704,K704-J704)*INDEX('2018_commission_structure'!$A$5:$J$8,MATCH(Calculations!$E704,'2018_commission_structure'!$A$5:$A$8,0),MATCH(Calculations!X$1,'2018_commission_structure'!$A$5:$J$5,0)),0)</f>
        <v>0</v>
      </c>
      <c r="Y704" s="2">
        <f>IF($H704&gt;K704,MIN($H704-K704,L704-K704)*INDEX('2018_commission_structure'!$A$5:$J$8,MATCH(Calculations!$E704,'2018_commission_structure'!$A$5:$A$8,0),MATCH(Calculations!Y$1,'2018_commission_structure'!$A$5:$J$5,0)),0)</f>
        <v>0</v>
      </c>
      <c r="Z704" s="2">
        <f xml:space="preserve"> IF(H704&gt;L704,(H704-L704)*INDEX('2018_commission_structure'!$A$11:$I$14,MATCH(Calculations!$E704,'2018_commission_structure'!$A$11:$A$14,0),MATCH(Calculations!Z$1,'2018_commission_structure'!$A$11:$I$11,0)),0)</f>
        <v>0</v>
      </c>
      <c r="AA704" s="7">
        <f t="shared" si="97"/>
        <v>144780.38</v>
      </c>
      <c r="AB704" s="7">
        <f t="shared" si="98"/>
        <v>244169.38</v>
      </c>
    </row>
    <row r="705" spans="1:28" x14ac:dyDescent="0.25">
      <c r="A705">
        <v>8664054479</v>
      </c>
      <c r="B705" t="s">
        <v>640</v>
      </c>
      <c r="C705" t="s">
        <v>641</v>
      </c>
      <c r="D705" t="str">
        <f>B705&amp;" "&amp;C705</f>
        <v>Obadias Penelli</v>
      </c>
      <c r="E705" t="s">
        <v>10</v>
      </c>
      <c r="F705">
        <v>121781</v>
      </c>
      <c r="G705">
        <f>COUNTIF(deals_closed!D:D,Calculations!A705)</f>
        <v>16</v>
      </c>
      <c r="H705" s="2">
        <f>SUMIF(deals_closed!D:D,Calculations!A705,deals_closed!C:C)</f>
        <v>567972</v>
      </c>
      <c r="I705" s="2">
        <f>VLOOKUP(E705,'2018_commission_structure'!$A$11:$I$14,9,FALSE)</f>
        <v>750000</v>
      </c>
      <c r="J705" s="2">
        <f t="shared" si="90"/>
        <v>937500</v>
      </c>
      <c r="K705" s="2">
        <f t="shared" si="91"/>
        <v>1125000</v>
      </c>
      <c r="L705" s="2">
        <f t="shared" si="92"/>
        <v>1500000</v>
      </c>
      <c r="M705" s="6">
        <f t="shared" si="93"/>
        <v>0.75729599999999997</v>
      </c>
      <c r="N705" t="str">
        <f t="shared" si="94"/>
        <v>0-100%</v>
      </c>
      <c r="O705" s="7">
        <f>MIN(I705,H705)*INDEX('2018_commission_structure'!$A$11:$I$14,MATCH(Calculations!$E705,'2018_commission_structure'!$A$11:$A$14,0),MATCH(Calculations!O$1,'2018_commission_structure'!$A$11:$I$11,0))</f>
        <v>85195.8</v>
      </c>
      <c r="P705" s="7">
        <f>IF($H705&gt;I705,MIN($H705-I705,J705-I705)*INDEX('2018_commission_structure'!$A$11:$I$14,MATCH(Calculations!$E705,'2018_commission_structure'!$A$11:$A$14,0), MATCH(Calculations!P$1,'2018_commission_structure'!$A$11:$I$11,0)),0)</f>
        <v>0</v>
      </c>
      <c r="Q705" s="7">
        <f>IF($H705&gt;J705,MIN($H705-J705,K705-J705)*INDEX('2018_commission_structure'!$A$11:$I$14,MATCH(Calculations!$E705,'2018_commission_structure'!$A$11:$A$14,0), MATCH(Calculations!Q$1,'2018_commission_structure'!$A$11:$I$11,0)),0)</f>
        <v>0</v>
      </c>
      <c r="R705" s="7">
        <f>IF($H705&gt;K705,MIN($H705-K705,L705-K705)*INDEX('2018_commission_structure'!$A$11:$I$14,MATCH(Calculations!$E705,'2018_commission_structure'!$A$11:$A$14,0), MATCH(Calculations!R$1,'2018_commission_structure'!$A$11:$I$11,0)),0)</f>
        <v>0</v>
      </c>
      <c r="S705" s="7">
        <f>IF(H705&gt;L705,(H705-L705)*INDEX('2018_commission_structure'!$A$11:$I$14,MATCH(Calculations!$E705,'2018_commission_structure'!$A$11:$A$14,0),MATCH(Calculations!S$1,'2018_commission_structure'!$A$11:$I$11,0)),0)</f>
        <v>0</v>
      </c>
      <c r="T705" s="7">
        <f t="shared" si="95"/>
        <v>85195.8</v>
      </c>
      <c r="U705" s="7">
        <f t="shared" si="96"/>
        <v>206976.8</v>
      </c>
      <c r="V705" s="7">
        <f>MIN(H705,I705)*INDEX('2018_commission_structure'!$A$5:$J$8,MATCH(Calculations!$E705,'2018_commission_structure'!$A$5:$A$8,0),MATCH(Calculations!V$1,'2018_commission_structure'!$A$5:$J$5,0))</f>
        <v>85195.8</v>
      </c>
      <c r="W705" s="2">
        <f>IF($H705&gt;I705,MIN($H705-I705,J705-I705)*INDEX('2018_commission_structure'!$A$5:$J$8,MATCH(Calculations!$E705,'2018_commission_structure'!$A$5:$A$8,0),MATCH(Calculations!W$1,'2018_commission_structure'!$A$5:$J$5,0)),0)</f>
        <v>0</v>
      </c>
      <c r="X705" s="2">
        <f>IF($H705&gt;J705,MIN($H705-J705,K705-J705)*INDEX('2018_commission_structure'!$A$5:$J$8,MATCH(Calculations!$E705,'2018_commission_structure'!$A$5:$A$8,0),MATCH(Calculations!X$1,'2018_commission_structure'!$A$5:$J$5,0)),0)</f>
        <v>0</v>
      </c>
      <c r="Y705" s="2">
        <f>IF($H705&gt;K705,MIN($H705-K705,L705-K705)*INDEX('2018_commission_structure'!$A$5:$J$8,MATCH(Calculations!$E705,'2018_commission_structure'!$A$5:$A$8,0),MATCH(Calculations!Y$1,'2018_commission_structure'!$A$5:$J$5,0)),0)</f>
        <v>0</v>
      </c>
      <c r="Z705" s="2">
        <f xml:space="preserve"> IF(H705&gt;L705,(H705-L705)*INDEX('2018_commission_structure'!$A$11:$I$14,MATCH(Calculations!$E705,'2018_commission_structure'!$A$11:$A$14,0),MATCH(Calculations!Z$1,'2018_commission_structure'!$A$11:$I$11,0)),0)</f>
        <v>0</v>
      </c>
      <c r="AA705" s="7">
        <f t="shared" si="97"/>
        <v>85195.8</v>
      </c>
      <c r="AB705" s="7">
        <f t="shared" si="98"/>
        <v>206976.8</v>
      </c>
    </row>
    <row r="706" spans="1:28" x14ac:dyDescent="0.25">
      <c r="A706">
        <v>4192443678</v>
      </c>
      <c r="B706" t="s">
        <v>171</v>
      </c>
      <c r="C706" t="s">
        <v>172</v>
      </c>
      <c r="D706" t="str">
        <f>B706&amp;" "&amp;C706</f>
        <v>Cindy Pentecost</v>
      </c>
      <c r="E706" t="s">
        <v>29</v>
      </c>
      <c r="F706">
        <v>75878</v>
      </c>
      <c r="G706">
        <f>COUNTIF(deals_closed!D:D,Calculations!A706)</f>
        <v>24</v>
      </c>
      <c r="H706" s="2">
        <f>SUMIF(deals_closed!D:D,Calculations!A706,deals_closed!C:C)</f>
        <v>971092</v>
      </c>
      <c r="I706" s="2">
        <f>VLOOKUP(E706,'2018_commission_structure'!$A$11:$I$14,9,FALSE)</f>
        <v>600000</v>
      </c>
      <c r="J706" s="2">
        <f t="shared" ref="J706:J769" si="99">I706*1.25</f>
        <v>750000</v>
      </c>
      <c r="K706" s="2">
        <f t="shared" ref="K706:K769" si="100">I706*1.5</f>
        <v>900000</v>
      </c>
      <c r="L706" s="2">
        <f t="shared" ref="L706:L769" si="101">I706*2</f>
        <v>1200000</v>
      </c>
      <c r="M706" s="6">
        <f t="shared" ref="M706:M769" si="102">H706/I706</f>
        <v>1.6184866666666666</v>
      </c>
      <c r="N706" t="str">
        <f t="shared" ref="N706:N769" si="103">IF(M706&lt;=1, "0-100%", IF(M706&lt;=1.25, "100-125%", IF(M706&lt;=1.5, "125-150%", IF(M706&lt;=2, "150-200%", "&gt;200%"))))</f>
        <v>150-200%</v>
      </c>
      <c r="O706" s="7">
        <f>MIN(I706,H706)*INDEX('2018_commission_structure'!$A$11:$I$14,MATCH(Calculations!$E706,'2018_commission_structure'!$A$11:$A$14,0),MATCH(Calculations!O$1,'2018_commission_structure'!$A$11:$I$11,0))</f>
        <v>78000</v>
      </c>
      <c r="P706" s="7">
        <f>IF($H706&gt;I706,MIN($H706-I706,J706-I706)*INDEX('2018_commission_structure'!$A$11:$I$14,MATCH(Calculations!$E706,'2018_commission_structure'!$A$11:$A$14,0), MATCH(Calculations!P$1,'2018_commission_structure'!$A$11:$I$11,0)),0)</f>
        <v>25500.000000000004</v>
      </c>
      <c r="Q706" s="7">
        <f>IF($H706&gt;J706,MIN($H706-J706,K706-J706)*INDEX('2018_commission_structure'!$A$11:$I$14,MATCH(Calculations!$E706,'2018_commission_structure'!$A$11:$A$14,0), MATCH(Calculations!Q$1,'2018_commission_structure'!$A$11:$I$11,0)),0)</f>
        <v>31500</v>
      </c>
      <c r="R706" s="7">
        <f>IF($H706&gt;K706,MIN($H706-K706,L706-K706)*INDEX('2018_commission_structure'!$A$11:$I$14,MATCH(Calculations!$E706,'2018_commission_structure'!$A$11:$A$14,0), MATCH(Calculations!R$1,'2018_commission_structure'!$A$11:$I$11,0)),0)</f>
        <v>18483.920000000002</v>
      </c>
      <c r="S706" s="7">
        <f>IF(H706&gt;L706,(H706-L706)*INDEX('2018_commission_structure'!$A$11:$I$14,MATCH(Calculations!$E706,'2018_commission_structure'!$A$11:$A$14,0),MATCH(Calculations!S$1,'2018_commission_structure'!$A$11:$I$11,0)),0)</f>
        <v>0</v>
      </c>
      <c r="T706" s="7">
        <f t="shared" ref="T706:T769" si="104">SUM(O706:S706)</f>
        <v>153483.92000000001</v>
      </c>
      <c r="U706" s="7">
        <f t="shared" ref="U706:U769" si="105">T706+F706</f>
        <v>229361.92000000001</v>
      </c>
      <c r="V706" s="7">
        <f>MIN(H706,I706)*INDEX('2018_commission_structure'!$A$5:$J$8,MATCH(Calculations!$E706,'2018_commission_structure'!$A$5:$A$8,0),MATCH(Calculations!V$1,'2018_commission_structure'!$A$5:$J$5,0))</f>
        <v>90000</v>
      </c>
      <c r="W706" s="2">
        <f>IF($H706&gt;I706,MIN($H706-I706,J706-I706)*INDEX('2018_commission_structure'!$A$5:$J$8,MATCH(Calculations!$E706,'2018_commission_structure'!$A$5:$A$8,0),MATCH(Calculations!W$1,'2018_commission_structure'!$A$5:$J$5,0)),0)</f>
        <v>27000</v>
      </c>
      <c r="X706" s="2">
        <f>IF($H706&gt;J706,MIN($H706-J706,K706-J706)*INDEX('2018_commission_structure'!$A$5:$J$8,MATCH(Calculations!$E706,'2018_commission_structure'!$A$5:$A$8,0),MATCH(Calculations!X$1,'2018_commission_structure'!$A$5:$J$5,0)),0)</f>
        <v>37500</v>
      </c>
      <c r="Y706" s="2">
        <f>IF($H706&gt;K706,MIN($H706-K706,L706-K706)*INDEX('2018_commission_structure'!$A$5:$J$8,MATCH(Calculations!$E706,'2018_commission_structure'!$A$5:$A$8,0),MATCH(Calculations!Y$1,'2018_commission_structure'!$A$5:$J$5,0)),0)</f>
        <v>21327.599999999999</v>
      </c>
      <c r="Z706" s="2">
        <f xml:space="preserve"> IF(H706&gt;L706,(H706-L706)*INDEX('2018_commission_structure'!$A$11:$I$14,MATCH(Calculations!$E706,'2018_commission_structure'!$A$11:$A$14,0),MATCH(Calculations!Z$1,'2018_commission_structure'!$A$11:$I$11,0)),0)</f>
        <v>0</v>
      </c>
      <c r="AA706" s="7">
        <f t="shared" si="97"/>
        <v>175827.6</v>
      </c>
      <c r="AB706" s="7">
        <f t="shared" si="98"/>
        <v>251705.60000000001</v>
      </c>
    </row>
    <row r="707" spans="1:28" x14ac:dyDescent="0.25">
      <c r="A707">
        <v>7436398989</v>
      </c>
      <c r="B707" t="s">
        <v>1263</v>
      </c>
      <c r="C707" t="s">
        <v>1264</v>
      </c>
      <c r="D707" t="str">
        <f>B707&amp;" "&amp;C707</f>
        <v>Josiah Pepi</v>
      </c>
      <c r="E707" t="s">
        <v>10</v>
      </c>
      <c r="F707">
        <v>117196</v>
      </c>
      <c r="G707">
        <f>COUNTIF(deals_closed!D:D,Calculations!A707)</f>
        <v>14</v>
      </c>
      <c r="H707" s="2">
        <f>SUMIF(deals_closed!D:D,Calculations!A707,deals_closed!C:C)</f>
        <v>595107</v>
      </c>
      <c r="I707" s="2">
        <f>VLOOKUP(E707,'2018_commission_structure'!$A$11:$I$14,9,FALSE)</f>
        <v>750000</v>
      </c>
      <c r="J707" s="2">
        <f t="shared" si="99"/>
        <v>937500</v>
      </c>
      <c r="K707" s="2">
        <f t="shared" si="100"/>
        <v>1125000</v>
      </c>
      <c r="L707" s="2">
        <f t="shared" si="101"/>
        <v>1500000</v>
      </c>
      <c r="M707" s="6">
        <f t="shared" si="102"/>
        <v>0.79347599999999996</v>
      </c>
      <c r="N707" t="str">
        <f t="shared" si="103"/>
        <v>0-100%</v>
      </c>
      <c r="O707" s="7">
        <f>MIN(I707,H707)*INDEX('2018_commission_structure'!$A$11:$I$14,MATCH(Calculations!$E707,'2018_commission_structure'!$A$11:$A$14,0),MATCH(Calculations!O$1,'2018_commission_structure'!$A$11:$I$11,0))</f>
        <v>89266.05</v>
      </c>
      <c r="P707" s="7">
        <f>IF($H707&gt;I707,MIN($H707-I707,J707-I707)*INDEX('2018_commission_structure'!$A$11:$I$14,MATCH(Calculations!$E707,'2018_commission_structure'!$A$11:$A$14,0), MATCH(Calculations!P$1,'2018_commission_structure'!$A$11:$I$11,0)),0)</f>
        <v>0</v>
      </c>
      <c r="Q707" s="7">
        <f>IF($H707&gt;J707,MIN($H707-J707,K707-J707)*INDEX('2018_commission_structure'!$A$11:$I$14,MATCH(Calculations!$E707,'2018_commission_structure'!$A$11:$A$14,0), MATCH(Calculations!Q$1,'2018_commission_structure'!$A$11:$I$11,0)),0)</f>
        <v>0</v>
      </c>
      <c r="R707" s="7">
        <f>IF($H707&gt;K707,MIN($H707-K707,L707-K707)*INDEX('2018_commission_structure'!$A$11:$I$14,MATCH(Calculations!$E707,'2018_commission_structure'!$A$11:$A$14,0), MATCH(Calculations!R$1,'2018_commission_structure'!$A$11:$I$11,0)),0)</f>
        <v>0</v>
      </c>
      <c r="S707" s="7">
        <f>IF(H707&gt;L707,(H707-L707)*INDEX('2018_commission_structure'!$A$11:$I$14,MATCH(Calculations!$E707,'2018_commission_structure'!$A$11:$A$14,0),MATCH(Calculations!S$1,'2018_commission_structure'!$A$11:$I$11,0)),0)</f>
        <v>0</v>
      </c>
      <c r="T707" s="7">
        <f t="shared" si="104"/>
        <v>89266.05</v>
      </c>
      <c r="U707" s="7">
        <f t="shared" si="105"/>
        <v>206462.05</v>
      </c>
      <c r="V707" s="7">
        <f>MIN(H707,I707)*INDEX('2018_commission_structure'!$A$5:$J$8,MATCH(Calculations!$E707,'2018_commission_structure'!$A$5:$A$8,0),MATCH(Calculations!V$1,'2018_commission_structure'!$A$5:$J$5,0))</f>
        <v>89266.05</v>
      </c>
      <c r="W707" s="2">
        <f>IF($H707&gt;I707,MIN($H707-I707,J707-I707)*INDEX('2018_commission_structure'!$A$5:$J$8,MATCH(Calculations!$E707,'2018_commission_structure'!$A$5:$A$8,0),MATCH(Calculations!W$1,'2018_commission_structure'!$A$5:$J$5,0)),0)</f>
        <v>0</v>
      </c>
      <c r="X707" s="2">
        <f>IF($H707&gt;J707,MIN($H707-J707,K707-J707)*INDEX('2018_commission_structure'!$A$5:$J$8,MATCH(Calculations!$E707,'2018_commission_structure'!$A$5:$A$8,0),MATCH(Calculations!X$1,'2018_commission_structure'!$A$5:$J$5,0)),0)</f>
        <v>0</v>
      </c>
      <c r="Y707" s="2">
        <f>IF($H707&gt;K707,MIN($H707-K707,L707-K707)*INDEX('2018_commission_structure'!$A$5:$J$8,MATCH(Calculations!$E707,'2018_commission_structure'!$A$5:$A$8,0),MATCH(Calculations!Y$1,'2018_commission_structure'!$A$5:$J$5,0)),0)</f>
        <v>0</v>
      </c>
      <c r="Z707" s="2">
        <f xml:space="preserve"> IF(H707&gt;L707,(H707-L707)*INDEX('2018_commission_structure'!$A$11:$I$14,MATCH(Calculations!$E707,'2018_commission_structure'!$A$11:$A$14,0),MATCH(Calculations!Z$1,'2018_commission_structure'!$A$11:$I$11,0)),0)</f>
        <v>0</v>
      </c>
      <c r="AA707" s="7">
        <f t="shared" ref="AA707:AA770" si="106">SUM(V707:Z707)</f>
        <v>89266.05</v>
      </c>
      <c r="AB707" s="7">
        <f t="shared" ref="AB707:AB770" si="107">AA707+F707</f>
        <v>206462.05</v>
      </c>
    </row>
    <row r="708" spans="1:28" x14ac:dyDescent="0.25">
      <c r="A708">
        <v>1149008652</v>
      </c>
      <c r="B708" t="s">
        <v>834</v>
      </c>
      <c r="C708" t="s">
        <v>835</v>
      </c>
      <c r="D708" t="str">
        <f>B708&amp;" "&amp;C708</f>
        <v>Jethro Percifer</v>
      </c>
      <c r="E708" t="s">
        <v>10</v>
      </c>
      <c r="F708">
        <v>78714</v>
      </c>
      <c r="G708">
        <f>COUNTIF(deals_closed!D:D,Calculations!A708)</f>
        <v>18</v>
      </c>
      <c r="H708" s="2">
        <f>SUMIF(deals_closed!D:D,Calculations!A708,deals_closed!C:C)</f>
        <v>543953</v>
      </c>
      <c r="I708" s="2">
        <f>VLOOKUP(E708,'2018_commission_structure'!$A$11:$I$14,9,FALSE)</f>
        <v>750000</v>
      </c>
      <c r="J708" s="2">
        <f t="shared" si="99"/>
        <v>937500</v>
      </c>
      <c r="K708" s="2">
        <f t="shared" si="100"/>
        <v>1125000</v>
      </c>
      <c r="L708" s="2">
        <f t="shared" si="101"/>
        <v>1500000</v>
      </c>
      <c r="M708" s="6">
        <f t="shared" si="102"/>
        <v>0.72527066666666662</v>
      </c>
      <c r="N708" t="str">
        <f t="shared" si="103"/>
        <v>0-100%</v>
      </c>
      <c r="O708" s="7">
        <f>MIN(I708,H708)*INDEX('2018_commission_structure'!$A$11:$I$14,MATCH(Calculations!$E708,'2018_commission_structure'!$A$11:$A$14,0),MATCH(Calculations!O$1,'2018_commission_structure'!$A$11:$I$11,0))</f>
        <v>81592.95</v>
      </c>
      <c r="P708" s="7">
        <f>IF($H708&gt;I708,MIN($H708-I708,J708-I708)*INDEX('2018_commission_structure'!$A$11:$I$14,MATCH(Calculations!$E708,'2018_commission_structure'!$A$11:$A$14,0), MATCH(Calculations!P$1,'2018_commission_structure'!$A$11:$I$11,0)),0)</f>
        <v>0</v>
      </c>
      <c r="Q708" s="7">
        <f>IF($H708&gt;J708,MIN($H708-J708,K708-J708)*INDEX('2018_commission_structure'!$A$11:$I$14,MATCH(Calculations!$E708,'2018_commission_structure'!$A$11:$A$14,0), MATCH(Calculations!Q$1,'2018_commission_structure'!$A$11:$I$11,0)),0)</f>
        <v>0</v>
      </c>
      <c r="R708" s="7">
        <f>IF($H708&gt;K708,MIN($H708-K708,L708-K708)*INDEX('2018_commission_structure'!$A$11:$I$14,MATCH(Calculations!$E708,'2018_commission_structure'!$A$11:$A$14,0), MATCH(Calculations!R$1,'2018_commission_structure'!$A$11:$I$11,0)),0)</f>
        <v>0</v>
      </c>
      <c r="S708" s="7">
        <f>IF(H708&gt;L708,(H708-L708)*INDEX('2018_commission_structure'!$A$11:$I$14,MATCH(Calculations!$E708,'2018_commission_structure'!$A$11:$A$14,0),MATCH(Calculations!S$1,'2018_commission_structure'!$A$11:$I$11,0)),0)</f>
        <v>0</v>
      </c>
      <c r="T708" s="7">
        <f t="shared" si="104"/>
        <v>81592.95</v>
      </c>
      <c r="U708" s="7">
        <f t="shared" si="105"/>
        <v>160306.95000000001</v>
      </c>
      <c r="V708" s="7">
        <f>MIN(H708,I708)*INDEX('2018_commission_structure'!$A$5:$J$8,MATCH(Calculations!$E708,'2018_commission_structure'!$A$5:$A$8,0),MATCH(Calculations!V$1,'2018_commission_structure'!$A$5:$J$5,0))</f>
        <v>81592.95</v>
      </c>
      <c r="W708" s="2">
        <f>IF($H708&gt;I708,MIN($H708-I708,J708-I708)*INDEX('2018_commission_structure'!$A$5:$J$8,MATCH(Calculations!$E708,'2018_commission_structure'!$A$5:$A$8,0),MATCH(Calculations!W$1,'2018_commission_structure'!$A$5:$J$5,0)),0)</f>
        <v>0</v>
      </c>
      <c r="X708" s="2">
        <f>IF($H708&gt;J708,MIN($H708-J708,K708-J708)*INDEX('2018_commission_structure'!$A$5:$J$8,MATCH(Calculations!$E708,'2018_commission_structure'!$A$5:$A$8,0),MATCH(Calculations!X$1,'2018_commission_structure'!$A$5:$J$5,0)),0)</f>
        <v>0</v>
      </c>
      <c r="Y708" s="2">
        <f>IF($H708&gt;K708,MIN($H708-K708,L708-K708)*INDEX('2018_commission_structure'!$A$5:$J$8,MATCH(Calculations!$E708,'2018_commission_structure'!$A$5:$A$8,0),MATCH(Calculations!Y$1,'2018_commission_structure'!$A$5:$J$5,0)),0)</f>
        <v>0</v>
      </c>
      <c r="Z708" s="2">
        <f xml:space="preserve"> IF(H708&gt;L708,(H708-L708)*INDEX('2018_commission_structure'!$A$11:$I$14,MATCH(Calculations!$E708,'2018_commission_structure'!$A$11:$A$14,0),MATCH(Calculations!Z$1,'2018_commission_structure'!$A$11:$I$11,0)),0)</f>
        <v>0</v>
      </c>
      <c r="AA708" s="7">
        <f t="shared" si="106"/>
        <v>81592.95</v>
      </c>
      <c r="AB708" s="7">
        <f t="shared" si="107"/>
        <v>160306.95000000001</v>
      </c>
    </row>
    <row r="709" spans="1:28" x14ac:dyDescent="0.25">
      <c r="A709">
        <v>879297433</v>
      </c>
      <c r="B709" t="s">
        <v>309</v>
      </c>
      <c r="C709" t="s">
        <v>310</v>
      </c>
      <c r="D709" t="str">
        <f>B709&amp;" "&amp;C709</f>
        <v>Kevon Perl</v>
      </c>
      <c r="E709" t="s">
        <v>7</v>
      </c>
      <c r="F709">
        <v>44360</v>
      </c>
      <c r="G709">
        <f>COUNTIF(deals_closed!D:D,Calculations!A709)</f>
        <v>19</v>
      </c>
      <c r="H709" s="2">
        <f>SUMIF(deals_closed!D:D,Calculations!A709,deals_closed!C:C)</f>
        <v>703216</v>
      </c>
      <c r="I709" s="2">
        <f>VLOOKUP(E709,'2018_commission_structure'!$A$11:$I$14,9,FALSE)</f>
        <v>500000</v>
      </c>
      <c r="J709" s="2">
        <f t="shared" si="99"/>
        <v>625000</v>
      </c>
      <c r="K709" s="2">
        <f t="shared" si="100"/>
        <v>750000</v>
      </c>
      <c r="L709" s="2">
        <f t="shared" si="101"/>
        <v>1000000</v>
      </c>
      <c r="M709" s="6">
        <f t="shared" si="102"/>
        <v>1.4064319999999999</v>
      </c>
      <c r="N709" t="str">
        <f t="shared" si="103"/>
        <v>125-150%</v>
      </c>
      <c r="O709" s="7">
        <f>MIN(I709,H709)*INDEX('2018_commission_structure'!$A$11:$I$14,MATCH(Calculations!$E709,'2018_commission_structure'!$A$11:$A$14,0),MATCH(Calculations!O$1,'2018_commission_structure'!$A$11:$I$11,0))</f>
        <v>50000</v>
      </c>
      <c r="P709" s="7">
        <f>IF($H709&gt;I709,MIN($H709-I709,J709-I709)*INDEX('2018_commission_structure'!$A$11:$I$14,MATCH(Calculations!$E709,'2018_commission_structure'!$A$11:$A$14,0), MATCH(Calculations!P$1,'2018_commission_structure'!$A$11:$I$11,0)),0)</f>
        <v>18750</v>
      </c>
      <c r="Q709" s="7">
        <f>IF($H709&gt;J709,MIN($H709-J709,K709-J709)*INDEX('2018_commission_structure'!$A$11:$I$14,MATCH(Calculations!$E709,'2018_commission_structure'!$A$11:$A$14,0), MATCH(Calculations!Q$1,'2018_commission_structure'!$A$11:$I$11,0)),0)</f>
        <v>14078.88</v>
      </c>
      <c r="R709" s="7">
        <f>IF($H709&gt;K709,MIN($H709-K709,L709-K709)*INDEX('2018_commission_structure'!$A$11:$I$14,MATCH(Calculations!$E709,'2018_commission_structure'!$A$11:$A$14,0), MATCH(Calculations!R$1,'2018_commission_structure'!$A$11:$I$11,0)),0)</f>
        <v>0</v>
      </c>
      <c r="S709" s="7">
        <f>IF(H709&gt;L709,(H709-L709)*INDEX('2018_commission_structure'!$A$11:$I$14,MATCH(Calculations!$E709,'2018_commission_structure'!$A$11:$A$14,0),MATCH(Calculations!S$1,'2018_commission_structure'!$A$11:$I$11,0)),0)</f>
        <v>0</v>
      </c>
      <c r="T709" s="7">
        <f t="shared" si="104"/>
        <v>82828.88</v>
      </c>
      <c r="U709" s="7">
        <f t="shared" si="105"/>
        <v>127188.88</v>
      </c>
      <c r="V709" s="7">
        <f>MIN(H709,I709)*INDEX('2018_commission_structure'!$A$5:$J$8,MATCH(Calculations!$E709,'2018_commission_structure'!$A$5:$A$8,0),MATCH(Calculations!V$1,'2018_commission_structure'!$A$5:$J$5,0))</f>
        <v>60000</v>
      </c>
      <c r="W709" s="2">
        <f>IF($H709&gt;I709,MIN($H709-I709,J709-I709)*INDEX('2018_commission_structure'!$A$5:$J$8,MATCH(Calculations!$E709,'2018_commission_structure'!$A$5:$A$8,0),MATCH(Calculations!W$1,'2018_commission_structure'!$A$5:$J$5,0)),0)</f>
        <v>21250</v>
      </c>
      <c r="X709" s="2">
        <f>IF($H709&gt;J709,MIN($H709-J709,K709-J709)*INDEX('2018_commission_structure'!$A$5:$J$8,MATCH(Calculations!$E709,'2018_commission_structure'!$A$5:$A$8,0),MATCH(Calculations!X$1,'2018_commission_structure'!$A$5:$J$5,0)),0)</f>
        <v>15643.2</v>
      </c>
      <c r="Y709" s="2">
        <f>IF($H709&gt;K709,MIN($H709-K709,L709-K709)*INDEX('2018_commission_structure'!$A$5:$J$8,MATCH(Calculations!$E709,'2018_commission_structure'!$A$5:$A$8,0),MATCH(Calculations!Y$1,'2018_commission_structure'!$A$5:$J$5,0)),0)</f>
        <v>0</v>
      </c>
      <c r="Z709" s="2">
        <f xml:space="preserve"> IF(H709&gt;L709,(H709-L709)*INDEX('2018_commission_structure'!$A$11:$I$14,MATCH(Calculations!$E709,'2018_commission_structure'!$A$11:$A$14,0),MATCH(Calculations!Z$1,'2018_commission_structure'!$A$11:$I$11,0)),0)</f>
        <v>0</v>
      </c>
      <c r="AA709" s="7">
        <f t="shared" si="106"/>
        <v>96893.2</v>
      </c>
      <c r="AB709" s="7">
        <f t="shared" si="107"/>
        <v>141253.20000000001</v>
      </c>
    </row>
    <row r="710" spans="1:28" x14ac:dyDescent="0.25">
      <c r="A710">
        <v>6172549286</v>
      </c>
      <c r="B710" t="s">
        <v>157</v>
      </c>
      <c r="C710" t="s">
        <v>1867</v>
      </c>
      <c r="D710" t="str">
        <f>B710&amp;" "&amp;C710</f>
        <v>Neil Perritt</v>
      </c>
      <c r="E710" t="s">
        <v>29</v>
      </c>
      <c r="F710">
        <v>67585</v>
      </c>
      <c r="G710">
        <f>COUNTIF(deals_closed!D:D,Calculations!A710)</f>
        <v>22</v>
      </c>
      <c r="H710" s="2">
        <f>SUMIF(deals_closed!D:D,Calculations!A710,deals_closed!C:C)</f>
        <v>732905</v>
      </c>
      <c r="I710" s="2">
        <f>VLOOKUP(E710,'2018_commission_structure'!$A$11:$I$14,9,FALSE)</f>
        <v>600000</v>
      </c>
      <c r="J710" s="2">
        <f t="shared" si="99"/>
        <v>750000</v>
      </c>
      <c r="K710" s="2">
        <f t="shared" si="100"/>
        <v>900000</v>
      </c>
      <c r="L710" s="2">
        <f t="shared" si="101"/>
        <v>1200000</v>
      </c>
      <c r="M710" s="6">
        <f t="shared" si="102"/>
        <v>1.2215083333333334</v>
      </c>
      <c r="N710" t="str">
        <f t="shared" si="103"/>
        <v>100-125%</v>
      </c>
      <c r="O710" s="7">
        <f>MIN(I710,H710)*INDEX('2018_commission_structure'!$A$11:$I$14,MATCH(Calculations!$E710,'2018_commission_structure'!$A$11:$A$14,0),MATCH(Calculations!O$1,'2018_commission_structure'!$A$11:$I$11,0))</f>
        <v>78000</v>
      </c>
      <c r="P710" s="7">
        <f>IF($H710&gt;I710,MIN($H710-I710,J710-I710)*INDEX('2018_commission_structure'!$A$11:$I$14,MATCH(Calculations!$E710,'2018_commission_structure'!$A$11:$A$14,0), MATCH(Calculations!P$1,'2018_commission_structure'!$A$11:$I$11,0)),0)</f>
        <v>22593.850000000002</v>
      </c>
      <c r="Q710" s="7">
        <f>IF($H710&gt;J710,MIN($H710-J710,K710-J710)*INDEX('2018_commission_structure'!$A$11:$I$14,MATCH(Calculations!$E710,'2018_commission_structure'!$A$11:$A$14,0), MATCH(Calculations!Q$1,'2018_commission_structure'!$A$11:$I$11,0)),0)</f>
        <v>0</v>
      </c>
      <c r="R710" s="7">
        <f>IF($H710&gt;K710,MIN($H710-K710,L710-K710)*INDEX('2018_commission_structure'!$A$11:$I$14,MATCH(Calculations!$E710,'2018_commission_structure'!$A$11:$A$14,0), MATCH(Calculations!R$1,'2018_commission_structure'!$A$11:$I$11,0)),0)</f>
        <v>0</v>
      </c>
      <c r="S710" s="7">
        <f>IF(H710&gt;L710,(H710-L710)*INDEX('2018_commission_structure'!$A$11:$I$14,MATCH(Calculations!$E710,'2018_commission_structure'!$A$11:$A$14,0),MATCH(Calculations!S$1,'2018_commission_structure'!$A$11:$I$11,0)),0)</f>
        <v>0</v>
      </c>
      <c r="T710" s="7">
        <f t="shared" si="104"/>
        <v>100593.85</v>
      </c>
      <c r="U710" s="7">
        <f t="shared" si="105"/>
        <v>168178.85</v>
      </c>
      <c r="V710" s="7">
        <f>MIN(H710,I710)*INDEX('2018_commission_structure'!$A$5:$J$8,MATCH(Calculations!$E710,'2018_commission_structure'!$A$5:$A$8,0),MATCH(Calculations!V$1,'2018_commission_structure'!$A$5:$J$5,0))</f>
        <v>90000</v>
      </c>
      <c r="W710" s="2">
        <f>IF($H710&gt;I710,MIN($H710-I710,J710-I710)*INDEX('2018_commission_structure'!$A$5:$J$8,MATCH(Calculations!$E710,'2018_commission_structure'!$A$5:$A$8,0),MATCH(Calculations!W$1,'2018_commission_structure'!$A$5:$J$5,0)),0)</f>
        <v>23922.899999999998</v>
      </c>
      <c r="X710" s="2">
        <f>IF($H710&gt;J710,MIN($H710-J710,K710-J710)*INDEX('2018_commission_structure'!$A$5:$J$8,MATCH(Calculations!$E710,'2018_commission_structure'!$A$5:$A$8,0),MATCH(Calculations!X$1,'2018_commission_structure'!$A$5:$J$5,0)),0)</f>
        <v>0</v>
      </c>
      <c r="Y710" s="2">
        <f>IF($H710&gt;K710,MIN($H710-K710,L710-K710)*INDEX('2018_commission_structure'!$A$5:$J$8,MATCH(Calculations!$E710,'2018_commission_structure'!$A$5:$A$8,0),MATCH(Calculations!Y$1,'2018_commission_structure'!$A$5:$J$5,0)),0)</f>
        <v>0</v>
      </c>
      <c r="Z710" s="2">
        <f xml:space="preserve"> IF(H710&gt;L710,(H710-L710)*INDEX('2018_commission_structure'!$A$11:$I$14,MATCH(Calculations!$E710,'2018_commission_structure'!$A$11:$A$14,0),MATCH(Calculations!Z$1,'2018_commission_structure'!$A$11:$I$11,0)),0)</f>
        <v>0</v>
      </c>
      <c r="AA710" s="7">
        <f t="shared" si="106"/>
        <v>113922.9</v>
      </c>
      <c r="AB710" s="7">
        <f t="shared" si="107"/>
        <v>181507.9</v>
      </c>
    </row>
    <row r="711" spans="1:28" x14ac:dyDescent="0.25">
      <c r="A711">
        <v>715518151</v>
      </c>
      <c r="B711" t="s">
        <v>200</v>
      </c>
      <c r="C711" t="s">
        <v>511</v>
      </c>
      <c r="D711" t="str">
        <f>B711&amp;" "&amp;C711</f>
        <v>Stanislas Pessolt</v>
      </c>
      <c r="E711" t="s">
        <v>10</v>
      </c>
      <c r="F711">
        <v>113739</v>
      </c>
      <c r="G711">
        <f>COUNTIF(deals_closed!D:D,Calculations!A711)</f>
        <v>22</v>
      </c>
      <c r="H711" s="2">
        <f>SUMIF(deals_closed!D:D,Calculations!A711,deals_closed!C:C)</f>
        <v>789000</v>
      </c>
      <c r="I711" s="2">
        <f>VLOOKUP(E711,'2018_commission_structure'!$A$11:$I$14,9,FALSE)</f>
        <v>750000</v>
      </c>
      <c r="J711" s="2">
        <f t="shared" si="99"/>
        <v>937500</v>
      </c>
      <c r="K711" s="2">
        <f t="shared" si="100"/>
        <v>1125000</v>
      </c>
      <c r="L711" s="2">
        <f t="shared" si="101"/>
        <v>1500000</v>
      </c>
      <c r="M711" s="6">
        <f t="shared" si="102"/>
        <v>1.052</v>
      </c>
      <c r="N711" t="str">
        <f t="shared" si="103"/>
        <v>100-125%</v>
      </c>
      <c r="O711" s="7">
        <f>MIN(I711,H711)*INDEX('2018_commission_structure'!$A$11:$I$14,MATCH(Calculations!$E711,'2018_commission_structure'!$A$11:$A$14,0),MATCH(Calculations!O$1,'2018_commission_structure'!$A$11:$I$11,0))</f>
        <v>112500</v>
      </c>
      <c r="P711" s="7">
        <f>IF($H711&gt;I711,MIN($H711-I711,J711-I711)*INDEX('2018_commission_structure'!$A$11:$I$14,MATCH(Calculations!$E711,'2018_commission_structure'!$A$11:$A$14,0), MATCH(Calculations!P$1,'2018_commission_structure'!$A$11:$I$11,0)),0)</f>
        <v>7410</v>
      </c>
      <c r="Q711" s="7">
        <f>IF($H711&gt;J711,MIN($H711-J711,K711-J711)*INDEX('2018_commission_structure'!$A$11:$I$14,MATCH(Calculations!$E711,'2018_commission_structure'!$A$11:$A$14,0), MATCH(Calculations!Q$1,'2018_commission_structure'!$A$11:$I$11,0)),0)</f>
        <v>0</v>
      </c>
      <c r="R711" s="7">
        <f>IF($H711&gt;K711,MIN($H711-K711,L711-K711)*INDEX('2018_commission_structure'!$A$11:$I$14,MATCH(Calculations!$E711,'2018_commission_structure'!$A$11:$A$14,0), MATCH(Calculations!R$1,'2018_commission_structure'!$A$11:$I$11,0)),0)</f>
        <v>0</v>
      </c>
      <c r="S711" s="7">
        <f>IF(H711&gt;L711,(H711-L711)*INDEX('2018_commission_structure'!$A$11:$I$14,MATCH(Calculations!$E711,'2018_commission_structure'!$A$11:$A$14,0),MATCH(Calculations!S$1,'2018_commission_structure'!$A$11:$I$11,0)),0)</f>
        <v>0</v>
      </c>
      <c r="T711" s="7">
        <f t="shared" si="104"/>
        <v>119910</v>
      </c>
      <c r="U711" s="7">
        <f t="shared" si="105"/>
        <v>233649</v>
      </c>
      <c r="V711" s="7">
        <f>MIN(H711,I711)*INDEX('2018_commission_structure'!$A$5:$J$8,MATCH(Calculations!$E711,'2018_commission_structure'!$A$5:$A$8,0),MATCH(Calculations!V$1,'2018_commission_structure'!$A$5:$J$5,0))</f>
        <v>112500</v>
      </c>
      <c r="W711" s="2">
        <f>IF($H711&gt;I711,MIN($H711-I711,J711-I711)*INDEX('2018_commission_structure'!$A$5:$J$8,MATCH(Calculations!$E711,'2018_commission_structure'!$A$5:$A$8,0),MATCH(Calculations!W$1,'2018_commission_structure'!$A$5:$J$5,0)),0)</f>
        <v>8580</v>
      </c>
      <c r="X711" s="2">
        <f>IF($H711&gt;J711,MIN($H711-J711,K711-J711)*INDEX('2018_commission_structure'!$A$5:$J$8,MATCH(Calculations!$E711,'2018_commission_structure'!$A$5:$A$8,0),MATCH(Calculations!X$1,'2018_commission_structure'!$A$5:$J$5,0)),0)</f>
        <v>0</v>
      </c>
      <c r="Y711" s="2">
        <f>IF($H711&gt;K711,MIN($H711-K711,L711-K711)*INDEX('2018_commission_structure'!$A$5:$J$8,MATCH(Calculations!$E711,'2018_commission_structure'!$A$5:$A$8,0),MATCH(Calculations!Y$1,'2018_commission_structure'!$A$5:$J$5,0)),0)</f>
        <v>0</v>
      </c>
      <c r="Z711" s="2">
        <f xml:space="preserve"> IF(H711&gt;L711,(H711-L711)*INDEX('2018_commission_structure'!$A$11:$I$14,MATCH(Calculations!$E711,'2018_commission_structure'!$A$11:$A$14,0),MATCH(Calculations!Z$1,'2018_commission_structure'!$A$11:$I$11,0)),0)</f>
        <v>0</v>
      </c>
      <c r="AA711" s="7">
        <f t="shared" si="106"/>
        <v>121080</v>
      </c>
      <c r="AB711" s="7">
        <f t="shared" si="107"/>
        <v>234819</v>
      </c>
    </row>
    <row r="712" spans="1:28" x14ac:dyDescent="0.25">
      <c r="A712">
        <v>9312128221</v>
      </c>
      <c r="B712" t="s">
        <v>1636</v>
      </c>
      <c r="C712" t="s">
        <v>1637</v>
      </c>
      <c r="D712" t="str">
        <f>B712&amp;" "&amp;C712</f>
        <v>Chuck Petkov</v>
      </c>
      <c r="E712" t="s">
        <v>7</v>
      </c>
      <c r="F712">
        <v>49598</v>
      </c>
      <c r="G712">
        <f>COUNTIF(deals_closed!D:D,Calculations!A712)</f>
        <v>15</v>
      </c>
      <c r="H712" s="2">
        <f>SUMIF(deals_closed!D:D,Calculations!A712,deals_closed!C:C)</f>
        <v>518485</v>
      </c>
      <c r="I712" s="2">
        <f>VLOOKUP(E712,'2018_commission_structure'!$A$11:$I$14,9,FALSE)</f>
        <v>500000</v>
      </c>
      <c r="J712" s="2">
        <f t="shared" si="99"/>
        <v>625000</v>
      </c>
      <c r="K712" s="2">
        <f t="shared" si="100"/>
        <v>750000</v>
      </c>
      <c r="L712" s="2">
        <f t="shared" si="101"/>
        <v>1000000</v>
      </c>
      <c r="M712" s="6">
        <f t="shared" si="102"/>
        <v>1.0369699999999999</v>
      </c>
      <c r="N712" t="str">
        <f t="shared" si="103"/>
        <v>100-125%</v>
      </c>
      <c r="O712" s="7">
        <f>MIN(I712,H712)*INDEX('2018_commission_structure'!$A$11:$I$14,MATCH(Calculations!$E712,'2018_commission_structure'!$A$11:$A$14,0),MATCH(Calculations!O$1,'2018_commission_structure'!$A$11:$I$11,0))</f>
        <v>50000</v>
      </c>
      <c r="P712" s="7">
        <f>IF($H712&gt;I712,MIN($H712-I712,J712-I712)*INDEX('2018_commission_structure'!$A$11:$I$14,MATCH(Calculations!$E712,'2018_commission_structure'!$A$11:$A$14,0), MATCH(Calculations!P$1,'2018_commission_structure'!$A$11:$I$11,0)),0)</f>
        <v>2772.75</v>
      </c>
      <c r="Q712" s="7">
        <f>IF($H712&gt;J712,MIN($H712-J712,K712-J712)*INDEX('2018_commission_structure'!$A$11:$I$14,MATCH(Calculations!$E712,'2018_commission_structure'!$A$11:$A$14,0), MATCH(Calculations!Q$1,'2018_commission_structure'!$A$11:$I$11,0)),0)</f>
        <v>0</v>
      </c>
      <c r="R712" s="7">
        <f>IF($H712&gt;K712,MIN($H712-K712,L712-K712)*INDEX('2018_commission_structure'!$A$11:$I$14,MATCH(Calculations!$E712,'2018_commission_structure'!$A$11:$A$14,0), MATCH(Calculations!R$1,'2018_commission_structure'!$A$11:$I$11,0)),0)</f>
        <v>0</v>
      </c>
      <c r="S712" s="7">
        <f>IF(H712&gt;L712,(H712-L712)*INDEX('2018_commission_structure'!$A$11:$I$14,MATCH(Calculations!$E712,'2018_commission_structure'!$A$11:$A$14,0),MATCH(Calculations!S$1,'2018_commission_structure'!$A$11:$I$11,0)),0)</f>
        <v>0</v>
      </c>
      <c r="T712" s="7">
        <f t="shared" si="104"/>
        <v>52772.75</v>
      </c>
      <c r="U712" s="7">
        <f t="shared" si="105"/>
        <v>102370.75</v>
      </c>
      <c r="V712" s="7">
        <f>MIN(H712,I712)*INDEX('2018_commission_structure'!$A$5:$J$8,MATCH(Calculations!$E712,'2018_commission_structure'!$A$5:$A$8,0),MATCH(Calculations!V$1,'2018_commission_structure'!$A$5:$J$5,0))</f>
        <v>60000</v>
      </c>
      <c r="W712" s="2">
        <f>IF($H712&gt;I712,MIN($H712-I712,J712-I712)*INDEX('2018_commission_structure'!$A$5:$J$8,MATCH(Calculations!$E712,'2018_commission_structure'!$A$5:$A$8,0),MATCH(Calculations!W$1,'2018_commission_structure'!$A$5:$J$5,0)),0)</f>
        <v>3142.4500000000003</v>
      </c>
      <c r="X712" s="2">
        <f>IF($H712&gt;J712,MIN($H712-J712,K712-J712)*INDEX('2018_commission_structure'!$A$5:$J$8,MATCH(Calculations!$E712,'2018_commission_structure'!$A$5:$A$8,0),MATCH(Calculations!X$1,'2018_commission_structure'!$A$5:$J$5,0)),0)</f>
        <v>0</v>
      </c>
      <c r="Y712" s="2">
        <f>IF($H712&gt;K712,MIN($H712-K712,L712-K712)*INDEX('2018_commission_structure'!$A$5:$J$8,MATCH(Calculations!$E712,'2018_commission_structure'!$A$5:$A$8,0),MATCH(Calculations!Y$1,'2018_commission_structure'!$A$5:$J$5,0)),0)</f>
        <v>0</v>
      </c>
      <c r="Z712" s="2">
        <f xml:space="preserve"> IF(H712&gt;L712,(H712-L712)*INDEX('2018_commission_structure'!$A$11:$I$14,MATCH(Calculations!$E712,'2018_commission_structure'!$A$11:$A$14,0),MATCH(Calculations!Z$1,'2018_commission_structure'!$A$11:$I$11,0)),0)</f>
        <v>0</v>
      </c>
      <c r="AA712" s="7">
        <f t="shared" si="106"/>
        <v>63142.45</v>
      </c>
      <c r="AB712" s="7">
        <f t="shared" si="107"/>
        <v>112740.45</v>
      </c>
    </row>
    <row r="713" spans="1:28" x14ac:dyDescent="0.25">
      <c r="A713">
        <v>7269614199</v>
      </c>
      <c r="B713" t="s">
        <v>925</v>
      </c>
      <c r="C713" t="s">
        <v>926</v>
      </c>
      <c r="D713" t="str">
        <f>B713&amp;" "&amp;C713</f>
        <v>Elroy Petrasso</v>
      </c>
      <c r="E713" t="s">
        <v>7</v>
      </c>
      <c r="F713">
        <v>49250</v>
      </c>
      <c r="G713">
        <f>COUNTIF(deals_closed!D:D,Calculations!A713)</f>
        <v>14</v>
      </c>
      <c r="H713" s="2">
        <f>SUMIF(deals_closed!D:D,Calculations!A713,deals_closed!C:C)</f>
        <v>414450</v>
      </c>
      <c r="I713" s="2">
        <f>VLOOKUP(E713,'2018_commission_structure'!$A$11:$I$14,9,FALSE)</f>
        <v>500000</v>
      </c>
      <c r="J713" s="2">
        <f t="shared" si="99"/>
        <v>625000</v>
      </c>
      <c r="K713" s="2">
        <f t="shared" si="100"/>
        <v>750000</v>
      </c>
      <c r="L713" s="2">
        <f t="shared" si="101"/>
        <v>1000000</v>
      </c>
      <c r="M713" s="6">
        <f t="shared" si="102"/>
        <v>0.82889999999999997</v>
      </c>
      <c r="N713" t="str">
        <f t="shared" si="103"/>
        <v>0-100%</v>
      </c>
      <c r="O713" s="7">
        <f>MIN(I713,H713)*INDEX('2018_commission_structure'!$A$11:$I$14,MATCH(Calculations!$E713,'2018_commission_structure'!$A$11:$A$14,0),MATCH(Calculations!O$1,'2018_commission_structure'!$A$11:$I$11,0))</f>
        <v>41445</v>
      </c>
      <c r="P713" s="7">
        <f>IF($H713&gt;I713,MIN($H713-I713,J713-I713)*INDEX('2018_commission_structure'!$A$11:$I$14,MATCH(Calculations!$E713,'2018_commission_structure'!$A$11:$A$14,0), MATCH(Calculations!P$1,'2018_commission_structure'!$A$11:$I$11,0)),0)</f>
        <v>0</v>
      </c>
      <c r="Q713" s="7">
        <f>IF($H713&gt;J713,MIN($H713-J713,K713-J713)*INDEX('2018_commission_structure'!$A$11:$I$14,MATCH(Calculations!$E713,'2018_commission_structure'!$A$11:$A$14,0), MATCH(Calculations!Q$1,'2018_commission_structure'!$A$11:$I$11,0)),0)</f>
        <v>0</v>
      </c>
      <c r="R713" s="7">
        <f>IF($H713&gt;K713,MIN($H713-K713,L713-K713)*INDEX('2018_commission_structure'!$A$11:$I$14,MATCH(Calculations!$E713,'2018_commission_structure'!$A$11:$A$14,0), MATCH(Calculations!R$1,'2018_commission_structure'!$A$11:$I$11,0)),0)</f>
        <v>0</v>
      </c>
      <c r="S713" s="7">
        <f>IF(H713&gt;L713,(H713-L713)*INDEX('2018_commission_structure'!$A$11:$I$14,MATCH(Calculations!$E713,'2018_commission_structure'!$A$11:$A$14,0),MATCH(Calculations!S$1,'2018_commission_structure'!$A$11:$I$11,0)),0)</f>
        <v>0</v>
      </c>
      <c r="T713" s="7">
        <f t="shared" si="104"/>
        <v>41445</v>
      </c>
      <c r="U713" s="7">
        <f t="shared" si="105"/>
        <v>90695</v>
      </c>
      <c r="V713" s="7">
        <f>MIN(H713,I713)*INDEX('2018_commission_structure'!$A$5:$J$8,MATCH(Calculations!$E713,'2018_commission_structure'!$A$5:$A$8,0),MATCH(Calculations!V$1,'2018_commission_structure'!$A$5:$J$5,0))</f>
        <v>49734</v>
      </c>
      <c r="W713" s="2">
        <f>IF($H713&gt;I713,MIN($H713-I713,J713-I713)*INDEX('2018_commission_structure'!$A$5:$J$8,MATCH(Calculations!$E713,'2018_commission_structure'!$A$5:$A$8,0),MATCH(Calculations!W$1,'2018_commission_structure'!$A$5:$J$5,0)),0)</f>
        <v>0</v>
      </c>
      <c r="X713" s="2">
        <f>IF($H713&gt;J713,MIN($H713-J713,K713-J713)*INDEX('2018_commission_structure'!$A$5:$J$8,MATCH(Calculations!$E713,'2018_commission_structure'!$A$5:$A$8,0),MATCH(Calculations!X$1,'2018_commission_structure'!$A$5:$J$5,0)),0)</f>
        <v>0</v>
      </c>
      <c r="Y713" s="2">
        <f>IF($H713&gt;K713,MIN($H713-K713,L713-K713)*INDEX('2018_commission_structure'!$A$5:$J$8,MATCH(Calculations!$E713,'2018_commission_structure'!$A$5:$A$8,0),MATCH(Calculations!Y$1,'2018_commission_structure'!$A$5:$J$5,0)),0)</f>
        <v>0</v>
      </c>
      <c r="Z713" s="2">
        <f xml:space="preserve"> IF(H713&gt;L713,(H713-L713)*INDEX('2018_commission_structure'!$A$11:$I$14,MATCH(Calculations!$E713,'2018_commission_structure'!$A$11:$A$14,0),MATCH(Calculations!Z$1,'2018_commission_structure'!$A$11:$I$11,0)),0)</f>
        <v>0</v>
      </c>
      <c r="AA713" s="7">
        <f t="shared" si="106"/>
        <v>49734</v>
      </c>
      <c r="AB713" s="7">
        <f t="shared" si="107"/>
        <v>98984</v>
      </c>
    </row>
    <row r="714" spans="1:28" x14ac:dyDescent="0.25">
      <c r="A714">
        <v>6375014751</v>
      </c>
      <c r="B714" t="s">
        <v>747</v>
      </c>
      <c r="C714" t="s">
        <v>748</v>
      </c>
      <c r="D714" t="str">
        <f>B714&amp;" "&amp;C714</f>
        <v>Archy Petri</v>
      </c>
      <c r="E714" t="s">
        <v>7</v>
      </c>
      <c r="F714">
        <v>56888</v>
      </c>
      <c r="G714">
        <f>COUNTIF(deals_closed!D:D,Calculations!A714)</f>
        <v>17</v>
      </c>
      <c r="H714" s="2">
        <f>SUMIF(deals_closed!D:D,Calculations!A714,deals_closed!C:C)</f>
        <v>528218</v>
      </c>
      <c r="I714" s="2">
        <f>VLOOKUP(E714,'2018_commission_structure'!$A$11:$I$14,9,FALSE)</f>
        <v>500000</v>
      </c>
      <c r="J714" s="2">
        <f t="shared" si="99"/>
        <v>625000</v>
      </c>
      <c r="K714" s="2">
        <f t="shared" si="100"/>
        <v>750000</v>
      </c>
      <c r="L714" s="2">
        <f t="shared" si="101"/>
        <v>1000000</v>
      </c>
      <c r="M714" s="6">
        <f t="shared" si="102"/>
        <v>1.0564359999999999</v>
      </c>
      <c r="N714" t="str">
        <f t="shared" si="103"/>
        <v>100-125%</v>
      </c>
      <c r="O714" s="7">
        <f>MIN(I714,H714)*INDEX('2018_commission_structure'!$A$11:$I$14,MATCH(Calculations!$E714,'2018_commission_structure'!$A$11:$A$14,0),MATCH(Calculations!O$1,'2018_commission_structure'!$A$11:$I$11,0))</f>
        <v>50000</v>
      </c>
      <c r="P714" s="7">
        <f>IF($H714&gt;I714,MIN($H714-I714,J714-I714)*INDEX('2018_commission_structure'!$A$11:$I$14,MATCH(Calculations!$E714,'2018_commission_structure'!$A$11:$A$14,0), MATCH(Calculations!P$1,'2018_commission_structure'!$A$11:$I$11,0)),0)</f>
        <v>4232.7</v>
      </c>
      <c r="Q714" s="7">
        <f>IF($H714&gt;J714,MIN($H714-J714,K714-J714)*INDEX('2018_commission_structure'!$A$11:$I$14,MATCH(Calculations!$E714,'2018_commission_structure'!$A$11:$A$14,0), MATCH(Calculations!Q$1,'2018_commission_structure'!$A$11:$I$11,0)),0)</f>
        <v>0</v>
      </c>
      <c r="R714" s="7">
        <f>IF($H714&gt;K714,MIN($H714-K714,L714-K714)*INDEX('2018_commission_structure'!$A$11:$I$14,MATCH(Calculations!$E714,'2018_commission_structure'!$A$11:$A$14,0), MATCH(Calculations!R$1,'2018_commission_structure'!$A$11:$I$11,0)),0)</f>
        <v>0</v>
      </c>
      <c r="S714" s="7">
        <f>IF(H714&gt;L714,(H714-L714)*INDEX('2018_commission_structure'!$A$11:$I$14,MATCH(Calculations!$E714,'2018_commission_structure'!$A$11:$A$14,0),MATCH(Calculations!S$1,'2018_commission_structure'!$A$11:$I$11,0)),0)</f>
        <v>0</v>
      </c>
      <c r="T714" s="7">
        <f t="shared" si="104"/>
        <v>54232.7</v>
      </c>
      <c r="U714" s="7">
        <f t="shared" si="105"/>
        <v>111120.7</v>
      </c>
      <c r="V714" s="7">
        <f>MIN(H714,I714)*INDEX('2018_commission_structure'!$A$5:$J$8,MATCH(Calculations!$E714,'2018_commission_structure'!$A$5:$A$8,0),MATCH(Calculations!V$1,'2018_commission_structure'!$A$5:$J$5,0))</f>
        <v>60000</v>
      </c>
      <c r="W714" s="2">
        <f>IF($H714&gt;I714,MIN($H714-I714,J714-I714)*INDEX('2018_commission_structure'!$A$5:$J$8,MATCH(Calculations!$E714,'2018_commission_structure'!$A$5:$A$8,0),MATCH(Calculations!W$1,'2018_commission_structure'!$A$5:$J$5,0)),0)</f>
        <v>4797.0600000000004</v>
      </c>
      <c r="X714" s="2">
        <f>IF($H714&gt;J714,MIN($H714-J714,K714-J714)*INDEX('2018_commission_structure'!$A$5:$J$8,MATCH(Calculations!$E714,'2018_commission_structure'!$A$5:$A$8,0),MATCH(Calculations!X$1,'2018_commission_structure'!$A$5:$J$5,0)),0)</f>
        <v>0</v>
      </c>
      <c r="Y714" s="2">
        <f>IF($H714&gt;K714,MIN($H714-K714,L714-K714)*INDEX('2018_commission_structure'!$A$5:$J$8,MATCH(Calculations!$E714,'2018_commission_structure'!$A$5:$A$8,0),MATCH(Calculations!Y$1,'2018_commission_structure'!$A$5:$J$5,0)),0)</f>
        <v>0</v>
      </c>
      <c r="Z714" s="2">
        <f xml:space="preserve"> IF(H714&gt;L714,(H714-L714)*INDEX('2018_commission_structure'!$A$11:$I$14,MATCH(Calculations!$E714,'2018_commission_structure'!$A$11:$A$14,0),MATCH(Calculations!Z$1,'2018_commission_structure'!$A$11:$I$11,0)),0)</f>
        <v>0</v>
      </c>
      <c r="AA714" s="7">
        <f t="shared" si="106"/>
        <v>64797.06</v>
      </c>
      <c r="AB714" s="7">
        <f t="shared" si="107"/>
        <v>121685.06</v>
      </c>
    </row>
    <row r="715" spans="1:28" x14ac:dyDescent="0.25">
      <c r="A715">
        <v>1074899180</v>
      </c>
      <c r="B715" t="s">
        <v>48</v>
      </c>
      <c r="C715" t="s">
        <v>49</v>
      </c>
      <c r="D715" t="str">
        <f>B715&amp;" "&amp;C715</f>
        <v>Agretha Pevreal</v>
      </c>
      <c r="E715" t="s">
        <v>10</v>
      </c>
      <c r="F715">
        <v>84090</v>
      </c>
      <c r="G715">
        <f>COUNTIF(deals_closed!D:D,Calculations!A715)</f>
        <v>19</v>
      </c>
      <c r="H715" s="2">
        <f>SUMIF(deals_closed!D:D,Calculations!A715,deals_closed!C:C)</f>
        <v>592375</v>
      </c>
      <c r="I715" s="2">
        <f>VLOOKUP(E715,'2018_commission_structure'!$A$11:$I$14,9,FALSE)</f>
        <v>750000</v>
      </c>
      <c r="J715" s="2">
        <f t="shared" si="99"/>
        <v>937500</v>
      </c>
      <c r="K715" s="2">
        <f t="shared" si="100"/>
        <v>1125000</v>
      </c>
      <c r="L715" s="2">
        <f t="shared" si="101"/>
        <v>1500000</v>
      </c>
      <c r="M715" s="6">
        <f t="shared" si="102"/>
        <v>0.78983333333333339</v>
      </c>
      <c r="N715" t="str">
        <f t="shared" si="103"/>
        <v>0-100%</v>
      </c>
      <c r="O715" s="7">
        <f>MIN(I715,H715)*INDEX('2018_commission_structure'!$A$11:$I$14,MATCH(Calculations!$E715,'2018_commission_structure'!$A$11:$A$14,0),MATCH(Calculations!O$1,'2018_commission_structure'!$A$11:$I$11,0))</f>
        <v>88856.25</v>
      </c>
      <c r="P715" s="7">
        <f>IF($H715&gt;I715,MIN($H715-I715,J715-I715)*INDEX('2018_commission_structure'!$A$11:$I$14,MATCH(Calculations!$E715,'2018_commission_structure'!$A$11:$A$14,0), MATCH(Calculations!P$1,'2018_commission_structure'!$A$11:$I$11,0)),0)</f>
        <v>0</v>
      </c>
      <c r="Q715" s="7">
        <f>IF($H715&gt;J715,MIN($H715-J715,K715-J715)*INDEX('2018_commission_structure'!$A$11:$I$14,MATCH(Calculations!$E715,'2018_commission_structure'!$A$11:$A$14,0), MATCH(Calculations!Q$1,'2018_commission_structure'!$A$11:$I$11,0)),0)</f>
        <v>0</v>
      </c>
      <c r="R715" s="7">
        <f>IF($H715&gt;K715,MIN($H715-K715,L715-K715)*INDEX('2018_commission_structure'!$A$11:$I$14,MATCH(Calculations!$E715,'2018_commission_structure'!$A$11:$A$14,0), MATCH(Calculations!R$1,'2018_commission_structure'!$A$11:$I$11,0)),0)</f>
        <v>0</v>
      </c>
      <c r="S715" s="7">
        <f>IF(H715&gt;L715,(H715-L715)*INDEX('2018_commission_structure'!$A$11:$I$14,MATCH(Calculations!$E715,'2018_commission_structure'!$A$11:$A$14,0),MATCH(Calculations!S$1,'2018_commission_structure'!$A$11:$I$11,0)),0)</f>
        <v>0</v>
      </c>
      <c r="T715" s="7">
        <f t="shared" si="104"/>
        <v>88856.25</v>
      </c>
      <c r="U715" s="7">
        <f t="shared" si="105"/>
        <v>172946.25</v>
      </c>
      <c r="V715" s="7">
        <f>MIN(H715,I715)*INDEX('2018_commission_structure'!$A$5:$J$8,MATCH(Calculations!$E715,'2018_commission_structure'!$A$5:$A$8,0),MATCH(Calculations!V$1,'2018_commission_structure'!$A$5:$J$5,0))</f>
        <v>88856.25</v>
      </c>
      <c r="W715" s="2">
        <f>IF($H715&gt;I715,MIN($H715-I715,J715-I715)*INDEX('2018_commission_structure'!$A$5:$J$8,MATCH(Calculations!$E715,'2018_commission_structure'!$A$5:$A$8,0),MATCH(Calculations!W$1,'2018_commission_structure'!$A$5:$J$5,0)),0)</f>
        <v>0</v>
      </c>
      <c r="X715" s="2">
        <f>IF($H715&gt;J715,MIN($H715-J715,K715-J715)*INDEX('2018_commission_structure'!$A$5:$J$8,MATCH(Calculations!$E715,'2018_commission_structure'!$A$5:$A$8,0),MATCH(Calculations!X$1,'2018_commission_structure'!$A$5:$J$5,0)),0)</f>
        <v>0</v>
      </c>
      <c r="Y715" s="2">
        <f>IF($H715&gt;K715,MIN($H715-K715,L715-K715)*INDEX('2018_commission_structure'!$A$5:$J$8,MATCH(Calculations!$E715,'2018_commission_structure'!$A$5:$A$8,0),MATCH(Calculations!Y$1,'2018_commission_structure'!$A$5:$J$5,0)),0)</f>
        <v>0</v>
      </c>
      <c r="Z715" s="2">
        <f xml:space="preserve"> IF(H715&gt;L715,(H715-L715)*INDEX('2018_commission_structure'!$A$11:$I$14,MATCH(Calculations!$E715,'2018_commission_structure'!$A$11:$A$14,0),MATCH(Calculations!Z$1,'2018_commission_structure'!$A$11:$I$11,0)),0)</f>
        <v>0</v>
      </c>
      <c r="AA715" s="7">
        <f t="shared" si="106"/>
        <v>88856.25</v>
      </c>
      <c r="AB715" s="7">
        <f t="shared" si="107"/>
        <v>172946.25</v>
      </c>
    </row>
    <row r="716" spans="1:28" x14ac:dyDescent="0.25">
      <c r="A716">
        <v>2022565827</v>
      </c>
      <c r="B716" t="s">
        <v>60</v>
      </c>
      <c r="C716" t="s">
        <v>61</v>
      </c>
      <c r="D716" t="str">
        <f>B716&amp;" "&amp;C716</f>
        <v>Tracey Phelip</v>
      </c>
      <c r="E716" t="s">
        <v>29</v>
      </c>
      <c r="F716">
        <v>53277</v>
      </c>
      <c r="G716">
        <f>COUNTIF(deals_closed!D:D,Calculations!A716)</f>
        <v>13</v>
      </c>
      <c r="H716" s="2">
        <f>SUMIF(deals_closed!D:D,Calculations!A716,deals_closed!C:C)</f>
        <v>543827</v>
      </c>
      <c r="I716" s="2">
        <f>VLOOKUP(E716,'2018_commission_structure'!$A$11:$I$14,9,FALSE)</f>
        <v>600000</v>
      </c>
      <c r="J716" s="2">
        <f t="shared" si="99"/>
        <v>750000</v>
      </c>
      <c r="K716" s="2">
        <f t="shared" si="100"/>
        <v>900000</v>
      </c>
      <c r="L716" s="2">
        <f t="shared" si="101"/>
        <v>1200000</v>
      </c>
      <c r="M716" s="6">
        <f t="shared" si="102"/>
        <v>0.90637833333333329</v>
      </c>
      <c r="N716" t="str">
        <f t="shared" si="103"/>
        <v>0-100%</v>
      </c>
      <c r="O716" s="7">
        <f>MIN(I716,H716)*INDEX('2018_commission_structure'!$A$11:$I$14,MATCH(Calculations!$E716,'2018_commission_structure'!$A$11:$A$14,0),MATCH(Calculations!O$1,'2018_commission_structure'!$A$11:$I$11,0))</f>
        <v>70697.510000000009</v>
      </c>
      <c r="P716" s="7">
        <f>IF($H716&gt;I716,MIN($H716-I716,J716-I716)*INDEX('2018_commission_structure'!$A$11:$I$14,MATCH(Calculations!$E716,'2018_commission_structure'!$A$11:$A$14,0), MATCH(Calculations!P$1,'2018_commission_structure'!$A$11:$I$11,0)),0)</f>
        <v>0</v>
      </c>
      <c r="Q716" s="7">
        <f>IF($H716&gt;J716,MIN($H716-J716,K716-J716)*INDEX('2018_commission_structure'!$A$11:$I$14,MATCH(Calculations!$E716,'2018_commission_structure'!$A$11:$A$14,0), MATCH(Calculations!Q$1,'2018_commission_structure'!$A$11:$I$11,0)),0)</f>
        <v>0</v>
      </c>
      <c r="R716" s="7">
        <f>IF($H716&gt;K716,MIN($H716-K716,L716-K716)*INDEX('2018_commission_structure'!$A$11:$I$14,MATCH(Calculations!$E716,'2018_commission_structure'!$A$11:$A$14,0), MATCH(Calculations!R$1,'2018_commission_structure'!$A$11:$I$11,0)),0)</f>
        <v>0</v>
      </c>
      <c r="S716" s="7">
        <f>IF(H716&gt;L716,(H716-L716)*INDEX('2018_commission_structure'!$A$11:$I$14,MATCH(Calculations!$E716,'2018_commission_structure'!$A$11:$A$14,0),MATCH(Calculations!S$1,'2018_commission_structure'!$A$11:$I$11,0)),0)</f>
        <v>0</v>
      </c>
      <c r="T716" s="7">
        <f t="shared" si="104"/>
        <v>70697.510000000009</v>
      </c>
      <c r="U716" s="7">
        <f t="shared" si="105"/>
        <v>123974.51000000001</v>
      </c>
      <c r="V716" s="7">
        <f>MIN(H716,I716)*INDEX('2018_commission_structure'!$A$5:$J$8,MATCH(Calculations!$E716,'2018_commission_structure'!$A$5:$A$8,0),MATCH(Calculations!V$1,'2018_commission_structure'!$A$5:$J$5,0))</f>
        <v>81574.05</v>
      </c>
      <c r="W716" s="2">
        <f>IF($H716&gt;I716,MIN($H716-I716,J716-I716)*INDEX('2018_commission_structure'!$A$5:$J$8,MATCH(Calculations!$E716,'2018_commission_structure'!$A$5:$A$8,0),MATCH(Calculations!W$1,'2018_commission_structure'!$A$5:$J$5,0)),0)</f>
        <v>0</v>
      </c>
      <c r="X716" s="2">
        <f>IF($H716&gt;J716,MIN($H716-J716,K716-J716)*INDEX('2018_commission_structure'!$A$5:$J$8,MATCH(Calculations!$E716,'2018_commission_structure'!$A$5:$A$8,0),MATCH(Calculations!X$1,'2018_commission_structure'!$A$5:$J$5,0)),0)</f>
        <v>0</v>
      </c>
      <c r="Y716" s="2">
        <f>IF($H716&gt;K716,MIN($H716-K716,L716-K716)*INDEX('2018_commission_structure'!$A$5:$J$8,MATCH(Calculations!$E716,'2018_commission_structure'!$A$5:$A$8,0),MATCH(Calculations!Y$1,'2018_commission_structure'!$A$5:$J$5,0)),0)</f>
        <v>0</v>
      </c>
      <c r="Z716" s="2">
        <f xml:space="preserve"> IF(H716&gt;L716,(H716-L716)*INDEX('2018_commission_structure'!$A$11:$I$14,MATCH(Calculations!$E716,'2018_commission_structure'!$A$11:$A$14,0),MATCH(Calculations!Z$1,'2018_commission_structure'!$A$11:$I$11,0)),0)</f>
        <v>0</v>
      </c>
      <c r="AA716" s="7">
        <f t="shared" si="106"/>
        <v>81574.05</v>
      </c>
      <c r="AB716" s="7">
        <f t="shared" si="107"/>
        <v>134851.04999999999</v>
      </c>
    </row>
    <row r="717" spans="1:28" x14ac:dyDescent="0.25">
      <c r="A717">
        <v>3458178171</v>
      </c>
      <c r="B717" t="s">
        <v>1704</v>
      </c>
      <c r="C717" t="s">
        <v>1705</v>
      </c>
      <c r="D717" t="str">
        <f>B717&amp;" "&amp;C717</f>
        <v>Horst Phelips</v>
      </c>
      <c r="E717" t="s">
        <v>29</v>
      </c>
      <c r="F717">
        <v>57276</v>
      </c>
      <c r="G717">
        <f>COUNTIF(deals_closed!D:D,Calculations!A717)</f>
        <v>12</v>
      </c>
      <c r="H717" s="2">
        <f>SUMIF(deals_closed!D:D,Calculations!A717,deals_closed!C:C)</f>
        <v>473689</v>
      </c>
      <c r="I717" s="2">
        <f>VLOOKUP(E717,'2018_commission_structure'!$A$11:$I$14,9,FALSE)</f>
        <v>600000</v>
      </c>
      <c r="J717" s="2">
        <f t="shared" si="99"/>
        <v>750000</v>
      </c>
      <c r="K717" s="2">
        <f t="shared" si="100"/>
        <v>900000</v>
      </c>
      <c r="L717" s="2">
        <f t="shared" si="101"/>
        <v>1200000</v>
      </c>
      <c r="M717" s="6">
        <f t="shared" si="102"/>
        <v>0.78948166666666664</v>
      </c>
      <c r="N717" t="str">
        <f t="shared" si="103"/>
        <v>0-100%</v>
      </c>
      <c r="O717" s="7">
        <f>MIN(I717,H717)*INDEX('2018_commission_structure'!$A$11:$I$14,MATCH(Calculations!$E717,'2018_commission_structure'!$A$11:$A$14,0),MATCH(Calculations!O$1,'2018_commission_structure'!$A$11:$I$11,0))</f>
        <v>61579.57</v>
      </c>
      <c r="P717" s="7">
        <f>IF($H717&gt;I717,MIN($H717-I717,J717-I717)*INDEX('2018_commission_structure'!$A$11:$I$14,MATCH(Calculations!$E717,'2018_commission_structure'!$A$11:$A$14,0), MATCH(Calculations!P$1,'2018_commission_structure'!$A$11:$I$11,0)),0)</f>
        <v>0</v>
      </c>
      <c r="Q717" s="7">
        <f>IF($H717&gt;J717,MIN($H717-J717,K717-J717)*INDEX('2018_commission_structure'!$A$11:$I$14,MATCH(Calculations!$E717,'2018_commission_structure'!$A$11:$A$14,0), MATCH(Calculations!Q$1,'2018_commission_structure'!$A$11:$I$11,0)),0)</f>
        <v>0</v>
      </c>
      <c r="R717" s="7">
        <f>IF($H717&gt;K717,MIN($H717-K717,L717-K717)*INDEX('2018_commission_structure'!$A$11:$I$14,MATCH(Calculations!$E717,'2018_commission_structure'!$A$11:$A$14,0), MATCH(Calculations!R$1,'2018_commission_structure'!$A$11:$I$11,0)),0)</f>
        <v>0</v>
      </c>
      <c r="S717" s="7">
        <f>IF(H717&gt;L717,(H717-L717)*INDEX('2018_commission_structure'!$A$11:$I$14,MATCH(Calculations!$E717,'2018_commission_structure'!$A$11:$A$14,0),MATCH(Calculations!S$1,'2018_commission_structure'!$A$11:$I$11,0)),0)</f>
        <v>0</v>
      </c>
      <c r="T717" s="7">
        <f t="shared" si="104"/>
        <v>61579.57</v>
      </c>
      <c r="U717" s="7">
        <f t="shared" si="105"/>
        <v>118855.57</v>
      </c>
      <c r="V717" s="7">
        <f>MIN(H717,I717)*INDEX('2018_commission_structure'!$A$5:$J$8,MATCH(Calculations!$E717,'2018_commission_structure'!$A$5:$A$8,0),MATCH(Calculations!V$1,'2018_commission_structure'!$A$5:$J$5,0))</f>
        <v>71053.349999999991</v>
      </c>
      <c r="W717" s="2">
        <f>IF($H717&gt;I717,MIN($H717-I717,J717-I717)*INDEX('2018_commission_structure'!$A$5:$J$8,MATCH(Calculations!$E717,'2018_commission_structure'!$A$5:$A$8,0),MATCH(Calculations!W$1,'2018_commission_structure'!$A$5:$J$5,0)),0)</f>
        <v>0</v>
      </c>
      <c r="X717" s="2">
        <f>IF($H717&gt;J717,MIN($H717-J717,K717-J717)*INDEX('2018_commission_structure'!$A$5:$J$8,MATCH(Calculations!$E717,'2018_commission_structure'!$A$5:$A$8,0),MATCH(Calculations!X$1,'2018_commission_structure'!$A$5:$J$5,0)),0)</f>
        <v>0</v>
      </c>
      <c r="Y717" s="2">
        <f>IF($H717&gt;K717,MIN($H717-K717,L717-K717)*INDEX('2018_commission_structure'!$A$5:$J$8,MATCH(Calculations!$E717,'2018_commission_structure'!$A$5:$A$8,0),MATCH(Calculations!Y$1,'2018_commission_structure'!$A$5:$J$5,0)),0)</f>
        <v>0</v>
      </c>
      <c r="Z717" s="2">
        <f xml:space="preserve"> IF(H717&gt;L717,(H717-L717)*INDEX('2018_commission_structure'!$A$11:$I$14,MATCH(Calculations!$E717,'2018_commission_structure'!$A$11:$A$14,0),MATCH(Calculations!Z$1,'2018_commission_structure'!$A$11:$I$11,0)),0)</f>
        <v>0</v>
      </c>
      <c r="AA717" s="7">
        <f t="shared" si="106"/>
        <v>71053.349999999991</v>
      </c>
      <c r="AB717" s="7">
        <f t="shared" si="107"/>
        <v>128329.34999999999</v>
      </c>
    </row>
    <row r="718" spans="1:28" x14ac:dyDescent="0.25">
      <c r="A718">
        <v>2575500974</v>
      </c>
      <c r="B718" t="s">
        <v>1118</v>
      </c>
      <c r="C718" t="s">
        <v>1119</v>
      </c>
      <c r="D718" t="str">
        <f>B718&amp;" "&amp;C718</f>
        <v>Orelia Philipson</v>
      </c>
      <c r="E718" t="s">
        <v>29</v>
      </c>
      <c r="F718">
        <v>66504</v>
      </c>
      <c r="G718">
        <f>COUNTIF(deals_closed!D:D,Calculations!A718)</f>
        <v>28</v>
      </c>
      <c r="H718" s="2">
        <f>SUMIF(deals_closed!D:D,Calculations!A718,deals_closed!C:C)</f>
        <v>966079</v>
      </c>
      <c r="I718" s="2">
        <f>VLOOKUP(E718,'2018_commission_structure'!$A$11:$I$14,9,FALSE)</f>
        <v>600000</v>
      </c>
      <c r="J718" s="2">
        <f t="shared" si="99"/>
        <v>750000</v>
      </c>
      <c r="K718" s="2">
        <f t="shared" si="100"/>
        <v>900000</v>
      </c>
      <c r="L718" s="2">
        <f t="shared" si="101"/>
        <v>1200000</v>
      </c>
      <c r="M718" s="6">
        <f t="shared" si="102"/>
        <v>1.6101316666666667</v>
      </c>
      <c r="N718" t="str">
        <f t="shared" si="103"/>
        <v>150-200%</v>
      </c>
      <c r="O718" s="7">
        <f>MIN(I718,H718)*INDEX('2018_commission_structure'!$A$11:$I$14,MATCH(Calculations!$E718,'2018_commission_structure'!$A$11:$A$14,0),MATCH(Calculations!O$1,'2018_commission_structure'!$A$11:$I$11,0))</f>
        <v>78000</v>
      </c>
      <c r="P718" s="7">
        <f>IF($H718&gt;I718,MIN($H718-I718,J718-I718)*INDEX('2018_commission_structure'!$A$11:$I$14,MATCH(Calculations!$E718,'2018_commission_structure'!$A$11:$A$14,0), MATCH(Calculations!P$1,'2018_commission_structure'!$A$11:$I$11,0)),0)</f>
        <v>25500.000000000004</v>
      </c>
      <c r="Q718" s="7">
        <f>IF($H718&gt;J718,MIN($H718-J718,K718-J718)*INDEX('2018_commission_structure'!$A$11:$I$14,MATCH(Calculations!$E718,'2018_commission_structure'!$A$11:$A$14,0), MATCH(Calculations!Q$1,'2018_commission_structure'!$A$11:$I$11,0)),0)</f>
        <v>31500</v>
      </c>
      <c r="R718" s="7">
        <f>IF($H718&gt;K718,MIN($H718-K718,L718-K718)*INDEX('2018_commission_structure'!$A$11:$I$14,MATCH(Calculations!$E718,'2018_commission_structure'!$A$11:$A$14,0), MATCH(Calculations!R$1,'2018_commission_structure'!$A$11:$I$11,0)),0)</f>
        <v>17180.54</v>
      </c>
      <c r="S718" s="7">
        <f>IF(H718&gt;L718,(H718-L718)*INDEX('2018_commission_structure'!$A$11:$I$14,MATCH(Calculations!$E718,'2018_commission_structure'!$A$11:$A$14,0),MATCH(Calculations!S$1,'2018_commission_structure'!$A$11:$I$11,0)),0)</f>
        <v>0</v>
      </c>
      <c r="T718" s="7">
        <f t="shared" si="104"/>
        <v>152180.54</v>
      </c>
      <c r="U718" s="7">
        <f t="shared" si="105"/>
        <v>218684.54</v>
      </c>
      <c r="V718" s="7">
        <f>MIN(H718,I718)*INDEX('2018_commission_structure'!$A$5:$J$8,MATCH(Calculations!$E718,'2018_commission_structure'!$A$5:$A$8,0),MATCH(Calculations!V$1,'2018_commission_structure'!$A$5:$J$5,0))</f>
        <v>90000</v>
      </c>
      <c r="W718" s="2">
        <f>IF($H718&gt;I718,MIN($H718-I718,J718-I718)*INDEX('2018_commission_structure'!$A$5:$J$8,MATCH(Calculations!$E718,'2018_commission_structure'!$A$5:$A$8,0),MATCH(Calculations!W$1,'2018_commission_structure'!$A$5:$J$5,0)),0)</f>
        <v>27000</v>
      </c>
      <c r="X718" s="2">
        <f>IF($H718&gt;J718,MIN($H718-J718,K718-J718)*INDEX('2018_commission_structure'!$A$5:$J$8,MATCH(Calculations!$E718,'2018_commission_structure'!$A$5:$A$8,0),MATCH(Calculations!X$1,'2018_commission_structure'!$A$5:$J$5,0)),0)</f>
        <v>37500</v>
      </c>
      <c r="Y718" s="2">
        <f>IF($H718&gt;K718,MIN($H718-K718,L718-K718)*INDEX('2018_commission_structure'!$A$5:$J$8,MATCH(Calculations!$E718,'2018_commission_structure'!$A$5:$A$8,0),MATCH(Calculations!Y$1,'2018_commission_structure'!$A$5:$J$5,0)),0)</f>
        <v>19823.7</v>
      </c>
      <c r="Z718" s="2">
        <f xml:space="preserve"> IF(H718&gt;L718,(H718-L718)*INDEX('2018_commission_structure'!$A$11:$I$14,MATCH(Calculations!$E718,'2018_commission_structure'!$A$11:$A$14,0),MATCH(Calculations!Z$1,'2018_commission_structure'!$A$11:$I$11,0)),0)</f>
        <v>0</v>
      </c>
      <c r="AA718" s="7">
        <f t="shared" si="106"/>
        <v>174323.7</v>
      </c>
      <c r="AB718" s="7">
        <f t="shared" si="107"/>
        <v>240827.7</v>
      </c>
    </row>
    <row r="719" spans="1:28" x14ac:dyDescent="0.25">
      <c r="A719">
        <v>19662963</v>
      </c>
      <c r="B719" t="s">
        <v>549</v>
      </c>
      <c r="C719" t="s">
        <v>550</v>
      </c>
      <c r="D719" t="str">
        <f>B719&amp;" "&amp;C719</f>
        <v>Vivian Philson</v>
      </c>
      <c r="E719" t="s">
        <v>7</v>
      </c>
      <c r="F719">
        <v>61944</v>
      </c>
      <c r="G719">
        <f>COUNTIF(deals_closed!D:D,Calculations!A719)</f>
        <v>14</v>
      </c>
      <c r="H719" s="2">
        <f>SUMIF(deals_closed!D:D,Calculations!A719,deals_closed!C:C)</f>
        <v>458541</v>
      </c>
      <c r="I719" s="2">
        <f>VLOOKUP(E719,'2018_commission_structure'!$A$11:$I$14,9,FALSE)</f>
        <v>500000</v>
      </c>
      <c r="J719" s="2">
        <f t="shared" si="99"/>
        <v>625000</v>
      </c>
      <c r="K719" s="2">
        <f t="shared" si="100"/>
        <v>750000</v>
      </c>
      <c r="L719" s="2">
        <f t="shared" si="101"/>
        <v>1000000</v>
      </c>
      <c r="M719" s="6">
        <f t="shared" si="102"/>
        <v>0.91708199999999995</v>
      </c>
      <c r="N719" t="str">
        <f t="shared" si="103"/>
        <v>0-100%</v>
      </c>
      <c r="O719" s="7">
        <f>MIN(I719,H719)*INDEX('2018_commission_structure'!$A$11:$I$14,MATCH(Calculations!$E719,'2018_commission_structure'!$A$11:$A$14,0),MATCH(Calculations!O$1,'2018_commission_structure'!$A$11:$I$11,0))</f>
        <v>45854.100000000006</v>
      </c>
      <c r="P719" s="7">
        <f>IF($H719&gt;I719,MIN($H719-I719,J719-I719)*INDEX('2018_commission_structure'!$A$11:$I$14,MATCH(Calculations!$E719,'2018_commission_structure'!$A$11:$A$14,0), MATCH(Calculations!P$1,'2018_commission_structure'!$A$11:$I$11,0)),0)</f>
        <v>0</v>
      </c>
      <c r="Q719" s="7">
        <f>IF($H719&gt;J719,MIN($H719-J719,K719-J719)*INDEX('2018_commission_structure'!$A$11:$I$14,MATCH(Calculations!$E719,'2018_commission_structure'!$A$11:$A$14,0), MATCH(Calculations!Q$1,'2018_commission_structure'!$A$11:$I$11,0)),0)</f>
        <v>0</v>
      </c>
      <c r="R719" s="7">
        <f>IF($H719&gt;K719,MIN($H719-K719,L719-K719)*INDEX('2018_commission_structure'!$A$11:$I$14,MATCH(Calculations!$E719,'2018_commission_structure'!$A$11:$A$14,0), MATCH(Calculations!R$1,'2018_commission_structure'!$A$11:$I$11,0)),0)</f>
        <v>0</v>
      </c>
      <c r="S719" s="7">
        <f>IF(H719&gt;L719,(H719-L719)*INDEX('2018_commission_structure'!$A$11:$I$14,MATCH(Calculations!$E719,'2018_commission_structure'!$A$11:$A$14,0),MATCH(Calculations!S$1,'2018_commission_structure'!$A$11:$I$11,0)),0)</f>
        <v>0</v>
      </c>
      <c r="T719" s="7">
        <f t="shared" si="104"/>
        <v>45854.100000000006</v>
      </c>
      <c r="U719" s="7">
        <f t="shared" si="105"/>
        <v>107798.1</v>
      </c>
      <c r="V719" s="7">
        <f>MIN(H719,I719)*INDEX('2018_commission_structure'!$A$5:$J$8,MATCH(Calculations!$E719,'2018_commission_structure'!$A$5:$A$8,0),MATCH(Calculations!V$1,'2018_commission_structure'!$A$5:$J$5,0))</f>
        <v>55024.92</v>
      </c>
      <c r="W719" s="2">
        <f>IF($H719&gt;I719,MIN($H719-I719,J719-I719)*INDEX('2018_commission_structure'!$A$5:$J$8,MATCH(Calculations!$E719,'2018_commission_structure'!$A$5:$A$8,0),MATCH(Calculations!W$1,'2018_commission_structure'!$A$5:$J$5,0)),0)</f>
        <v>0</v>
      </c>
      <c r="X719" s="2">
        <f>IF($H719&gt;J719,MIN($H719-J719,K719-J719)*INDEX('2018_commission_structure'!$A$5:$J$8,MATCH(Calculations!$E719,'2018_commission_structure'!$A$5:$A$8,0),MATCH(Calculations!X$1,'2018_commission_structure'!$A$5:$J$5,0)),0)</f>
        <v>0</v>
      </c>
      <c r="Y719" s="2">
        <f>IF($H719&gt;K719,MIN($H719-K719,L719-K719)*INDEX('2018_commission_structure'!$A$5:$J$8,MATCH(Calculations!$E719,'2018_commission_structure'!$A$5:$A$8,0),MATCH(Calculations!Y$1,'2018_commission_structure'!$A$5:$J$5,0)),0)</f>
        <v>0</v>
      </c>
      <c r="Z719" s="2">
        <f xml:space="preserve"> IF(H719&gt;L719,(H719-L719)*INDEX('2018_commission_structure'!$A$11:$I$14,MATCH(Calculations!$E719,'2018_commission_structure'!$A$11:$A$14,0),MATCH(Calculations!Z$1,'2018_commission_structure'!$A$11:$I$11,0)),0)</f>
        <v>0</v>
      </c>
      <c r="AA719" s="7">
        <f t="shared" si="106"/>
        <v>55024.92</v>
      </c>
      <c r="AB719" s="7">
        <f t="shared" si="107"/>
        <v>116968.92</v>
      </c>
    </row>
    <row r="720" spans="1:28" x14ac:dyDescent="0.25">
      <c r="A720">
        <v>7888574610</v>
      </c>
      <c r="B720" t="s">
        <v>193</v>
      </c>
      <c r="C720" t="s">
        <v>194</v>
      </c>
      <c r="D720" t="str">
        <f>B720&amp;" "&amp;C720</f>
        <v>Arvy Phittiplace</v>
      </c>
      <c r="E720" t="s">
        <v>7</v>
      </c>
      <c r="F720">
        <v>43872</v>
      </c>
      <c r="G720">
        <f>COUNTIF(deals_closed!D:D,Calculations!A720)</f>
        <v>27</v>
      </c>
      <c r="H720" s="2">
        <f>SUMIF(deals_closed!D:D,Calculations!A720,deals_closed!C:C)</f>
        <v>952586</v>
      </c>
      <c r="I720" s="2">
        <f>VLOOKUP(E720,'2018_commission_structure'!$A$11:$I$14,9,FALSE)</f>
        <v>500000</v>
      </c>
      <c r="J720" s="2">
        <f t="shared" si="99"/>
        <v>625000</v>
      </c>
      <c r="K720" s="2">
        <f t="shared" si="100"/>
        <v>750000</v>
      </c>
      <c r="L720" s="2">
        <f t="shared" si="101"/>
        <v>1000000</v>
      </c>
      <c r="M720" s="6">
        <f t="shared" si="102"/>
        <v>1.9051720000000001</v>
      </c>
      <c r="N720" t="str">
        <f t="shared" si="103"/>
        <v>150-200%</v>
      </c>
      <c r="O720" s="7">
        <f>MIN(I720,H720)*INDEX('2018_commission_structure'!$A$11:$I$14,MATCH(Calculations!$E720,'2018_commission_structure'!$A$11:$A$14,0),MATCH(Calculations!O$1,'2018_commission_structure'!$A$11:$I$11,0))</f>
        <v>50000</v>
      </c>
      <c r="P720" s="7">
        <f>IF($H720&gt;I720,MIN($H720-I720,J720-I720)*INDEX('2018_commission_structure'!$A$11:$I$14,MATCH(Calculations!$E720,'2018_commission_structure'!$A$11:$A$14,0), MATCH(Calculations!P$1,'2018_commission_structure'!$A$11:$I$11,0)),0)</f>
        <v>18750</v>
      </c>
      <c r="Q720" s="7">
        <f>IF($H720&gt;J720,MIN($H720-J720,K720-J720)*INDEX('2018_commission_structure'!$A$11:$I$14,MATCH(Calculations!$E720,'2018_commission_structure'!$A$11:$A$14,0), MATCH(Calculations!Q$1,'2018_commission_structure'!$A$11:$I$11,0)),0)</f>
        <v>22500</v>
      </c>
      <c r="R720" s="7">
        <f>IF($H720&gt;K720,MIN($H720-K720,L720-K720)*INDEX('2018_commission_structure'!$A$11:$I$14,MATCH(Calculations!$E720,'2018_commission_structure'!$A$11:$A$14,0), MATCH(Calculations!R$1,'2018_commission_structure'!$A$11:$I$11,0)),0)</f>
        <v>44568.92</v>
      </c>
      <c r="S720" s="7">
        <f>IF(H720&gt;L720,(H720-L720)*INDEX('2018_commission_structure'!$A$11:$I$14,MATCH(Calculations!$E720,'2018_commission_structure'!$A$11:$A$14,0),MATCH(Calculations!S$1,'2018_commission_structure'!$A$11:$I$11,0)),0)</f>
        <v>0</v>
      </c>
      <c r="T720" s="7">
        <f t="shared" si="104"/>
        <v>135818.91999999998</v>
      </c>
      <c r="U720" s="7">
        <f t="shared" si="105"/>
        <v>179690.91999999998</v>
      </c>
      <c r="V720" s="7">
        <f>MIN(H720,I720)*INDEX('2018_commission_structure'!$A$5:$J$8,MATCH(Calculations!$E720,'2018_commission_structure'!$A$5:$A$8,0),MATCH(Calculations!V$1,'2018_commission_structure'!$A$5:$J$5,0))</f>
        <v>60000</v>
      </c>
      <c r="W720" s="2">
        <f>IF($H720&gt;I720,MIN($H720-I720,J720-I720)*INDEX('2018_commission_structure'!$A$5:$J$8,MATCH(Calculations!$E720,'2018_commission_structure'!$A$5:$A$8,0),MATCH(Calculations!W$1,'2018_commission_structure'!$A$5:$J$5,0)),0)</f>
        <v>21250</v>
      </c>
      <c r="X720" s="2">
        <f>IF($H720&gt;J720,MIN($H720-J720,K720-J720)*INDEX('2018_commission_structure'!$A$5:$J$8,MATCH(Calculations!$E720,'2018_commission_structure'!$A$5:$A$8,0),MATCH(Calculations!X$1,'2018_commission_structure'!$A$5:$J$5,0)),0)</f>
        <v>25000</v>
      </c>
      <c r="Y720" s="2">
        <f>IF($H720&gt;K720,MIN($H720-K720,L720-K720)*INDEX('2018_commission_structure'!$A$5:$J$8,MATCH(Calculations!$E720,'2018_commission_structure'!$A$5:$A$8,0),MATCH(Calculations!Y$1,'2018_commission_structure'!$A$5:$J$5,0)),0)</f>
        <v>44568.92</v>
      </c>
      <c r="Z720" s="2">
        <f xml:space="preserve"> IF(H720&gt;L720,(H720-L720)*INDEX('2018_commission_structure'!$A$11:$I$14,MATCH(Calculations!$E720,'2018_commission_structure'!$A$11:$A$14,0),MATCH(Calculations!Z$1,'2018_commission_structure'!$A$11:$I$11,0)),0)</f>
        <v>0</v>
      </c>
      <c r="AA720" s="7">
        <f t="shared" si="106"/>
        <v>150818.91999999998</v>
      </c>
      <c r="AB720" s="7">
        <f t="shared" si="107"/>
        <v>194690.91999999998</v>
      </c>
    </row>
    <row r="721" spans="1:28" x14ac:dyDescent="0.25">
      <c r="A721">
        <v>2922893758</v>
      </c>
      <c r="B721" t="s">
        <v>598</v>
      </c>
      <c r="C721" t="s">
        <v>599</v>
      </c>
      <c r="D721" t="str">
        <f>B721&amp;" "&amp;C721</f>
        <v>Somerset Phlippsen</v>
      </c>
      <c r="E721" t="s">
        <v>7</v>
      </c>
      <c r="F721">
        <v>36222</v>
      </c>
      <c r="G721">
        <f>COUNTIF(deals_closed!D:D,Calculations!A721)</f>
        <v>21</v>
      </c>
      <c r="H721" s="2">
        <f>SUMIF(deals_closed!D:D,Calculations!A721,deals_closed!C:C)</f>
        <v>785622</v>
      </c>
      <c r="I721" s="2">
        <f>VLOOKUP(E721,'2018_commission_structure'!$A$11:$I$14,9,FALSE)</f>
        <v>500000</v>
      </c>
      <c r="J721" s="2">
        <f t="shared" si="99"/>
        <v>625000</v>
      </c>
      <c r="K721" s="2">
        <f t="shared" si="100"/>
        <v>750000</v>
      </c>
      <c r="L721" s="2">
        <f t="shared" si="101"/>
        <v>1000000</v>
      </c>
      <c r="M721" s="6">
        <f t="shared" si="102"/>
        <v>1.5712440000000001</v>
      </c>
      <c r="N721" t="str">
        <f t="shared" si="103"/>
        <v>150-200%</v>
      </c>
      <c r="O721" s="7">
        <f>MIN(I721,H721)*INDEX('2018_commission_structure'!$A$11:$I$14,MATCH(Calculations!$E721,'2018_commission_structure'!$A$11:$A$14,0),MATCH(Calculations!O$1,'2018_commission_structure'!$A$11:$I$11,0))</f>
        <v>50000</v>
      </c>
      <c r="P721" s="7">
        <f>IF($H721&gt;I721,MIN($H721-I721,J721-I721)*INDEX('2018_commission_structure'!$A$11:$I$14,MATCH(Calculations!$E721,'2018_commission_structure'!$A$11:$A$14,0), MATCH(Calculations!P$1,'2018_commission_structure'!$A$11:$I$11,0)),0)</f>
        <v>18750</v>
      </c>
      <c r="Q721" s="7">
        <f>IF($H721&gt;J721,MIN($H721-J721,K721-J721)*INDEX('2018_commission_structure'!$A$11:$I$14,MATCH(Calculations!$E721,'2018_commission_structure'!$A$11:$A$14,0), MATCH(Calculations!Q$1,'2018_commission_structure'!$A$11:$I$11,0)),0)</f>
        <v>22500</v>
      </c>
      <c r="R721" s="7">
        <f>IF($H721&gt;K721,MIN($H721-K721,L721-K721)*INDEX('2018_commission_structure'!$A$11:$I$14,MATCH(Calculations!$E721,'2018_commission_structure'!$A$11:$A$14,0), MATCH(Calculations!R$1,'2018_commission_structure'!$A$11:$I$11,0)),0)</f>
        <v>7836.84</v>
      </c>
      <c r="S721" s="7">
        <f>IF(H721&gt;L721,(H721-L721)*INDEX('2018_commission_structure'!$A$11:$I$14,MATCH(Calculations!$E721,'2018_commission_structure'!$A$11:$A$14,0),MATCH(Calculations!S$1,'2018_commission_structure'!$A$11:$I$11,0)),0)</f>
        <v>0</v>
      </c>
      <c r="T721" s="7">
        <f t="shared" si="104"/>
        <v>99086.84</v>
      </c>
      <c r="U721" s="7">
        <f t="shared" si="105"/>
        <v>135308.84</v>
      </c>
      <c r="V721" s="7">
        <f>MIN(H721,I721)*INDEX('2018_commission_structure'!$A$5:$J$8,MATCH(Calculations!$E721,'2018_commission_structure'!$A$5:$A$8,0),MATCH(Calculations!V$1,'2018_commission_structure'!$A$5:$J$5,0))</f>
        <v>60000</v>
      </c>
      <c r="W721" s="2">
        <f>IF($H721&gt;I721,MIN($H721-I721,J721-I721)*INDEX('2018_commission_structure'!$A$5:$J$8,MATCH(Calculations!$E721,'2018_commission_structure'!$A$5:$A$8,0),MATCH(Calculations!W$1,'2018_commission_structure'!$A$5:$J$5,0)),0)</f>
        <v>21250</v>
      </c>
      <c r="X721" s="2">
        <f>IF($H721&gt;J721,MIN($H721-J721,K721-J721)*INDEX('2018_commission_structure'!$A$5:$J$8,MATCH(Calculations!$E721,'2018_commission_structure'!$A$5:$A$8,0),MATCH(Calculations!X$1,'2018_commission_structure'!$A$5:$J$5,0)),0)</f>
        <v>25000</v>
      </c>
      <c r="Y721" s="2">
        <f>IF($H721&gt;K721,MIN($H721-K721,L721-K721)*INDEX('2018_commission_structure'!$A$5:$J$8,MATCH(Calculations!$E721,'2018_commission_structure'!$A$5:$A$8,0),MATCH(Calculations!Y$1,'2018_commission_structure'!$A$5:$J$5,0)),0)</f>
        <v>7836.84</v>
      </c>
      <c r="Z721" s="2">
        <f xml:space="preserve"> IF(H721&gt;L721,(H721-L721)*INDEX('2018_commission_structure'!$A$11:$I$14,MATCH(Calculations!$E721,'2018_commission_structure'!$A$11:$A$14,0),MATCH(Calculations!Z$1,'2018_commission_structure'!$A$11:$I$11,0)),0)</f>
        <v>0</v>
      </c>
      <c r="AA721" s="7">
        <f t="shared" si="106"/>
        <v>114086.84</v>
      </c>
      <c r="AB721" s="7">
        <f t="shared" si="107"/>
        <v>150308.84</v>
      </c>
    </row>
    <row r="722" spans="1:28" x14ac:dyDescent="0.25">
      <c r="A722">
        <v>9627071331</v>
      </c>
      <c r="B722" t="s">
        <v>512</v>
      </c>
      <c r="C722" t="s">
        <v>513</v>
      </c>
      <c r="D722" t="str">
        <f>B722&amp;" "&amp;C722</f>
        <v>Denny Pickard</v>
      </c>
      <c r="E722" t="s">
        <v>10</v>
      </c>
      <c r="F722">
        <v>124372</v>
      </c>
      <c r="G722">
        <f>COUNTIF(deals_closed!D:D,Calculations!A722)</f>
        <v>23</v>
      </c>
      <c r="H722" s="2">
        <f>SUMIF(deals_closed!D:D,Calculations!A722,deals_closed!C:C)</f>
        <v>633465</v>
      </c>
      <c r="I722" s="2">
        <f>VLOOKUP(E722,'2018_commission_structure'!$A$11:$I$14,9,FALSE)</f>
        <v>750000</v>
      </c>
      <c r="J722" s="2">
        <f t="shared" si="99"/>
        <v>937500</v>
      </c>
      <c r="K722" s="2">
        <f t="shared" si="100"/>
        <v>1125000</v>
      </c>
      <c r="L722" s="2">
        <f t="shared" si="101"/>
        <v>1500000</v>
      </c>
      <c r="M722" s="6">
        <f t="shared" si="102"/>
        <v>0.84462000000000004</v>
      </c>
      <c r="N722" t="str">
        <f t="shared" si="103"/>
        <v>0-100%</v>
      </c>
      <c r="O722" s="7">
        <f>MIN(I722,H722)*INDEX('2018_commission_structure'!$A$11:$I$14,MATCH(Calculations!$E722,'2018_commission_structure'!$A$11:$A$14,0),MATCH(Calculations!O$1,'2018_commission_structure'!$A$11:$I$11,0))</f>
        <v>95019.75</v>
      </c>
      <c r="P722" s="7">
        <f>IF($H722&gt;I722,MIN($H722-I722,J722-I722)*INDEX('2018_commission_structure'!$A$11:$I$14,MATCH(Calculations!$E722,'2018_commission_structure'!$A$11:$A$14,0), MATCH(Calculations!P$1,'2018_commission_structure'!$A$11:$I$11,0)),0)</f>
        <v>0</v>
      </c>
      <c r="Q722" s="7">
        <f>IF($H722&gt;J722,MIN($H722-J722,K722-J722)*INDEX('2018_commission_structure'!$A$11:$I$14,MATCH(Calculations!$E722,'2018_commission_structure'!$A$11:$A$14,0), MATCH(Calculations!Q$1,'2018_commission_structure'!$A$11:$I$11,0)),0)</f>
        <v>0</v>
      </c>
      <c r="R722" s="7">
        <f>IF($H722&gt;K722,MIN($H722-K722,L722-K722)*INDEX('2018_commission_structure'!$A$11:$I$14,MATCH(Calculations!$E722,'2018_commission_structure'!$A$11:$A$14,0), MATCH(Calculations!R$1,'2018_commission_structure'!$A$11:$I$11,0)),0)</f>
        <v>0</v>
      </c>
      <c r="S722" s="7">
        <f>IF(H722&gt;L722,(H722-L722)*INDEX('2018_commission_structure'!$A$11:$I$14,MATCH(Calculations!$E722,'2018_commission_structure'!$A$11:$A$14,0),MATCH(Calculations!S$1,'2018_commission_structure'!$A$11:$I$11,0)),0)</f>
        <v>0</v>
      </c>
      <c r="T722" s="7">
        <f t="shared" si="104"/>
        <v>95019.75</v>
      </c>
      <c r="U722" s="7">
        <f t="shared" si="105"/>
        <v>219391.75</v>
      </c>
      <c r="V722" s="7">
        <f>MIN(H722,I722)*INDEX('2018_commission_structure'!$A$5:$J$8,MATCH(Calculations!$E722,'2018_commission_structure'!$A$5:$A$8,0),MATCH(Calculations!V$1,'2018_commission_structure'!$A$5:$J$5,0))</f>
        <v>95019.75</v>
      </c>
      <c r="W722" s="2">
        <f>IF($H722&gt;I722,MIN($H722-I722,J722-I722)*INDEX('2018_commission_structure'!$A$5:$J$8,MATCH(Calculations!$E722,'2018_commission_structure'!$A$5:$A$8,0),MATCH(Calculations!W$1,'2018_commission_structure'!$A$5:$J$5,0)),0)</f>
        <v>0</v>
      </c>
      <c r="X722" s="2">
        <f>IF($H722&gt;J722,MIN($H722-J722,K722-J722)*INDEX('2018_commission_structure'!$A$5:$J$8,MATCH(Calculations!$E722,'2018_commission_structure'!$A$5:$A$8,0),MATCH(Calculations!X$1,'2018_commission_structure'!$A$5:$J$5,0)),0)</f>
        <v>0</v>
      </c>
      <c r="Y722" s="2">
        <f>IF($H722&gt;K722,MIN($H722-K722,L722-K722)*INDEX('2018_commission_structure'!$A$5:$J$8,MATCH(Calculations!$E722,'2018_commission_structure'!$A$5:$A$8,0),MATCH(Calculations!Y$1,'2018_commission_structure'!$A$5:$J$5,0)),0)</f>
        <v>0</v>
      </c>
      <c r="Z722" s="2">
        <f xml:space="preserve"> IF(H722&gt;L722,(H722-L722)*INDEX('2018_commission_structure'!$A$11:$I$14,MATCH(Calculations!$E722,'2018_commission_structure'!$A$11:$A$14,0),MATCH(Calculations!Z$1,'2018_commission_structure'!$A$11:$I$11,0)),0)</f>
        <v>0</v>
      </c>
      <c r="AA722" s="7">
        <f t="shared" si="106"/>
        <v>95019.75</v>
      </c>
      <c r="AB722" s="7">
        <f t="shared" si="107"/>
        <v>219391.75</v>
      </c>
    </row>
    <row r="723" spans="1:28" x14ac:dyDescent="0.25">
      <c r="A723">
        <v>4502817627</v>
      </c>
      <c r="B723" t="s">
        <v>1087</v>
      </c>
      <c r="C723" t="s">
        <v>1088</v>
      </c>
      <c r="D723" t="str">
        <f>B723&amp;" "&amp;C723</f>
        <v>Aurelie Pickaver</v>
      </c>
      <c r="E723" t="s">
        <v>7</v>
      </c>
      <c r="F723">
        <v>63908</v>
      </c>
      <c r="G723">
        <f>COUNTIF(deals_closed!D:D,Calculations!A723)</f>
        <v>17</v>
      </c>
      <c r="H723" s="2">
        <f>SUMIF(deals_closed!D:D,Calculations!A723,deals_closed!C:C)</f>
        <v>695501</v>
      </c>
      <c r="I723" s="2">
        <f>VLOOKUP(E723,'2018_commission_structure'!$A$11:$I$14,9,FALSE)</f>
        <v>500000</v>
      </c>
      <c r="J723" s="2">
        <f t="shared" si="99"/>
        <v>625000</v>
      </c>
      <c r="K723" s="2">
        <f t="shared" si="100"/>
        <v>750000</v>
      </c>
      <c r="L723" s="2">
        <f t="shared" si="101"/>
        <v>1000000</v>
      </c>
      <c r="M723" s="6">
        <f t="shared" si="102"/>
        <v>1.3910020000000001</v>
      </c>
      <c r="N723" t="str">
        <f t="shared" si="103"/>
        <v>125-150%</v>
      </c>
      <c r="O723" s="7">
        <f>MIN(I723,H723)*INDEX('2018_commission_structure'!$A$11:$I$14,MATCH(Calculations!$E723,'2018_commission_structure'!$A$11:$A$14,0),MATCH(Calculations!O$1,'2018_commission_structure'!$A$11:$I$11,0))</f>
        <v>50000</v>
      </c>
      <c r="P723" s="7">
        <f>IF($H723&gt;I723,MIN($H723-I723,J723-I723)*INDEX('2018_commission_structure'!$A$11:$I$14,MATCH(Calculations!$E723,'2018_commission_structure'!$A$11:$A$14,0), MATCH(Calculations!P$1,'2018_commission_structure'!$A$11:$I$11,0)),0)</f>
        <v>18750</v>
      </c>
      <c r="Q723" s="7">
        <f>IF($H723&gt;J723,MIN($H723-J723,K723-J723)*INDEX('2018_commission_structure'!$A$11:$I$14,MATCH(Calculations!$E723,'2018_commission_structure'!$A$11:$A$14,0), MATCH(Calculations!Q$1,'2018_commission_structure'!$A$11:$I$11,0)),0)</f>
        <v>12690.18</v>
      </c>
      <c r="R723" s="7">
        <f>IF($H723&gt;K723,MIN($H723-K723,L723-K723)*INDEX('2018_commission_structure'!$A$11:$I$14,MATCH(Calculations!$E723,'2018_commission_structure'!$A$11:$A$14,0), MATCH(Calculations!R$1,'2018_commission_structure'!$A$11:$I$11,0)),0)</f>
        <v>0</v>
      </c>
      <c r="S723" s="7">
        <f>IF(H723&gt;L723,(H723-L723)*INDEX('2018_commission_structure'!$A$11:$I$14,MATCH(Calculations!$E723,'2018_commission_structure'!$A$11:$A$14,0),MATCH(Calculations!S$1,'2018_commission_structure'!$A$11:$I$11,0)),0)</f>
        <v>0</v>
      </c>
      <c r="T723" s="7">
        <f t="shared" si="104"/>
        <v>81440.179999999993</v>
      </c>
      <c r="U723" s="7">
        <f t="shared" si="105"/>
        <v>145348.18</v>
      </c>
      <c r="V723" s="7">
        <f>MIN(H723,I723)*INDEX('2018_commission_structure'!$A$5:$J$8,MATCH(Calculations!$E723,'2018_commission_structure'!$A$5:$A$8,0),MATCH(Calculations!V$1,'2018_commission_structure'!$A$5:$J$5,0))</f>
        <v>60000</v>
      </c>
      <c r="W723" s="2">
        <f>IF($H723&gt;I723,MIN($H723-I723,J723-I723)*INDEX('2018_commission_structure'!$A$5:$J$8,MATCH(Calculations!$E723,'2018_commission_structure'!$A$5:$A$8,0),MATCH(Calculations!W$1,'2018_commission_structure'!$A$5:$J$5,0)),0)</f>
        <v>21250</v>
      </c>
      <c r="X723" s="2">
        <f>IF($H723&gt;J723,MIN($H723-J723,K723-J723)*INDEX('2018_commission_structure'!$A$5:$J$8,MATCH(Calculations!$E723,'2018_commission_structure'!$A$5:$A$8,0),MATCH(Calculations!X$1,'2018_commission_structure'!$A$5:$J$5,0)),0)</f>
        <v>14100.2</v>
      </c>
      <c r="Y723" s="2">
        <f>IF($H723&gt;K723,MIN($H723-K723,L723-K723)*INDEX('2018_commission_structure'!$A$5:$J$8,MATCH(Calculations!$E723,'2018_commission_structure'!$A$5:$A$8,0),MATCH(Calculations!Y$1,'2018_commission_structure'!$A$5:$J$5,0)),0)</f>
        <v>0</v>
      </c>
      <c r="Z723" s="2">
        <f xml:space="preserve"> IF(H723&gt;L723,(H723-L723)*INDEX('2018_commission_structure'!$A$11:$I$14,MATCH(Calculations!$E723,'2018_commission_structure'!$A$11:$A$14,0),MATCH(Calculations!Z$1,'2018_commission_structure'!$A$11:$I$11,0)),0)</f>
        <v>0</v>
      </c>
      <c r="AA723" s="7">
        <f t="shared" si="106"/>
        <v>95350.2</v>
      </c>
      <c r="AB723" s="7">
        <f t="shared" si="107"/>
        <v>159258.20000000001</v>
      </c>
    </row>
    <row r="724" spans="1:28" x14ac:dyDescent="0.25">
      <c r="A724">
        <v>1391414047</v>
      </c>
      <c r="B724" t="s">
        <v>1423</v>
      </c>
      <c r="C724" t="s">
        <v>1424</v>
      </c>
      <c r="D724" t="str">
        <f>B724&amp;" "&amp;C724</f>
        <v>Arleyne Piens</v>
      </c>
      <c r="E724" t="s">
        <v>7</v>
      </c>
      <c r="F724">
        <v>36170</v>
      </c>
      <c r="G724">
        <f>COUNTIF(deals_closed!D:D,Calculations!A724)</f>
        <v>18</v>
      </c>
      <c r="H724" s="2">
        <f>SUMIF(deals_closed!D:D,Calculations!A724,deals_closed!C:C)</f>
        <v>567584</v>
      </c>
      <c r="I724" s="2">
        <f>VLOOKUP(E724,'2018_commission_structure'!$A$11:$I$14,9,FALSE)</f>
        <v>500000</v>
      </c>
      <c r="J724" s="2">
        <f t="shared" si="99"/>
        <v>625000</v>
      </c>
      <c r="K724" s="2">
        <f t="shared" si="100"/>
        <v>750000</v>
      </c>
      <c r="L724" s="2">
        <f t="shared" si="101"/>
        <v>1000000</v>
      </c>
      <c r="M724" s="6">
        <f t="shared" si="102"/>
        <v>1.135168</v>
      </c>
      <c r="N724" t="str">
        <f t="shared" si="103"/>
        <v>100-125%</v>
      </c>
      <c r="O724" s="7">
        <f>MIN(I724,H724)*INDEX('2018_commission_structure'!$A$11:$I$14,MATCH(Calculations!$E724,'2018_commission_structure'!$A$11:$A$14,0),MATCH(Calculations!O$1,'2018_commission_structure'!$A$11:$I$11,0))</f>
        <v>50000</v>
      </c>
      <c r="P724" s="7">
        <f>IF($H724&gt;I724,MIN($H724-I724,J724-I724)*INDEX('2018_commission_structure'!$A$11:$I$14,MATCH(Calculations!$E724,'2018_commission_structure'!$A$11:$A$14,0), MATCH(Calculations!P$1,'2018_commission_structure'!$A$11:$I$11,0)),0)</f>
        <v>10137.6</v>
      </c>
      <c r="Q724" s="7">
        <f>IF($H724&gt;J724,MIN($H724-J724,K724-J724)*INDEX('2018_commission_structure'!$A$11:$I$14,MATCH(Calculations!$E724,'2018_commission_structure'!$A$11:$A$14,0), MATCH(Calculations!Q$1,'2018_commission_structure'!$A$11:$I$11,0)),0)</f>
        <v>0</v>
      </c>
      <c r="R724" s="7">
        <f>IF($H724&gt;K724,MIN($H724-K724,L724-K724)*INDEX('2018_commission_structure'!$A$11:$I$14,MATCH(Calculations!$E724,'2018_commission_structure'!$A$11:$A$14,0), MATCH(Calculations!R$1,'2018_commission_structure'!$A$11:$I$11,0)),0)</f>
        <v>0</v>
      </c>
      <c r="S724" s="7">
        <f>IF(H724&gt;L724,(H724-L724)*INDEX('2018_commission_structure'!$A$11:$I$14,MATCH(Calculations!$E724,'2018_commission_structure'!$A$11:$A$14,0),MATCH(Calculations!S$1,'2018_commission_structure'!$A$11:$I$11,0)),0)</f>
        <v>0</v>
      </c>
      <c r="T724" s="7">
        <f t="shared" si="104"/>
        <v>60137.599999999999</v>
      </c>
      <c r="U724" s="7">
        <f t="shared" si="105"/>
        <v>96307.6</v>
      </c>
      <c r="V724" s="7">
        <f>MIN(H724,I724)*INDEX('2018_commission_structure'!$A$5:$J$8,MATCH(Calculations!$E724,'2018_commission_structure'!$A$5:$A$8,0),MATCH(Calculations!V$1,'2018_commission_structure'!$A$5:$J$5,0))</f>
        <v>60000</v>
      </c>
      <c r="W724" s="2">
        <f>IF($H724&gt;I724,MIN($H724-I724,J724-I724)*INDEX('2018_commission_structure'!$A$5:$J$8,MATCH(Calculations!$E724,'2018_commission_structure'!$A$5:$A$8,0),MATCH(Calculations!W$1,'2018_commission_structure'!$A$5:$J$5,0)),0)</f>
        <v>11489.28</v>
      </c>
      <c r="X724" s="2">
        <f>IF($H724&gt;J724,MIN($H724-J724,K724-J724)*INDEX('2018_commission_structure'!$A$5:$J$8,MATCH(Calculations!$E724,'2018_commission_structure'!$A$5:$A$8,0),MATCH(Calculations!X$1,'2018_commission_structure'!$A$5:$J$5,0)),0)</f>
        <v>0</v>
      </c>
      <c r="Y724" s="2">
        <f>IF($H724&gt;K724,MIN($H724-K724,L724-K724)*INDEX('2018_commission_structure'!$A$5:$J$8,MATCH(Calculations!$E724,'2018_commission_structure'!$A$5:$A$8,0),MATCH(Calculations!Y$1,'2018_commission_structure'!$A$5:$J$5,0)),0)</f>
        <v>0</v>
      </c>
      <c r="Z724" s="2">
        <f xml:space="preserve"> IF(H724&gt;L724,(H724-L724)*INDEX('2018_commission_structure'!$A$11:$I$14,MATCH(Calculations!$E724,'2018_commission_structure'!$A$11:$A$14,0),MATCH(Calculations!Z$1,'2018_commission_structure'!$A$11:$I$11,0)),0)</f>
        <v>0</v>
      </c>
      <c r="AA724" s="7">
        <f t="shared" si="106"/>
        <v>71489.279999999999</v>
      </c>
      <c r="AB724" s="7">
        <f t="shared" si="107"/>
        <v>107659.28</v>
      </c>
    </row>
    <row r="725" spans="1:28" x14ac:dyDescent="0.25">
      <c r="A725">
        <v>6978367184</v>
      </c>
      <c r="B725" t="s">
        <v>311</v>
      </c>
      <c r="C725" t="s">
        <v>312</v>
      </c>
      <c r="D725" t="str">
        <f>B725&amp;" "&amp;C725</f>
        <v>Amberly Pillman</v>
      </c>
      <c r="E725" t="s">
        <v>10</v>
      </c>
      <c r="F725">
        <v>92573</v>
      </c>
      <c r="G725">
        <f>COUNTIF(deals_closed!D:D,Calculations!A725)</f>
        <v>14</v>
      </c>
      <c r="H725" s="2">
        <f>SUMIF(deals_closed!D:D,Calculations!A725,deals_closed!C:C)</f>
        <v>488220</v>
      </c>
      <c r="I725" s="2">
        <f>VLOOKUP(E725,'2018_commission_structure'!$A$11:$I$14,9,FALSE)</f>
        <v>750000</v>
      </c>
      <c r="J725" s="2">
        <f t="shared" si="99"/>
        <v>937500</v>
      </c>
      <c r="K725" s="2">
        <f t="shared" si="100"/>
        <v>1125000</v>
      </c>
      <c r="L725" s="2">
        <f t="shared" si="101"/>
        <v>1500000</v>
      </c>
      <c r="M725" s="6">
        <f t="shared" si="102"/>
        <v>0.65095999999999998</v>
      </c>
      <c r="N725" t="str">
        <f t="shared" si="103"/>
        <v>0-100%</v>
      </c>
      <c r="O725" s="7">
        <f>MIN(I725,H725)*INDEX('2018_commission_structure'!$A$11:$I$14,MATCH(Calculations!$E725,'2018_commission_structure'!$A$11:$A$14,0),MATCH(Calculations!O$1,'2018_commission_structure'!$A$11:$I$11,0))</f>
        <v>73233</v>
      </c>
      <c r="P725" s="7">
        <f>IF($H725&gt;I725,MIN($H725-I725,J725-I725)*INDEX('2018_commission_structure'!$A$11:$I$14,MATCH(Calculations!$E725,'2018_commission_structure'!$A$11:$A$14,0), MATCH(Calculations!P$1,'2018_commission_structure'!$A$11:$I$11,0)),0)</f>
        <v>0</v>
      </c>
      <c r="Q725" s="7">
        <f>IF($H725&gt;J725,MIN($H725-J725,K725-J725)*INDEX('2018_commission_structure'!$A$11:$I$14,MATCH(Calculations!$E725,'2018_commission_structure'!$A$11:$A$14,0), MATCH(Calculations!Q$1,'2018_commission_structure'!$A$11:$I$11,0)),0)</f>
        <v>0</v>
      </c>
      <c r="R725" s="7">
        <f>IF($H725&gt;K725,MIN($H725-K725,L725-K725)*INDEX('2018_commission_structure'!$A$11:$I$14,MATCH(Calculations!$E725,'2018_commission_structure'!$A$11:$A$14,0), MATCH(Calculations!R$1,'2018_commission_structure'!$A$11:$I$11,0)),0)</f>
        <v>0</v>
      </c>
      <c r="S725" s="7">
        <f>IF(H725&gt;L725,(H725-L725)*INDEX('2018_commission_structure'!$A$11:$I$14,MATCH(Calculations!$E725,'2018_commission_structure'!$A$11:$A$14,0),MATCH(Calculations!S$1,'2018_commission_structure'!$A$11:$I$11,0)),0)</f>
        <v>0</v>
      </c>
      <c r="T725" s="7">
        <f t="shared" si="104"/>
        <v>73233</v>
      </c>
      <c r="U725" s="7">
        <f t="shared" si="105"/>
        <v>165806</v>
      </c>
      <c r="V725" s="7">
        <f>MIN(H725,I725)*INDEX('2018_commission_structure'!$A$5:$J$8,MATCH(Calculations!$E725,'2018_commission_structure'!$A$5:$A$8,0),MATCH(Calculations!V$1,'2018_commission_structure'!$A$5:$J$5,0))</f>
        <v>73233</v>
      </c>
      <c r="W725" s="2">
        <f>IF($H725&gt;I725,MIN($H725-I725,J725-I725)*INDEX('2018_commission_structure'!$A$5:$J$8,MATCH(Calculations!$E725,'2018_commission_structure'!$A$5:$A$8,0),MATCH(Calculations!W$1,'2018_commission_structure'!$A$5:$J$5,0)),0)</f>
        <v>0</v>
      </c>
      <c r="X725" s="2">
        <f>IF($H725&gt;J725,MIN($H725-J725,K725-J725)*INDEX('2018_commission_structure'!$A$5:$J$8,MATCH(Calculations!$E725,'2018_commission_structure'!$A$5:$A$8,0),MATCH(Calculations!X$1,'2018_commission_structure'!$A$5:$J$5,0)),0)</f>
        <v>0</v>
      </c>
      <c r="Y725" s="2">
        <f>IF($H725&gt;K725,MIN($H725-K725,L725-K725)*INDEX('2018_commission_structure'!$A$5:$J$8,MATCH(Calculations!$E725,'2018_commission_structure'!$A$5:$A$8,0),MATCH(Calculations!Y$1,'2018_commission_structure'!$A$5:$J$5,0)),0)</f>
        <v>0</v>
      </c>
      <c r="Z725" s="2">
        <f xml:space="preserve"> IF(H725&gt;L725,(H725-L725)*INDEX('2018_commission_structure'!$A$11:$I$14,MATCH(Calculations!$E725,'2018_commission_structure'!$A$11:$A$14,0),MATCH(Calculations!Z$1,'2018_commission_structure'!$A$11:$I$11,0)),0)</f>
        <v>0</v>
      </c>
      <c r="AA725" s="7">
        <f t="shared" si="106"/>
        <v>73233</v>
      </c>
      <c r="AB725" s="7">
        <f t="shared" si="107"/>
        <v>165806</v>
      </c>
    </row>
    <row r="726" spans="1:28" x14ac:dyDescent="0.25">
      <c r="A726">
        <v>4406664351</v>
      </c>
      <c r="B726" t="s">
        <v>234</v>
      </c>
      <c r="C726" t="s">
        <v>235</v>
      </c>
      <c r="D726" t="str">
        <f>B726&amp;" "&amp;C726</f>
        <v>Vally Pinel</v>
      </c>
      <c r="E726" t="s">
        <v>29</v>
      </c>
      <c r="F726">
        <v>72749</v>
      </c>
      <c r="G726">
        <f>COUNTIF(deals_closed!D:D,Calculations!A726)</f>
        <v>19</v>
      </c>
      <c r="H726" s="2">
        <f>SUMIF(deals_closed!D:D,Calculations!A726,deals_closed!C:C)</f>
        <v>683114</v>
      </c>
      <c r="I726" s="2">
        <f>VLOOKUP(E726,'2018_commission_structure'!$A$11:$I$14,9,FALSE)</f>
        <v>600000</v>
      </c>
      <c r="J726" s="2">
        <f t="shared" si="99"/>
        <v>750000</v>
      </c>
      <c r="K726" s="2">
        <f t="shared" si="100"/>
        <v>900000</v>
      </c>
      <c r="L726" s="2">
        <f t="shared" si="101"/>
        <v>1200000</v>
      </c>
      <c r="M726" s="6">
        <f t="shared" si="102"/>
        <v>1.1385233333333333</v>
      </c>
      <c r="N726" t="str">
        <f t="shared" si="103"/>
        <v>100-125%</v>
      </c>
      <c r="O726" s="7">
        <f>MIN(I726,H726)*INDEX('2018_commission_structure'!$A$11:$I$14,MATCH(Calculations!$E726,'2018_commission_structure'!$A$11:$A$14,0),MATCH(Calculations!O$1,'2018_commission_structure'!$A$11:$I$11,0))</f>
        <v>78000</v>
      </c>
      <c r="P726" s="7">
        <f>IF($H726&gt;I726,MIN($H726-I726,J726-I726)*INDEX('2018_commission_structure'!$A$11:$I$14,MATCH(Calculations!$E726,'2018_commission_structure'!$A$11:$A$14,0), MATCH(Calculations!P$1,'2018_commission_structure'!$A$11:$I$11,0)),0)</f>
        <v>14129.380000000001</v>
      </c>
      <c r="Q726" s="7">
        <f>IF($H726&gt;J726,MIN($H726-J726,K726-J726)*INDEX('2018_commission_structure'!$A$11:$I$14,MATCH(Calculations!$E726,'2018_commission_structure'!$A$11:$A$14,0), MATCH(Calculations!Q$1,'2018_commission_structure'!$A$11:$I$11,0)),0)</f>
        <v>0</v>
      </c>
      <c r="R726" s="7">
        <f>IF($H726&gt;K726,MIN($H726-K726,L726-K726)*INDEX('2018_commission_structure'!$A$11:$I$14,MATCH(Calculations!$E726,'2018_commission_structure'!$A$11:$A$14,0), MATCH(Calculations!R$1,'2018_commission_structure'!$A$11:$I$11,0)),0)</f>
        <v>0</v>
      </c>
      <c r="S726" s="7">
        <f>IF(H726&gt;L726,(H726-L726)*INDEX('2018_commission_structure'!$A$11:$I$14,MATCH(Calculations!$E726,'2018_commission_structure'!$A$11:$A$14,0),MATCH(Calculations!S$1,'2018_commission_structure'!$A$11:$I$11,0)),0)</f>
        <v>0</v>
      </c>
      <c r="T726" s="7">
        <f t="shared" si="104"/>
        <v>92129.38</v>
      </c>
      <c r="U726" s="7">
        <f t="shared" si="105"/>
        <v>164878.38</v>
      </c>
      <c r="V726" s="7">
        <f>MIN(H726,I726)*INDEX('2018_commission_structure'!$A$5:$J$8,MATCH(Calculations!$E726,'2018_commission_structure'!$A$5:$A$8,0),MATCH(Calculations!V$1,'2018_commission_structure'!$A$5:$J$5,0))</f>
        <v>90000</v>
      </c>
      <c r="W726" s="2">
        <f>IF($H726&gt;I726,MIN($H726-I726,J726-I726)*INDEX('2018_commission_structure'!$A$5:$J$8,MATCH(Calculations!$E726,'2018_commission_structure'!$A$5:$A$8,0),MATCH(Calculations!W$1,'2018_commission_structure'!$A$5:$J$5,0)),0)</f>
        <v>14960.519999999999</v>
      </c>
      <c r="X726" s="2">
        <f>IF($H726&gt;J726,MIN($H726-J726,K726-J726)*INDEX('2018_commission_structure'!$A$5:$J$8,MATCH(Calculations!$E726,'2018_commission_structure'!$A$5:$A$8,0),MATCH(Calculations!X$1,'2018_commission_structure'!$A$5:$J$5,0)),0)</f>
        <v>0</v>
      </c>
      <c r="Y726" s="2">
        <f>IF($H726&gt;K726,MIN($H726-K726,L726-K726)*INDEX('2018_commission_structure'!$A$5:$J$8,MATCH(Calculations!$E726,'2018_commission_structure'!$A$5:$A$8,0),MATCH(Calculations!Y$1,'2018_commission_structure'!$A$5:$J$5,0)),0)</f>
        <v>0</v>
      </c>
      <c r="Z726" s="2">
        <f xml:space="preserve"> IF(H726&gt;L726,(H726-L726)*INDEX('2018_commission_structure'!$A$11:$I$14,MATCH(Calculations!$E726,'2018_commission_structure'!$A$11:$A$14,0),MATCH(Calculations!Z$1,'2018_commission_structure'!$A$11:$I$11,0)),0)</f>
        <v>0</v>
      </c>
      <c r="AA726" s="7">
        <f t="shared" si="106"/>
        <v>104960.52</v>
      </c>
      <c r="AB726" s="7">
        <f t="shared" si="107"/>
        <v>177709.52000000002</v>
      </c>
    </row>
    <row r="727" spans="1:28" x14ac:dyDescent="0.25">
      <c r="A727">
        <v>630160104</v>
      </c>
      <c r="B727" t="s">
        <v>428</v>
      </c>
      <c r="C727" t="s">
        <v>429</v>
      </c>
      <c r="D727" t="str">
        <f>B727&amp;" "&amp;C727</f>
        <v>Zonda Pipes</v>
      </c>
      <c r="E727" t="s">
        <v>10</v>
      </c>
      <c r="F727">
        <v>105465</v>
      </c>
      <c r="G727">
        <f>COUNTIF(deals_closed!D:D,Calculations!A727)</f>
        <v>21</v>
      </c>
      <c r="H727" s="2">
        <f>SUMIF(deals_closed!D:D,Calculations!A727,deals_closed!C:C)</f>
        <v>692993</v>
      </c>
      <c r="I727" s="2">
        <f>VLOOKUP(E727,'2018_commission_structure'!$A$11:$I$14,9,FALSE)</f>
        <v>750000</v>
      </c>
      <c r="J727" s="2">
        <f t="shared" si="99"/>
        <v>937500</v>
      </c>
      <c r="K727" s="2">
        <f t="shared" si="100"/>
        <v>1125000</v>
      </c>
      <c r="L727" s="2">
        <f t="shared" si="101"/>
        <v>1500000</v>
      </c>
      <c r="M727" s="6">
        <f t="shared" si="102"/>
        <v>0.92399066666666663</v>
      </c>
      <c r="N727" t="str">
        <f t="shared" si="103"/>
        <v>0-100%</v>
      </c>
      <c r="O727" s="7">
        <f>MIN(I727,H727)*INDEX('2018_commission_structure'!$A$11:$I$14,MATCH(Calculations!$E727,'2018_commission_structure'!$A$11:$A$14,0),MATCH(Calculations!O$1,'2018_commission_structure'!$A$11:$I$11,0))</f>
        <v>103948.95</v>
      </c>
      <c r="P727" s="7">
        <f>IF($H727&gt;I727,MIN($H727-I727,J727-I727)*INDEX('2018_commission_structure'!$A$11:$I$14,MATCH(Calculations!$E727,'2018_commission_structure'!$A$11:$A$14,0), MATCH(Calculations!P$1,'2018_commission_structure'!$A$11:$I$11,0)),0)</f>
        <v>0</v>
      </c>
      <c r="Q727" s="7">
        <f>IF($H727&gt;J727,MIN($H727-J727,K727-J727)*INDEX('2018_commission_structure'!$A$11:$I$14,MATCH(Calculations!$E727,'2018_commission_structure'!$A$11:$A$14,0), MATCH(Calculations!Q$1,'2018_commission_structure'!$A$11:$I$11,0)),0)</f>
        <v>0</v>
      </c>
      <c r="R727" s="7">
        <f>IF($H727&gt;K727,MIN($H727-K727,L727-K727)*INDEX('2018_commission_structure'!$A$11:$I$14,MATCH(Calculations!$E727,'2018_commission_structure'!$A$11:$A$14,0), MATCH(Calculations!R$1,'2018_commission_structure'!$A$11:$I$11,0)),0)</f>
        <v>0</v>
      </c>
      <c r="S727" s="7">
        <f>IF(H727&gt;L727,(H727-L727)*INDEX('2018_commission_structure'!$A$11:$I$14,MATCH(Calculations!$E727,'2018_commission_structure'!$A$11:$A$14,0),MATCH(Calculations!S$1,'2018_commission_structure'!$A$11:$I$11,0)),0)</f>
        <v>0</v>
      </c>
      <c r="T727" s="7">
        <f t="shared" si="104"/>
        <v>103948.95</v>
      </c>
      <c r="U727" s="7">
        <f t="shared" si="105"/>
        <v>209413.95</v>
      </c>
      <c r="V727" s="7">
        <f>MIN(H727,I727)*INDEX('2018_commission_structure'!$A$5:$J$8,MATCH(Calculations!$E727,'2018_commission_structure'!$A$5:$A$8,0),MATCH(Calculations!V$1,'2018_commission_structure'!$A$5:$J$5,0))</f>
        <v>103948.95</v>
      </c>
      <c r="W727" s="2">
        <f>IF($H727&gt;I727,MIN($H727-I727,J727-I727)*INDEX('2018_commission_structure'!$A$5:$J$8,MATCH(Calculations!$E727,'2018_commission_structure'!$A$5:$A$8,0),MATCH(Calculations!W$1,'2018_commission_structure'!$A$5:$J$5,0)),0)</f>
        <v>0</v>
      </c>
      <c r="X727" s="2">
        <f>IF($H727&gt;J727,MIN($H727-J727,K727-J727)*INDEX('2018_commission_structure'!$A$5:$J$8,MATCH(Calculations!$E727,'2018_commission_structure'!$A$5:$A$8,0),MATCH(Calculations!X$1,'2018_commission_structure'!$A$5:$J$5,0)),0)</f>
        <v>0</v>
      </c>
      <c r="Y727" s="2">
        <f>IF($H727&gt;K727,MIN($H727-K727,L727-K727)*INDEX('2018_commission_structure'!$A$5:$J$8,MATCH(Calculations!$E727,'2018_commission_structure'!$A$5:$A$8,0),MATCH(Calculations!Y$1,'2018_commission_structure'!$A$5:$J$5,0)),0)</f>
        <v>0</v>
      </c>
      <c r="Z727" s="2">
        <f xml:space="preserve"> IF(H727&gt;L727,(H727-L727)*INDEX('2018_commission_structure'!$A$11:$I$14,MATCH(Calculations!$E727,'2018_commission_structure'!$A$11:$A$14,0),MATCH(Calculations!Z$1,'2018_commission_structure'!$A$11:$I$11,0)),0)</f>
        <v>0</v>
      </c>
      <c r="AA727" s="7">
        <f t="shared" si="106"/>
        <v>103948.95</v>
      </c>
      <c r="AB727" s="7">
        <f t="shared" si="107"/>
        <v>209413.95</v>
      </c>
    </row>
    <row r="728" spans="1:28" x14ac:dyDescent="0.25">
      <c r="A728">
        <v>5068508845</v>
      </c>
      <c r="B728" t="s">
        <v>697</v>
      </c>
      <c r="C728" t="s">
        <v>698</v>
      </c>
      <c r="D728" t="str">
        <f>B728&amp;" "&amp;C728</f>
        <v>Rainer Pirdy</v>
      </c>
      <c r="E728" t="s">
        <v>29</v>
      </c>
      <c r="F728">
        <v>63652</v>
      </c>
      <c r="G728">
        <f>COUNTIF(deals_closed!D:D,Calculations!A728)</f>
        <v>19</v>
      </c>
      <c r="H728" s="2">
        <f>SUMIF(deals_closed!D:D,Calculations!A728,deals_closed!C:C)</f>
        <v>719544</v>
      </c>
      <c r="I728" s="2">
        <f>VLOOKUP(E728,'2018_commission_structure'!$A$11:$I$14,9,FALSE)</f>
        <v>600000</v>
      </c>
      <c r="J728" s="2">
        <f t="shared" si="99"/>
        <v>750000</v>
      </c>
      <c r="K728" s="2">
        <f t="shared" si="100"/>
        <v>900000</v>
      </c>
      <c r="L728" s="2">
        <f t="shared" si="101"/>
        <v>1200000</v>
      </c>
      <c r="M728" s="6">
        <f t="shared" si="102"/>
        <v>1.1992400000000001</v>
      </c>
      <c r="N728" t="str">
        <f t="shared" si="103"/>
        <v>100-125%</v>
      </c>
      <c r="O728" s="7">
        <f>MIN(I728,H728)*INDEX('2018_commission_structure'!$A$11:$I$14,MATCH(Calculations!$E728,'2018_commission_structure'!$A$11:$A$14,0),MATCH(Calculations!O$1,'2018_commission_structure'!$A$11:$I$11,0))</f>
        <v>78000</v>
      </c>
      <c r="P728" s="7">
        <f>IF($H728&gt;I728,MIN($H728-I728,J728-I728)*INDEX('2018_commission_structure'!$A$11:$I$14,MATCH(Calculations!$E728,'2018_commission_structure'!$A$11:$A$14,0), MATCH(Calculations!P$1,'2018_commission_structure'!$A$11:$I$11,0)),0)</f>
        <v>20322.480000000003</v>
      </c>
      <c r="Q728" s="7">
        <f>IF($H728&gt;J728,MIN($H728-J728,K728-J728)*INDEX('2018_commission_structure'!$A$11:$I$14,MATCH(Calculations!$E728,'2018_commission_structure'!$A$11:$A$14,0), MATCH(Calculations!Q$1,'2018_commission_structure'!$A$11:$I$11,0)),0)</f>
        <v>0</v>
      </c>
      <c r="R728" s="7">
        <f>IF($H728&gt;K728,MIN($H728-K728,L728-K728)*INDEX('2018_commission_structure'!$A$11:$I$14,MATCH(Calculations!$E728,'2018_commission_structure'!$A$11:$A$14,0), MATCH(Calculations!R$1,'2018_commission_structure'!$A$11:$I$11,0)),0)</f>
        <v>0</v>
      </c>
      <c r="S728" s="7">
        <f>IF(H728&gt;L728,(H728-L728)*INDEX('2018_commission_structure'!$A$11:$I$14,MATCH(Calculations!$E728,'2018_commission_structure'!$A$11:$A$14,0),MATCH(Calculations!S$1,'2018_commission_structure'!$A$11:$I$11,0)),0)</f>
        <v>0</v>
      </c>
      <c r="T728" s="7">
        <f t="shared" si="104"/>
        <v>98322.48000000001</v>
      </c>
      <c r="U728" s="7">
        <f t="shared" si="105"/>
        <v>161974.48000000001</v>
      </c>
      <c r="V728" s="7">
        <f>MIN(H728,I728)*INDEX('2018_commission_structure'!$A$5:$J$8,MATCH(Calculations!$E728,'2018_commission_structure'!$A$5:$A$8,0),MATCH(Calculations!V$1,'2018_commission_structure'!$A$5:$J$5,0))</f>
        <v>90000</v>
      </c>
      <c r="W728" s="2">
        <f>IF($H728&gt;I728,MIN($H728-I728,J728-I728)*INDEX('2018_commission_structure'!$A$5:$J$8,MATCH(Calculations!$E728,'2018_commission_structure'!$A$5:$A$8,0),MATCH(Calculations!W$1,'2018_commission_structure'!$A$5:$J$5,0)),0)</f>
        <v>21517.919999999998</v>
      </c>
      <c r="X728" s="2">
        <f>IF($H728&gt;J728,MIN($H728-J728,K728-J728)*INDEX('2018_commission_structure'!$A$5:$J$8,MATCH(Calculations!$E728,'2018_commission_structure'!$A$5:$A$8,0),MATCH(Calculations!X$1,'2018_commission_structure'!$A$5:$J$5,0)),0)</f>
        <v>0</v>
      </c>
      <c r="Y728" s="2">
        <f>IF($H728&gt;K728,MIN($H728-K728,L728-K728)*INDEX('2018_commission_structure'!$A$5:$J$8,MATCH(Calculations!$E728,'2018_commission_structure'!$A$5:$A$8,0),MATCH(Calculations!Y$1,'2018_commission_structure'!$A$5:$J$5,0)),0)</f>
        <v>0</v>
      </c>
      <c r="Z728" s="2">
        <f xml:space="preserve"> IF(H728&gt;L728,(H728-L728)*INDEX('2018_commission_structure'!$A$11:$I$14,MATCH(Calculations!$E728,'2018_commission_structure'!$A$11:$A$14,0),MATCH(Calculations!Z$1,'2018_commission_structure'!$A$11:$I$11,0)),0)</f>
        <v>0</v>
      </c>
      <c r="AA728" s="7">
        <f t="shared" si="106"/>
        <v>111517.92</v>
      </c>
      <c r="AB728" s="7">
        <f t="shared" si="107"/>
        <v>175169.91999999998</v>
      </c>
    </row>
    <row r="729" spans="1:28" x14ac:dyDescent="0.25">
      <c r="A729">
        <v>5304381319</v>
      </c>
      <c r="B729" t="s">
        <v>1195</v>
      </c>
      <c r="C729" t="s">
        <v>1196</v>
      </c>
      <c r="D729" t="str">
        <f>B729&amp;" "&amp;C729</f>
        <v>Barbra Pistol</v>
      </c>
      <c r="E729" t="s">
        <v>29</v>
      </c>
      <c r="F729">
        <v>74438</v>
      </c>
      <c r="G729">
        <f>COUNTIF(deals_closed!D:D,Calculations!A729)</f>
        <v>16</v>
      </c>
      <c r="H729" s="2">
        <f>SUMIF(deals_closed!D:D,Calculations!A729,deals_closed!C:C)</f>
        <v>605237</v>
      </c>
      <c r="I729" s="2">
        <f>VLOOKUP(E729,'2018_commission_structure'!$A$11:$I$14,9,FALSE)</f>
        <v>600000</v>
      </c>
      <c r="J729" s="2">
        <f t="shared" si="99"/>
        <v>750000</v>
      </c>
      <c r="K729" s="2">
        <f t="shared" si="100"/>
        <v>900000</v>
      </c>
      <c r="L729" s="2">
        <f t="shared" si="101"/>
        <v>1200000</v>
      </c>
      <c r="M729" s="6">
        <f t="shared" si="102"/>
        <v>1.0087283333333332</v>
      </c>
      <c r="N729" t="str">
        <f t="shared" si="103"/>
        <v>100-125%</v>
      </c>
      <c r="O729" s="7">
        <f>MIN(I729,H729)*INDEX('2018_commission_structure'!$A$11:$I$14,MATCH(Calculations!$E729,'2018_commission_structure'!$A$11:$A$14,0),MATCH(Calculations!O$1,'2018_commission_structure'!$A$11:$I$11,0))</f>
        <v>78000</v>
      </c>
      <c r="P729" s="7">
        <f>IF($H729&gt;I729,MIN($H729-I729,J729-I729)*INDEX('2018_commission_structure'!$A$11:$I$14,MATCH(Calculations!$E729,'2018_commission_structure'!$A$11:$A$14,0), MATCH(Calculations!P$1,'2018_commission_structure'!$A$11:$I$11,0)),0)</f>
        <v>890.29000000000008</v>
      </c>
      <c r="Q729" s="7">
        <f>IF($H729&gt;J729,MIN($H729-J729,K729-J729)*INDEX('2018_commission_structure'!$A$11:$I$14,MATCH(Calculations!$E729,'2018_commission_structure'!$A$11:$A$14,0), MATCH(Calculations!Q$1,'2018_commission_structure'!$A$11:$I$11,0)),0)</f>
        <v>0</v>
      </c>
      <c r="R729" s="7">
        <f>IF($H729&gt;K729,MIN($H729-K729,L729-K729)*INDEX('2018_commission_structure'!$A$11:$I$14,MATCH(Calculations!$E729,'2018_commission_structure'!$A$11:$A$14,0), MATCH(Calculations!R$1,'2018_commission_structure'!$A$11:$I$11,0)),0)</f>
        <v>0</v>
      </c>
      <c r="S729" s="7">
        <f>IF(H729&gt;L729,(H729-L729)*INDEX('2018_commission_structure'!$A$11:$I$14,MATCH(Calculations!$E729,'2018_commission_structure'!$A$11:$A$14,0),MATCH(Calculations!S$1,'2018_commission_structure'!$A$11:$I$11,0)),0)</f>
        <v>0</v>
      </c>
      <c r="T729" s="7">
        <f t="shared" si="104"/>
        <v>78890.289999999994</v>
      </c>
      <c r="U729" s="7">
        <f t="shared" si="105"/>
        <v>153328.28999999998</v>
      </c>
      <c r="V729" s="7">
        <f>MIN(H729,I729)*INDEX('2018_commission_structure'!$A$5:$J$8,MATCH(Calculations!$E729,'2018_commission_structure'!$A$5:$A$8,0),MATCH(Calculations!V$1,'2018_commission_structure'!$A$5:$J$5,0))</f>
        <v>90000</v>
      </c>
      <c r="W729" s="2">
        <f>IF($H729&gt;I729,MIN($H729-I729,J729-I729)*INDEX('2018_commission_structure'!$A$5:$J$8,MATCH(Calculations!$E729,'2018_commission_structure'!$A$5:$A$8,0),MATCH(Calculations!W$1,'2018_commission_structure'!$A$5:$J$5,0)),0)</f>
        <v>942.66</v>
      </c>
      <c r="X729" s="2">
        <f>IF($H729&gt;J729,MIN($H729-J729,K729-J729)*INDEX('2018_commission_structure'!$A$5:$J$8,MATCH(Calculations!$E729,'2018_commission_structure'!$A$5:$A$8,0),MATCH(Calculations!X$1,'2018_commission_structure'!$A$5:$J$5,0)),0)</f>
        <v>0</v>
      </c>
      <c r="Y729" s="2">
        <f>IF($H729&gt;K729,MIN($H729-K729,L729-K729)*INDEX('2018_commission_structure'!$A$5:$J$8,MATCH(Calculations!$E729,'2018_commission_structure'!$A$5:$A$8,0),MATCH(Calculations!Y$1,'2018_commission_structure'!$A$5:$J$5,0)),0)</f>
        <v>0</v>
      </c>
      <c r="Z729" s="2">
        <f xml:space="preserve"> IF(H729&gt;L729,(H729-L729)*INDEX('2018_commission_structure'!$A$11:$I$14,MATCH(Calculations!$E729,'2018_commission_structure'!$A$11:$A$14,0),MATCH(Calculations!Z$1,'2018_commission_structure'!$A$11:$I$11,0)),0)</f>
        <v>0</v>
      </c>
      <c r="AA729" s="7">
        <f t="shared" si="106"/>
        <v>90942.66</v>
      </c>
      <c r="AB729" s="7">
        <f t="shared" si="107"/>
        <v>165380.66</v>
      </c>
    </row>
    <row r="730" spans="1:28" x14ac:dyDescent="0.25">
      <c r="A730">
        <v>3086393343</v>
      </c>
      <c r="B730" t="s">
        <v>1886</v>
      </c>
      <c r="C730" t="s">
        <v>1887</v>
      </c>
      <c r="D730" t="str">
        <f>B730&amp;" "&amp;C730</f>
        <v>Hedwiga Plail</v>
      </c>
      <c r="E730" t="s">
        <v>10</v>
      </c>
      <c r="F730">
        <v>100553</v>
      </c>
      <c r="G730">
        <f>COUNTIF(deals_closed!D:D,Calculations!A730)</f>
        <v>21</v>
      </c>
      <c r="H730" s="2">
        <f>SUMIF(deals_closed!D:D,Calculations!A730,deals_closed!C:C)</f>
        <v>615075</v>
      </c>
      <c r="I730" s="2">
        <f>VLOOKUP(E730,'2018_commission_structure'!$A$11:$I$14,9,FALSE)</f>
        <v>750000</v>
      </c>
      <c r="J730" s="2">
        <f t="shared" si="99"/>
        <v>937500</v>
      </c>
      <c r="K730" s="2">
        <f t="shared" si="100"/>
        <v>1125000</v>
      </c>
      <c r="L730" s="2">
        <f t="shared" si="101"/>
        <v>1500000</v>
      </c>
      <c r="M730" s="6">
        <f t="shared" si="102"/>
        <v>0.82010000000000005</v>
      </c>
      <c r="N730" t="str">
        <f t="shared" si="103"/>
        <v>0-100%</v>
      </c>
      <c r="O730" s="7">
        <f>MIN(I730,H730)*INDEX('2018_commission_structure'!$A$11:$I$14,MATCH(Calculations!$E730,'2018_commission_structure'!$A$11:$A$14,0),MATCH(Calculations!O$1,'2018_commission_structure'!$A$11:$I$11,0))</f>
        <v>92261.25</v>
      </c>
      <c r="P730" s="7">
        <f>IF($H730&gt;I730,MIN($H730-I730,J730-I730)*INDEX('2018_commission_structure'!$A$11:$I$14,MATCH(Calculations!$E730,'2018_commission_structure'!$A$11:$A$14,0), MATCH(Calculations!P$1,'2018_commission_structure'!$A$11:$I$11,0)),0)</f>
        <v>0</v>
      </c>
      <c r="Q730" s="7">
        <f>IF($H730&gt;J730,MIN($H730-J730,K730-J730)*INDEX('2018_commission_structure'!$A$11:$I$14,MATCH(Calculations!$E730,'2018_commission_structure'!$A$11:$A$14,0), MATCH(Calculations!Q$1,'2018_commission_structure'!$A$11:$I$11,0)),0)</f>
        <v>0</v>
      </c>
      <c r="R730" s="7">
        <f>IF($H730&gt;K730,MIN($H730-K730,L730-K730)*INDEX('2018_commission_structure'!$A$11:$I$14,MATCH(Calculations!$E730,'2018_commission_structure'!$A$11:$A$14,0), MATCH(Calculations!R$1,'2018_commission_structure'!$A$11:$I$11,0)),0)</f>
        <v>0</v>
      </c>
      <c r="S730" s="7">
        <f>IF(H730&gt;L730,(H730-L730)*INDEX('2018_commission_structure'!$A$11:$I$14,MATCH(Calculations!$E730,'2018_commission_structure'!$A$11:$A$14,0),MATCH(Calculations!S$1,'2018_commission_structure'!$A$11:$I$11,0)),0)</f>
        <v>0</v>
      </c>
      <c r="T730" s="7">
        <f t="shared" si="104"/>
        <v>92261.25</v>
      </c>
      <c r="U730" s="7">
        <f t="shared" si="105"/>
        <v>192814.25</v>
      </c>
      <c r="V730" s="7">
        <f>MIN(H730,I730)*INDEX('2018_commission_structure'!$A$5:$J$8,MATCH(Calculations!$E730,'2018_commission_structure'!$A$5:$A$8,0),MATCH(Calculations!V$1,'2018_commission_structure'!$A$5:$J$5,0))</f>
        <v>92261.25</v>
      </c>
      <c r="W730" s="2">
        <f>IF($H730&gt;I730,MIN($H730-I730,J730-I730)*INDEX('2018_commission_structure'!$A$5:$J$8,MATCH(Calculations!$E730,'2018_commission_structure'!$A$5:$A$8,0),MATCH(Calculations!W$1,'2018_commission_structure'!$A$5:$J$5,0)),0)</f>
        <v>0</v>
      </c>
      <c r="X730" s="2">
        <f>IF($H730&gt;J730,MIN($H730-J730,K730-J730)*INDEX('2018_commission_structure'!$A$5:$J$8,MATCH(Calculations!$E730,'2018_commission_structure'!$A$5:$A$8,0),MATCH(Calculations!X$1,'2018_commission_structure'!$A$5:$J$5,0)),0)</f>
        <v>0</v>
      </c>
      <c r="Y730" s="2">
        <f>IF($H730&gt;K730,MIN($H730-K730,L730-K730)*INDEX('2018_commission_structure'!$A$5:$J$8,MATCH(Calculations!$E730,'2018_commission_structure'!$A$5:$A$8,0),MATCH(Calculations!Y$1,'2018_commission_structure'!$A$5:$J$5,0)),0)</f>
        <v>0</v>
      </c>
      <c r="Z730" s="2">
        <f xml:space="preserve"> IF(H730&gt;L730,(H730-L730)*INDEX('2018_commission_structure'!$A$11:$I$14,MATCH(Calculations!$E730,'2018_commission_structure'!$A$11:$A$14,0),MATCH(Calculations!Z$1,'2018_commission_structure'!$A$11:$I$11,0)),0)</f>
        <v>0</v>
      </c>
      <c r="AA730" s="7">
        <f t="shared" si="106"/>
        <v>92261.25</v>
      </c>
      <c r="AB730" s="7">
        <f t="shared" si="107"/>
        <v>192814.25</v>
      </c>
    </row>
    <row r="731" spans="1:28" x14ac:dyDescent="0.25">
      <c r="A731">
        <v>6380488901</v>
      </c>
      <c r="B731" t="s">
        <v>743</v>
      </c>
      <c r="C731" t="s">
        <v>744</v>
      </c>
      <c r="D731" t="str">
        <f>B731&amp;" "&amp;C731</f>
        <v>Nikolaus Plampeyn</v>
      </c>
      <c r="E731" t="s">
        <v>7</v>
      </c>
      <c r="F731">
        <v>33308</v>
      </c>
      <c r="G731">
        <f>COUNTIF(deals_closed!D:D,Calculations!A731)</f>
        <v>23</v>
      </c>
      <c r="H731" s="2">
        <f>SUMIF(deals_closed!D:D,Calculations!A731,deals_closed!C:C)</f>
        <v>806664</v>
      </c>
      <c r="I731" s="2">
        <f>VLOOKUP(E731,'2018_commission_structure'!$A$11:$I$14,9,FALSE)</f>
        <v>500000</v>
      </c>
      <c r="J731" s="2">
        <f t="shared" si="99"/>
        <v>625000</v>
      </c>
      <c r="K731" s="2">
        <f t="shared" si="100"/>
        <v>750000</v>
      </c>
      <c r="L731" s="2">
        <f t="shared" si="101"/>
        <v>1000000</v>
      </c>
      <c r="M731" s="6">
        <f t="shared" si="102"/>
        <v>1.6133280000000001</v>
      </c>
      <c r="N731" t="str">
        <f t="shared" si="103"/>
        <v>150-200%</v>
      </c>
      <c r="O731" s="7">
        <f>MIN(I731,H731)*INDEX('2018_commission_structure'!$A$11:$I$14,MATCH(Calculations!$E731,'2018_commission_structure'!$A$11:$A$14,0),MATCH(Calculations!O$1,'2018_commission_structure'!$A$11:$I$11,0))</f>
        <v>50000</v>
      </c>
      <c r="P731" s="7">
        <f>IF($H731&gt;I731,MIN($H731-I731,J731-I731)*INDEX('2018_commission_structure'!$A$11:$I$14,MATCH(Calculations!$E731,'2018_commission_structure'!$A$11:$A$14,0), MATCH(Calculations!P$1,'2018_commission_structure'!$A$11:$I$11,0)),0)</f>
        <v>18750</v>
      </c>
      <c r="Q731" s="7">
        <f>IF($H731&gt;J731,MIN($H731-J731,K731-J731)*INDEX('2018_commission_structure'!$A$11:$I$14,MATCH(Calculations!$E731,'2018_commission_structure'!$A$11:$A$14,0), MATCH(Calculations!Q$1,'2018_commission_structure'!$A$11:$I$11,0)),0)</f>
        <v>22500</v>
      </c>
      <c r="R731" s="7">
        <f>IF($H731&gt;K731,MIN($H731-K731,L731-K731)*INDEX('2018_commission_structure'!$A$11:$I$14,MATCH(Calculations!$E731,'2018_commission_structure'!$A$11:$A$14,0), MATCH(Calculations!R$1,'2018_commission_structure'!$A$11:$I$11,0)),0)</f>
        <v>12466.08</v>
      </c>
      <c r="S731" s="7">
        <f>IF(H731&gt;L731,(H731-L731)*INDEX('2018_commission_structure'!$A$11:$I$14,MATCH(Calculations!$E731,'2018_commission_structure'!$A$11:$A$14,0),MATCH(Calculations!S$1,'2018_commission_structure'!$A$11:$I$11,0)),0)</f>
        <v>0</v>
      </c>
      <c r="T731" s="7">
        <f t="shared" si="104"/>
        <v>103716.08</v>
      </c>
      <c r="U731" s="7">
        <f t="shared" si="105"/>
        <v>137024.08000000002</v>
      </c>
      <c r="V731" s="7">
        <f>MIN(H731,I731)*INDEX('2018_commission_structure'!$A$5:$J$8,MATCH(Calculations!$E731,'2018_commission_structure'!$A$5:$A$8,0),MATCH(Calculations!V$1,'2018_commission_structure'!$A$5:$J$5,0))</f>
        <v>60000</v>
      </c>
      <c r="W731" s="2">
        <f>IF($H731&gt;I731,MIN($H731-I731,J731-I731)*INDEX('2018_commission_structure'!$A$5:$J$8,MATCH(Calculations!$E731,'2018_commission_structure'!$A$5:$A$8,0),MATCH(Calculations!W$1,'2018_commission_structure'!$A$5:$J$5,0)),0)</f>
        <v>21250</v>
      </c>
      <c r="X731" s="2">
        <f>IF($H731&gt;J731,MIN($H731-J731,K731-J731)*INDEX('2018_commission_structure'!$A$5:$J$8,MATCH(Calculations!$E731,'2018_commission_structure'!$A$5:$A$8,0),MATCH(Calculations!X$1,'2018_commission_structure'!$A$5:$J$5,0)),0)</f>
        <v>25000</v>
      </c>
      <c r="Y731" s="2">
        <f>IF($H731&gt;K731,MIN($H731-K731,L731-K731)*INDEX('2018_commission_structure'!$A$5:$J$8,MATCH(Calculations!$E731,'2018_commission_structure'!$A$5:$A$8,0),MATCH(Calculations!Y$1,'2018_commission_structure'!$A$5:$J$5,0)),0)</f>
        <v>12466.08</v>
      </c>
      <c r="Z731" s="2">
        <f xml:space="preserve"> IF(H731&gt;L731,(H731-L731)*INDEX('2018_commission_structure'!$A$11:$I$14,MATCH(Calculations!$E731,'2018_commission_structure'!$A$11:$A$14,0),MATCH(Calculations!Z$1,'2018_commission_structure'!$A$11:$I$11,0)),0)</f>
        <v>0</v>
      </c>
      <c r="AA731" s="7">
        <f t="shared" si="106"/>
        <v>118716.08</v>
      </c>
      <c r="AB731" s="7">
        <f t="shared" si="107"/>
        <v>152024.08000000002</v>
      </c>
    </row>
    <row r="732" spans="1:28" x14ac:dyDescent="0.25">
      <c r="A732">
        <v>9545462825</v>
      </c>
      <c r="B732" t="s">
        <v>1395</v>
      </c>
      <c r="C732" t="s">
        <v>1396</v>
      </c>
      <c r="D732" t="str">
        <f>B732&amp;" "&amp;C732</f>
        <v>Arther Plant</v>
      </c>
      <c r="E732" t="s">
        <v>29</v>
      </c>
      <c r="F732">
        <v>66318</v>
      </c>
      <c r="G732">
        <f>COUNTIF(deals_closed!D:D,Calculations!A732)</f>
        <v>16</v>
      </c>
      <c r="H732" s="2">
        <f>SUMIF(deals_closed!D:D,Calculations!A732,deals_closed!C:C)</f>
        <v>600509</v>
      </c>
      <c r="I732" s="2">
        <f>VLOOKUP(E732,'2018_commission_structure'!$A$11:$I$14,9,FALSE)</f>
        <v>600000</v>
      </c>
      <c r="J732" s="2">
        <f t="shared" si="99"/>
        <v>750000</v>
      </c>
      <c r="K732" s="2">
        <f t="shared" si="100"/>
        <v>900000</v>
      </c>
      <c r="L732" s="2">
        <f t="shared" si="101"/>
        <v>1200000</v>
      </c>
      <c r="M732" s="6">
        <f t="shared" si="102"/>
        <v>1.0008483333333333</v>
      </c>
      <c r="N732" t="str">
        <f t="shared" si="103"/>
        <v>100-125%</v>
      </c>
      <c r="O732" s="7">
        <f>MIN(I732,H732)*INDEX('2018_commission_structure'!$A$11:$I$14,MATCH(Calculations!$E732,'2018_commission_structure'!$A$11:$A$14,0),MATCH(Calculations!O$1,'2018_commission_structure'!$A$11:$I$11,0))</f>
        <v>78000</v>
      </c>
      <c r="P732" s="7">
        <f>IF($H732&gt;I732,MIN($H732-I732,J732-I732)*INDEX('2018_commission_structure'!$A$11:$I$14,MATCH(Calculations!$E732,'2018_commission_structure'!$A$11:$A$14,0), MATCH(Calculations!P$1,'2018_commission_structure'!$A$11:$I$11,0)),0)</f>
        <v>86.53</v>
      </c>
      <c r="Q732" s="7">
        <f>IF($H732&gt;J732,MIN($H732-J732,K732-J732)*INDEX('2018_commission_structure'!$A$11:$I$14,MATCH(Calculations!$E732,'2018_commission_structure'!$A$11:$A$14,0), MATCH(Calculations!Q$1,'2018_commission_structure'!$A$11:$I$11,0)),0)</f>
        <v>0</v>
      </c>
      <c r="R732" s="7">
        <f>IF($H732&gt;K732,MIN($H732-K732,L732-K732)*INDEX('2018_commission_structure'!$A$11:$I$14,MATCH(Calculations!$E732,'2018_commission_structure'!$A$11:$A$14,0), MATCH(Calculations!R$1,'2018_commission_structure'!$A$11:$I$11,0)),0)</f>
        <v>0</v>
      </c>
      <c r="S732" s="7">
        <f>IF(H732&gt;L732,(H732-L732)*INDEX('2018_commission_structure'!$A$11:$I$14,MATCH(Calculations!$E732,'2018_commission_structure'!$A$11:$A$14,0),MATCH(Calculations!S$1,'2018_commission_structure'!$A$11:$I$11,0)),0)</f>
        <v>0</v>
      </c>
      <c r="T732" s="7">
        <f t="shared" si="104"/>
        <v>78086.53</v>
      </c>
      <c r="U732" s="7">
        <f t="shared" si="105"/>
        <v>144404.53</v>
      </c>
      <c r="V732" s="7">
        <f>MIN(H732,I732)*INDEX('2018_commission_structure'!$A$5:$J$8,MATCH(Calculations!$E732,'2018_commission_structure'!$A$5:$A$8,0),MATCH(Calculations!V$1,'2018_commission_structure'!$A$5:$J$5,0))</f>
        <v>90000</v>
      </c>
      <c r="W732" s="2">
        <f>IF($H732&gt;I732,MIN($H732-I732,J732-I732)*INDEX('2018_commission_structure'!$A$5:$J$8,MATCH(Calculations!$E732,'2018_commission_structure'!$A$5:$A$8,0),MATCH(Calculations!W$1,'2018_commission_structure'!$A$5:$J$5,0)),0)</f>
        <v>91.61999999999999</v>
      </c>
      <c r="X732" s="2">
        <f>IF($H732&gt;J732,MIN($H732-J732,K732-J732)*INDEX('2018_commission_structure'!$A$5:$J$8,MATCH(Calculations!$E732,'2018_commission_structure'!$A$5:$A$8,0),MATCH(Calculations!X$1,'2018_commission_structure'!$A$5:$J$5,0)),0)</f>
        <v>0</v>
      </c>
      <c r="Y732" s="2">
        <f>IF($H732&gt;K732,MIN($H732-K732,L732-K732)*INDEX('2018_commission_structure'!$A$5:$J$8,MATCH(Calculations!$E732,'2018_commission_structure'!$A$5:$A$8,0),MATCH(Calculations!Y$1,'2018_commission_structure'!$A$5:$J$5,0)),0)</f>
        <v>0</v>
      </c>
      <c r="Z732" s="2">
        <f xml:space="preserve"> IF(H732&gt;L732,(H732-L732)*INDEX('2018_commission_structure'!$A$11:$I$14,MATCH(Calculations!$E732,'2018_commission_structure'!$A$11:$A$14,0),MATCH(Calculations!Z$1,'2018_commission_structure'!$A$11:$I$11,0)),0)</f>
        <v>0</v>
      </c>
      <c r="AA732" s="7">
        <f t="shared" si="106"/>
        <v>90091.62</v>
      </c>
      <c r="AB732" s="7">
        <f t="shared" si="107"/>
        <v>156409.62</v>
      </c>
    </row>
    <row r="733" spans="1:28" x14ac:dyDescent="0.25">
      <c r="A733">
        <v>9984023702</v>
      </c>
      <c r="B733" t="s">
        <v>377</v>
      </c>
      <c r="C733" t="s">
        <v>378</v>
      </c>
      <c r="D733" t="str">
        <f>B733&amp;" "&amp;C733</f>
        <v>Durant Poag</v>
      </c>
      <c r="E733" t="s">
        <v>7</v>
      </c>
      <c r="F733">
        <v>41342</v>
      </c>
      <c r="G733">
        <f>COUNTIF(deals_closed!D:D,Calculations!A733)</f>
        <v>20</v>
      </c>
      <c r="H733" s="2">
        <f>SUMIF(deals_closed!D:D,Calculations!A733,deals_closed!C:C)</f>
        <v>625865</v>
      </c>
      <c r="I733" s="2">
        <f>VLOOKUP(E733,'2018_commission_structure'!$A$11:$I$14,9,FALSE)</f>
        <v>500000</v>
      </c>
      <c r="J733" s="2">
        <f t="shared" si="99"/>
        <v>625000</v>
      </c>
      <c r="K733" s="2">
        <f t="shared" si="100"/>
        <v>750000</v>
      </c>
      <c r="L733" s="2">
        <f t="shared" si="101"/>
        <v>1000000</v>
      </c>
      <c r="M733" s="6">
        <f t="shared" si="102"/>
        <v>1.25173</v>
      </c>
      <c r="N733" t="str">
        <f t="shared" si="103"/>
        <v>125-150%</v>
      </c>
      <c r="O733" s="7">
        <f>MIN(I733,H733)*INDEX('2018_commission_structure'!$A$11:$I$14,MATCH(Calculations!$E733,'2018_commission_structure'!$A$11:$A$14,0),MATCH(Calculations!O$1,'2018_commission_structure'!$A$11:$I$11,0))</f>
        <v>50000</v>
      </c>
      <c r="P733" s="7">
        <f>IF($H733&gt;I733,MIN($H733-I733,J733-I733)*INDEX('2018_commission_structure'!$A$11:$I$14,MATCH(Calculations!$E733,'2018_commission_structure'!$A$11:$A$14,0), MATCH(Calculations!P$1,'2018_commission_structure'!$A$11:$I$11,0)),0)</f>
        <v>18750</v>
      </c>
      <c r="Q733" s="7">
        <f>IF($H733&gt;J733,MIN($H733-J733,K733-J733)*INDEX('2018_commission_structure'!$A$11:$I$14,MATCH(Calculations!$E733,'2018_commission_structure'!$A$11:$A$14,0), MATCH(Calculations!Q$1,'2018_commission_structure'!$A$11:$I$11,0)),0)</f>
        <v>155.69999999999999</v>
      </c>
      <c r="R733" s="7">
        <f>IF($H733&gt;K733,MIN($H733-K733,L733-K733)*INDEX('2018_commission_structure'!$A$11:$I$14,MATCH(Calculations!$E733,'2018_commission_structure'!$A$11:$A$14,0), MATCH(Calculations!R$1,'2018_commission_structure'!$A$11:$I$11,0)),0)</f>
        <v>0</v>
      </c>
      <c r="S733" s="7">
        <f>IF(H733&gt;L733,(H733-L733)*INDEX('2018_commission_structure'!$A$11:$I$14,MATCH(Calculations!$E733,'2018_commission_structure'!$A$11:$A$14,0),MATCH(Calculations!S$1,'2018_commission_structure'!$A$11:$I$11,0)),0)</f>
        <v>0</v>
      </c>
      <c r="T733" s="7">
        <f t="shared" si="104"/>
        <v>68905.7</v>
      </c>
      <c r="U733" s="7">
        <f t="shared" si="105"/>
        <v>110247.7</v>
      </c>
      <c r="V733" s="7">
        <f>MIN(H733,I733)*INDEX('2018_commission_structure'!$A$5:$J$8,MATCH(Calculations!$E733,'2018_commission_structure'!$A$5:$A$8,0),MATCH(Calculations!V$1,'2018_commission_structure'!$A$5:$J$5,0))</f>
        <v>60000</v>
      </c>
      <c r="W733" s="2">
        <f>IF($H733&gt;I733,MIN($H733-I733,J733-I733)*INDEX('2018_commission_structure'!$A$5:$J$8,MATCH(Calculations!$E733,'2018_commission_structure'!$A$5:$A$8,0),MATCH(Calculations!W$1,'2018_commission_structure'!$A$5:$J$5,0)),0)</f>
        <v>21250</v>
      </c>
      <c r="X733" s="2">
        <f>IF($H733&gt;J733,MIN($H733-J733,K733-J733)*INDEX('2018_commission_structure'!$A$5:$J$8,MATCH(Calculations!$E733,'2018_commission_structure'!$A$5:$A$8,0),MATCH(Calculations!X$1,'2018_commission_structure'!$A$5:$J$5,0)),0)</f>
        <v>173</v>
      </c>
      <c r="Y733" s="2">
        <f>IF($H733&gt;K733,MIN($H733-K733,L733-K733)*INDEX('2018_commission_structure'!$A$5:$J$8,MATCH(Calculations!$E733,'2018_commission_structure'!$A$5:$A$8,0),MATCH(Calculations!Y$1,'2018_commission_structure'!$A$5:$J$5,0)),0)</f>
        <v>0</v>
      </c>
      <c r="Z733" s="2">
        <f xml:space="preserve"> IF(H733&gt;L733,(H733-L733)*INDEX('2018_commission_structure'!$A$11:$I$14,MATCH(Calculations!$E733,'2018_commission_structure'!$A$11:$A$14,0),MATCH(Calculations!Z$1,'2018_commission_structure'!$A$11:$I$11,0)),0)</f>
        <v>0</v>
      </c>
      <c r="AA733" s="7">
        <f t="shared" si="106"/>
        <v>81423</v>
      </c>
      <c r="AB733" s="7">
        <f t="shared" si="107"/>
        <v>122765</v>
      </c>
    </row>
    <row r="734" spans="1:28" x14ac:dyDescent="0.25">
      <c r="A734">
        <v>3932861779</v>
      </c>
      <c r="B734" t="s">
        <v>1173</v>
      </c>
      <c r="C734" t="s">
        <v>1174</v>
      </c>
      <c r="D734" t="str">
        <f>B734&amp;" "&amp;C734</f>
        <v>Marvin Pochin</v>
      </c>
      <c r="E734" t="s">
        <v>29</v>
      </c>
      <c r="F734">
        <v>66367</v>
      </c>
      <c r="G734">
        <f>COUNTIF(deals_closed!D:D,Calculations!A734)</f>
        <v>31</v>
      </c>
      <c r="H734" s="2">
        <f>SUMIF(deals_closed!D:D,Calculations!A734,deals_closed!C:C)</f>
        <v>1005303</v>
      </c>
      <c r="I734" s="2">
        <f>VLOOKUP(E734,'2018_commission_structure'!$A$11:$I$14,9,FALSE)</f>
        <v>600000</v>
      </c>
      <c r="J734" s="2">
        <f t="shared" si="99"/>
        <v>750000</v>
      </c>
      <c r="K734" s="2">
        <f t="shared" si="100"/>
        <v>900000</v>
      </c>
      <c r="L734" s="2">
        <f t="shared" si="101"/>
        <v>1200000</v>
      </c>
      <c r="M734" s="6">
        <f t="shared" si="102"/>
        <v>1.675505</v>
      </c>
      <c r="N734" t="str">
        <f t="shared" si="103"/>
        <v>150-200%</v>
      </c>
      <c r="O734" s="7">
        <f>MIN(I734,H734)*INDEX('2018_commission_structure'!$A$11:$I$14,MATCH(Calculations!$E734,'2018_commission_structure'!$A$11:$A$14,0),MATCH(Calculations!O$1,'2018_commission_structure'!$A$11:$I$11,0))</f>
        <v>78000</v>
      </c>
      <c r="P734" s="7">
        <f>IF($H734&gt;I734,MIN($H734-I734,J734-I734)*INDEX('2018_commission_structure'!$A$11:$I$14,MATCH(Calculations!$E734,'2018_commission_structure'!$A$11:$A$14,0), MATCH(Calculations!P$1,'2018_commission_structure'!$A$11:$I$11,0)),0)</f>
        <v>25500.000000000004</v>
      </c>
      <c r="Q734" s="7">
        <f>IF($H734&gt;J734,MIN($H734-J734,K734-J734)*INDEX('2018_commission_structure'!$A$11:$I$14,MATCH(Calculations!$E734,'2018_commission_structure'!$A$11:$A$14,0), MATCH(Calculations!Q$1,'2018_commission_structure'!$A$11:$I$11,0)),0)</f>
        <v>31500</v>
      </c>
      <c r="R734" s="7">
        <f>IF($H734&gt;K734,MIN($H734-K734,L734-K734)*INDEX('2018_commission_structure'!$A$11:$I$14,MATCH(Calculations!$E734,'2018_commission_structure'!$A$11:$A$14,0), MATCH(Calculations!R$1,'2018_commission_structure'!$A$11:$I$11,0)),0)</f>
        <v>27378.780000000002</v>
      </c>
      <c r="S734" s="7">
        <f>IF(H734&gt;L734,(H734-L734)*INDEX('2018_commission_structure'!$A$11:$I$14,MATCH(Calculations!$E734,'2018_commission_structure'!$A$11:$A$14,0),MATCH(Calculations!S$1,'2018_commission_structure'!$A$11:$I$11,0)),0)</f>
        <v>0</v>
      </c>
      <c r="T734" s="7">
        <f t="shared" si="104"/>
        <v>162378.78</v>
      </c>
      <c r="U734" s="7">
        <f t="shared" si="105"/>
        <v>228745.78</v>
      </c>
      <c r="V734" s="7">
        <f>MIN(H734,I734)*INDEX('2018_commission_structure'!$A$5:$J$8,MATCH(Calculations!$E734,'2018_commission_structure'!$A$5:$A$8,0),MATCH(Calculations!V$1,'2018_commission_structure'!$A$5:$J$5,0))</f>
        <v>90000</v>
      </c>
      <c r="W734" s="2">
        <f>IF($H734&gt;I734,MIN($H734-I734,J734-I734)*INDEX('2018_commission_structure'!$A$5:$J$8,MATCH(Calculations!$E734,'2018_commission_structure'!$A$5:$A$8,0),MATCH(Calculations!W$1,'2018_commission_structure'!$A$5:$J$5,0)),0)</f>
        <v>27000</v>
      </c>
      <c r="X734" s="2">
        <f>IF($H734&gt;J734,MIN($H734-J734,K734-J734)*INDEX('2018_commission_structure'!$A$5:$J$8,MATCH(Calculations!$E734,'2018_commission_structure'!$A$5:$A$8,0),MATCH(Calculations!X$1,'2018_commission_structure'!$A$5:$J$5,0)),0)</f>
        <v>37500</v>
      </c>
      <c r="Y734" s="2">
        <f>IF($H734&gt;K734,MIN($H734-K734,L734-K734)*INDEX('2018_commission_structure'!$A$5:$J$8,MATCH(Calculations!$E734,'2018_commission_structure'!$A$5:$A$8,0),MATCH(Calculations!Y$1,'2018_commission_structure'!$A$5:$J$5,0)),0)</f>
        <v>31590.899999999998</v>
      </c>
      <c r="Z734" s="2">
        <f xml:space="preserve"> IF(H734&gt;L734,(H734-L734)*INDEX('2018_commission_structure'!$A$11:$I$14,MATCH(Calculations!$E734,'2018_commission_structure'!$A$11:$A$14,0),MATCH(Calculations!Z$1,'2018_commission_structure'!$A$11:$I$11,0)),0)</f>
        <v>0</v>
      </c>
      <c r="AA734" s="7">
        <f t="shared" si="106"/>
        <v>186090.9</v>
      </c>
      <c r="AB734" s="7">
        <f t="shared" si="107"/>
        <v>252457.9</v>
      </c>
    </row>
    <row r="735" spans="1:28" x14ac:dyDescent="0.25">
      <c r="A735">
        <v>583595162</v>
      </c>
      <c r="B735" t="s">
        <v>375</v>
      </c>
      <c r="C735" t="s">
        <v>376</v>
      </c>
      <c r="D735" t="str">
        <f>B735&amp;" "&amp;C735</f>
        <v>Jana Polding</v>
      </c>
      <c r="E735" t="s">
        <v>7</v>
      </c>
      <c r="F735">
        <v>47531</v>
      </c>
      <c r="G735">
        <f>COUNTIF(deals_closed!D:D,Calculations!A735)</f>
        <v>19</v>
      </c>
      <c r="H735" s="2">
        <f>SUMIF(deals_closed!D:D,Calculations!A735,deals_closed!C:C)</f>
        <v>543496</v>
      </c>
      <c r="I735" s="2">
        <f>VLOOKUP(E735,'2018_commission_structure'!$A$11:$I$14,9,FALSE)</f>
        <v>500000</v>
      </c>
      <c r="J735" s="2">
        <f t="shared" si="99"/>
        <v>625000</v>
      </c>
      <c r="K735" s="2">
        <f t="shared" si="100"/>
        <v>750000</v>
      </c>
      <c r="L735" s="2">
        <f t="shared" si="101"/>
        <v>1000000</v>
      </c>
      <c r="M735" s="6">
        <f t="shared" si="102"/>
        <v>1.086992</v>
      </c>
      <c r="N735" t="str">
        <f t="shared" si="103"/>
        <v>100-125%</v>
      </c>
      <c r="O735" s="7">
        <f>MIN(I735,H735)*INDEX('2018_commission_structure'!$A$11:$I$14,MATCH(Calculations!$E735,'2018_commission_structure'!$A$11:$A$14,0),MATCH(Calculations!O$1,'2018_commission_structure'!$A$11:$I$11,0))</f>
        <v>50000</v>
      </c>
      <c r="P735" s="7">
        <f>IF($H735&gt;I735,MIN($H735-I735,J735-I735)*INDEX('2018_commission_structure'!$A$11:$I$14,MATCH(Calculations!$E735,'2018_commission_structure'!$A$11:$A$14,0), MATCH(Calculations!P$1,'2018_commission_structure'!$A$11:$I$11,0)),0)</f>
        <v>6524.4</v>
      </c>
      <c r="Q735" s="7">
        <f>IF($H735&gt;J735,MIN($H735-J735,K735-J735)*INDEX('2018_commission_structure'!$A$11:$I$14,MATCH(Calculations!$E735,'2018_commission_structure'!$A$11:$A$14,0), MATCH(Calculations!Q$1,'2018_commission_structure'!$A$11:$I$11,0)),0)</f>
        <v>0</v>
      </c>
      <c r="R735" s="7">
        <f>IF($H735&gt;K735,MIN($H735-K735,L735-K735)*INDEX('2018_commission_structure'!$A$11:$I$14,MATCH(Calculations!$E735,'2018_commission_structure'!$A$11:$A$14,0), MATCH(Calculations!R$1,'2018_commission_structure'!$A$11:$I$11,0)),0)</f>
        <v>0</v>
      </c>
      <c r="S735" s="7">
        <f>IF(H735&gt;L735,(H735-L735)*INDEX('2018_commission_structure'!$A$11:$I$14,MATCH(Calculations!$E735,'2018_commission_structure'!$A$11:$A$14,0),MATCH(Calculations!S$1,'2018_commission_structure'!$A$11:$I$11,0)),0)</f>
        <v>0</v>
      </c>
      <c r="T735" s="7">
        <f t="shared" si="104"/>
        <v>56524.4</v>
      </c>
      <c r="U735" s="7">
        <f t="shared" si="105"/>
        <v>104055.4</v>
      </c>
      <c r="V735" s="7">
        <f>MIN(H735,I735)*INDEX('2018_commission_structure'!$A$5:$J$8,MATCH(Calculations!$E735,'2018_commission_structure'!$A$5:$A$8,0),MATCH(Calculations!V$1,'2018_commission_structure'!$A$5:$J$5,0))</f>
        <v>60000</v>
      </c>
      <c r="W735" s="2">
        <f>IF($H735&gt;I735,MIN($H735-I735,J735-I735)*INDEX('2018_commission_structure'!$A$5:$J$8,MATCH(Calculations!$E735,'2018_commission_structure'!$A$5:$A$8,0),MATCH(Calculations!W$1,'2018_commission_structure'!$A$5:$J$5,0)),0)</f>
        <v>7394.3200000000006</v>
      </c>
      <c r="X735" s="2">
        <f>IF($H735&gt;J735,MIN($H735-J735,K735-J735)*INDEX('2018_commission_structure'!$A$5:$J$8,MATCH(Calculations!$E735,'2018_commission_structure'!$A$5:$A$8,0),MATCH(Calculations!X$1,'2018_commission_structure'!$A$5:$J$5,0)),0)</f>
        <v>0</v>
      </c>
      <c r="Y735" s="2">
        <f>IF($H735&gt;K735,MIN($H735-K735,L735-K735)*INDEX('2018_commission_structure'!$A$5:$J$8,MATCH(Calculations!$E735,'2018_commission_structure'!$A$5:$A$8,0),MATCH(Calculations!Y$1,'2018_commission_structure'!$A$5:$J$5,0)),0)</f>
        <v>0</v>
      </c>
      <c r="Z735" s="2">
        <f xml:space="preserve"> IF(H735&gt;L735,(H735-L735)*INDEX('2018_commission_structure'!$A$11:$I$14,MATCH(Calculations!$E735,'2018_commission_structure'!$A$11:$A$14,0),MATCH(Calculations!Z$1,'2018_commission_structure'!$A$11:$I$11,0)),0)</f>
        <v>0</v>
      </c>
      <c r="AA735" s="7">
        <f t="shared" si="106"/>
        <v>67394.320000000007</v>
      </c>
      <c r="AB735" s="7">
        <f t="shared" si="107"/>
        <v>114925.32</v>
      </c>
    </row>
    <row r="736" spans="1:28" x14ac:dyDescent="0.25">
      <c r="A736">
        <v>4972162740</v>
      </c>
      <c r="B736" t="s">
        <v>1490</v>
      </c>
      <c r="C736" t="s">
        <v>1491</v>
      </c>
      <c r="D736" t="str">
        <f>B736&amp;" "&amp;C736</f>
        <v>Merrel Pomphrey</v>
      </c>
      <c r="E736" t="s">
        <v>29</v>
      </c>
      <c r="F736">
        <v>64683</v>
      </c>
      <c r="G736">
        <f>COUNTIF(deals_closed!D:D,Calculations!A736)</f>
        <v>23</v>
      </c>
      <c r="H736" s="2">
        <f>SUMIF(deals_closed!D:D,Calculations!A736,deals_closed!C:C)</f>
        <v>822894</v>
      </c>
      <c r="I736" s="2">
        <f>VLOOKUP(E736,'2018_commission_structure'!$A$11:$I$14,9,FALSE)</f>
        <v>600000</v>
      </c>
      <c r="J736" s="2">
        <f t="shared" si="99"/>
        <v>750000</v>
      </c>
      <c r="K736" s="2">
        <f t="shared" si="100"/>
        <v>900000</v>
      </c>
      <c r="L736" s="2">
        <f t="shared" si="101"/>
        <v>1200000</v>
      </c>
      <c r="M736" s="6">
        <f t="shared" si="102"/>
        <v>1.3714900000000001</v>
      </c>
      <c r="N736" t="str">
        <f t="shared" si="103"/>
        <v>125-150%</v>
      </c>
      <c r="O736" s="7">
        <f>MIN(I736,H736)*INDEX('2018_commission_structure'!$A$11:$I$14,MATCH(Calculations!$E736,'2018_commission_structure'!$A$11:$A$14,0),MATCH(Calculations!O$1,'2018_commission_structure'!$A$11:$I$11,0))</f>
        <v>78000</v>
      </c>
      <c r="P736" s="7">
        <f>IF($H736&gt;I736,MIN($H736-I736,J736-I736)*INDEX('2018_commission_structure'!$A$11:$I$14,MATCH(Calculations!$E736,'2018_commission_structure'!$A$11:$A$14,0), MATCH(Calculations!P$1,'2018_commission_structure'!$A$11:$I$11,0)),0)</f>
        <v>25500.000000000004</v>
      </c>
      <c r="Q736" s="7">
        <f>IF($H736&gt;J736,MIN($H736-J736,K736-J736)*INDEX('2018_commission_structure'!$A$11:$I$14,MATCH(Calculations!$E736,'2018_commission_structure'!$A$11:$A$14,0), MATCH(Calculations!Q$1,'2018_commission_structure'!$A$11:$I$11,0)),0)</f>
        <v>15307.74</v>
      </c>
      <c r="R736" s="7">
        <f>IF($H736&gt;K736,MIN($H736-K736,L736-K736)*INDEX('2018_commission_structure'!$A$11:$I$14,MATCH(Calculations!$E736,'2018_commission_structure'!$A$11:$A$14,0), MATCH(Calculations!R$1,'2018_commission_structure'!$A$11:$I$11,0)),0)</f>
        <v>0</v>
      </c>
      <c r="S736" s="7">
        <f>IF(H736&gt;L736,(H736-L736)*INDEX('2018_commission_structure'!$A$11:$I$14,MATCH(Calculations!$E736,'2018_commission_structure'!$A$11:$A$14,0),MATCH(Calculations!S$1,'2018_commission_structure'!$A$11:$I$11,0)),0)</f>
        <v>0</v>
      </c>
      <c r="T736" s="7">
        <f t="shared" si="104"/>
        <v>118807.74</v>
      </c>
      <c r="U736" s="7">
        <f t="shared" si="105"/>
        <v>183490.74</v>
      </c>
      <c r="V736" s="7">
        <f>MIN(H736,I736)*INDEX('2018_commission_structure'!$A$5:$J$8,MATCH(Calculations!$E736,'2018_commission_structure'!$A$5:$A$8,0),MATCH(Calculations!V$1,'2018_commission_structure'!$A$5:$J$5,0))</f>
        <v>90000</v>
      </c>
      <c r="W736" s="2">
        <f>IF($H736&gt;I736,MIN($H736-I736,J736-I736)*INDEX('2018_commission_structure'!$A$5:$J$8,MATCH(Calculations!$E736,'2018_commission_structure'!$A$5:$A$8,0),MATCH(Calculations!W$1,'2018_commission_structure'!$A$5:$J$5,0)),0)</f>
        <v>27000</v>
      </c>
      <c r="X736" s="2">
        <f>IF($H736&gt;J736,MIN($H736-J736,K736-J736)*INDEX('2018_commission_structure'!$A$5:$J$8,MATCH(Calculations!$E736,'2018_commission_structure'!$A$5:$A$8,0),MATCH(Calculations!X$1,'2018_commission_structure'!$A$5:$J$5,0)),0)</f>
        <v>18223.5</v>
      </c>
      <c r="Y736" s="2">
        <f>IF($H736&gt;K736,MIN($H736-K736,L736-K736)*INDEX('2018_commission_structure'!$A$5:$J$8,MATCH(Calculations!$E736,'2018_commission_structure'!$A$5:$A$8,0),MATCH(Calculations!Y$1,'2018_commission_structure'!$A$5:$J$5,0)),0)</f>
        <v>0</v>
      </c>
      <c r="Z736" s="2">
        <f xml:space="preserve"> IF(H736&gt;L736,(H736-L736)*INDEX('2018_commission_structure'!$A$11:$I$14,MATCH(Calculations!$E736,'2018_commission_structure'!$A$11:$A$14,0),MATCH(Calculations!Z$1,'2018_commission_structure'!$A$11:$I$11,0)),0)</f>
        <v>0</v>
      </c>
      <c r="AA736" s="7">
        <f t="shared" si="106"/>
        <v>135223.5</v>
      </c>
      <c r="AB736" s="7">
        <f t="shared" si="107"/>
        <v>199906.5</v>
      </c>
    </row>
    <row r="737" spans="1:28" x14ac:dyDescent="0.25">
      <c r="A737">
        <v>6284045549</v>
      </c>
      <c r="B737" t="s">
        <v>1217</v>
      </c>
      <c r="C737" t="s">
        <v>1218</v>
      </c>
      <c r="D737" t="str">
        <f>B737&amp;" "&amp;C737</f>
        <v>Antons Porkiss</v>
      </c>
      <c r="E737" t="s">
        <v>7</v>
      </c>
      <c r="F737">
        <v>61708</v>
      </c>
      <c r="G737">
        <f>COUNTIF(deals_closed!D:D,Calculations!A737)</f>
        <v>18</v>
      </c>
      <c r="H737" s="2">
        <f>SUMIF(deals_closed!D:D,Calculations!A737,deals_closed!C:C)</f>
        <v>585405</v>
      </c>
      <c r="I737" s="2">
        <f>VLOOKUP(E737,'2018_commission_structure'!$A$11:$I$14,9,FALSE)</f>
        <v>500000</v>
      </c>
      <c r="J737" s="2">
        <f t="shared" si="99"/>
        <v>625000</v>
      </c>
      <c r="K737" s="2">
        <f t="shared" si="100"/>
        <v>750000</v>
      </c>
      <c r="L737" s="2">
        <f t="shared" si="101"/>
        <v>1000000</v>
      </c>
      <c r="M737" s="6">
        <f t="shared" si="102"/>
        <v>1.1708099999999999</v>
      </c>
      <c r="N737" t="str">
        <f t="shared" si="103"/>
        <v>100-125%</v>
      </c>
      <c r="O737" s="7">
        <f>MIN(I737,H737)*INDEX('2018_commission_structure'!$A$11:$I$14,MATCH(Calculations!$E737,'2018_commission_structure'!$A$11:$A$14,0),MATCH(Calculations!O$1,'2018_commission_structure'!$A$11:$I$11,0))</f>
        <v>50000</v>
      </c>
      <c r="P737" s="7">
        <f>IF($H737&gt;I737,MIN($H737-I737,J737-I737)*INDEX('2018_commission_structure'!$A$11:$I$14,MATCH(Calculations!$E737,'2018_commission_structure'!$A$11:$A$14,0), MATCH(Calculations!P$1,'2018_commission_structure'!$A$11:$I$11,0)),0)</f>
        <v>12810.75</v>
      </c>
      <c r="Q737" s="7">
        <f>IF($H737&gt;J737,MIN($H737-J737,K737-J737)*INDEX('2018_commission_structure'!$A$11:$I$14,MATCH(Calculations!$E737,'2018_commission_structure'!$A$11:$A$14,0), MATCH(Calculations!Q$1,'2018_commission_structure'!$A$11:$I$11,0)),0)</f>
        <v>0</v>
      </c>
      <c r="R737" s="7">
        <f>IF($H737&gt;K737,MIN($H737-K737,L737-K737)*INDEX('2018_commission_structure'!$A$11:$I$14,MATCH(Calculations!$E737,'2018_commission_structure'!$A$11:$A$14,0), MATCH(Calculations!R$1,'2018_commission_structure'!$A$11:$I$11,0)),0)</f>
        <v>0</v>
      </c>
      <c r="S737" s="7">
        <f>IF(H737&gt;L737,(H737-L737)*INDEX('2018_commission_structure'!$A$11:$I$14,MATCH(Calculations!$E737,'2018_commission_structure'!$A$11:$A$14,0),MATCH(Calculations!S$1,'2018_commission_structure'!$A$11:$I$11,0)),0)</f>
        <v>0</v>
      </c>
      <c r="T737" s="7">
        <f t="shared" si="104"/>
        <v>62810.75</v>
      </c>
      <c r="U737" s="7">
        <f t="shared" si="105"/>
        <v>124518.75</v>
      </c>
      <c r="V737" s="7">
        <f>MIN(H737,I737)*INDEX('2018_commission_structure'!$A$5:$J$8,MATCH(Calculations!$E737,'2018_commission_structure'!$A$5:$A$8,0),MATCH(Calculations!V$1,'2018_commission_structure'!$A$5:$J$5,0))</f>
        <v>60000</v>
      </c>
      <c r="W737" s="2">
        <f>IF($H737&gt;I737,MIN($H737-I737,J737-I737)*INDEX('2018_commission_structure'!$A$5:$J$8,MATCH(Calculations!$E737,'2018_commission_structure'!$A$5:$A$8,0),MATCH(Calculations!W$1,'2018_commission_structure'!$A$5:$J$5,0)),0)</f>
        <v>14518.85</v>
      </c>
      <c r="X737" s="2">
        <f>IF($H737&gt;J737,MIN($H737-J737,K737-J737)*INDEX('2018_commission_structure'!$A$5:$J$8,MATCH(Calculations!$E737,'2018_commission_structure'!$A$5:$A$8,0),MATCH(Calculations!X$1,'2018_commission_structure'!$A$5:$J$5,0)),0)</f>
        <v>0</v>
      </c>
      <c r="Y737" s="2">
        <f>IF($H737&gt;K737,MIN($H737-K737,L737-K737)*INDEX('2018_commission_structure'!$A$5:$J$8,MATCH(Calculations!$E737,'2018_commission_structure'!$A$5:$A$8,0),MATCH(Calculations!Y$1,'2018_commission_structure'!$A$5:$J$5,0)),0)</f>
        <v>0</v>
      </c>
      <c r="Z737" s="2">
        <f xml:space="preserve"> IF(H737&gt;L737,(H737-L737)*INDEX('2018_commission_structure'!$A$11:$I$14,MATCH(Calculations!$E737,'2018_commission_structure'!$A$11:$A$14,0),MATCH(Calculations!Z$1,'2018_commission_structure'!$A$11:$I$11,0)),0)</f>
        <v>0</v>
      </c>
      <c r="AA737" s="7">
        <f t="shared" si="106"/>
        <v>74518.850000000006</v>
      </c>
      <c r="AB737" s="7">
        <f t="shared" si="107"/>
        <v>136226.85</v>
      </c>
    </row>
    <row r="738" spans="1:28" x14ac:dyDescent="0.25">
      <c r="A738">
        <v>8377113392</v>
      </c>
      <c r="B738" t="s">
        <v>333</v>
      </c>
      <c r="C738" t="s">
        <v>334</v>
      </c>
      <c r="D738" t="str">
        <f>B738&amp;" "&amp;C738</f>
        <v>Teriann Portress</v>
      </c>
      <c r="E738" t="s">
        <v>7</v>
      </c>
      <c r="F738">
        <v>62282</v>
      </c>
      <c r="G738">
        <f>COUNTIF(deals_closed!D:D,Calculations!A738)</f>
        <v>21</v>
      </c>
      <c r="H738" s="2">
        <f>SUMIF(deals_closed!D:D,Calculations!A738,deals_closed!C:C)</f>
        <v>758216</v>
      </c>
      <c r="I738" s="2">
        <f>VLOOKUP(E738,'2018_commission_structure'!$A$11:$I$14,9,FALSE)</f>
        <v>500000</v>
      </c>
      <c r="J738" s="2">
        <f t="shared" si="99"/>
        <v>625000</v>
      </c>
      <c r="K738" s="2">
        <f t="shared" si="100"/>
        <v>750000</v>
      </c>
      <c r="L738" s="2">
        <f t="shared" si="101"/>
        <v>1000000</v>
      </c>
      <c r="M738" s="6">
        <f t="shared" si="102"/>
        <v>1.516432</v>
      </c>
      <c r="N738" t="str">
        <f t="shared" si="103"/>
        <v>150-200%</v>
      </c>
      <c r="O738" s="7">
        <f>MIN(I738,H738)*INDEX('2018_commission_structure'!$A$11:$I$14,MATCH(Calculations!$E738,'2018_commission_structure'!$A$11:$A$14,0),MATCH(Calculations!O$1,'2018_commission_structure'!$A$11:$I$11,0))</f>
        <v>50000</v>
      </c>
      <c r="P738" s="7">
        <f>IF($H738&gt;I738,MIN($H738-I738,J738-I738)*INDEX('2018_commission_structure'!$A$11:$I$14,MATCH(Calculations!$E738,'2018_commission_structure'!$A$11:$A$14,0), MATCH(Calculations!P$1,'2018_commission_structure'!$A$11:$I$11,0)),0)</f>
        <v>18750</v>
      </c>
      <c r="Q738" s="7">
        <f>IF($H738&gt;J738,MIN($H738-J738,K738-J738)*INDEX('2018_commission_structure'!$A$11:$I$14,MATCH(Calculations!$E738,'2018_commission_structure'!$A$11:$A$14,0), MATCH(Calculations!Q$1,'2018_commission_structure'!$A$11:$I$11,0)),0)</f>
        <v>22500</v>
      </c>
      <c r="R738" s="7">
        <f>IF($H738&gt;K738,MIN($H738-K738,L738-K738)*INDEX('2018_commission_structure'!$A$11:$I$14,MATCH(Calculations!$E738,'2018_commission_structure'!$A$11:$A$14,0), MATCH(Calculations!R$1,'2018_commission_structure'!$A$11:$I$11,0)),0)</f>
        <v>1807.52</v>
      </c>
      <c r="S738" s="7">
        <f>IF(H738&gt;L738,(H738-L738)*INDEX('2018_commission_structure'!$A$11:$I$14,MATCH(Calculations!$E738,'2018_commission_structure'!$A$11:$A$14,0),MATCH(Calculations!S$1,'2018_commission_structure'!$A$11:$I$11,0)),0)</f>
        <v>0</v>
      </c>
      <c r="T738" s="7">
        <f t="shared" si="104"/>
        <v>93057.52</v>
      </c>
      <c r="U738" s="7">
        <f t="shared" si="105"/>
        <v>155339.52000000002</v>
      </c>
      <c r="V738" s="7">
        <f>MIN(H738,I738)*INDEX('2018_commission_structure'!$A$5:$J$8,MATCH(Calculations!$E738,'2018_commission_structure'!$A$5:$A$8,0),MATCH(Calculations!V$1,'2018_commission_structure'!$A$5:$J$5,0))</f>
        <v>60000</v>
      </c>
      <c r="W738" s="2">
        <f>IF($H738&gt;I738,MIN($H738-I738,J738-I738)*INDEX('2018_commission_structure'!$A$5:$J$8,MATCH(Calculations!$E738,'2018_commission_structure'!$A$5:$A$8,0),MATCH(Calculations!W$1,'2018_commission_structure'!$A$5:$J$5,0)),0)</f>
        <v>21250</v>
      </c>
      <c r="X738" s="2">
        <f>IF($H738&gt;J738,MIN($H738-J738,K738-J738)*INDEX('2018_commission_structure'!$A$5:$J$8,MATCH(Calculations!$E738,'2018_commission_structure'!$A$5:$A$8,0),MATCH(Calculations!X$1,'2018_commission_structure'!$A$5:$J$5,0)),0)</f>
        <v>25000</v>
      </c>
      <c r="Y738" s="2">
        <f>IF($H738&gt;K738,MIN($H738-K738,L738-K738)*INDEX('2018_commission_structure'!$A$5:$J$8,MATCH(Calculations!$E738,'2018_commission_structure'!$A$5:$A$8,0),MATCH(Calculations!Y$1,'2018_commission_structure'!$A$5:$J$5,0)),0)</f>
        <v>1807.52</v>
      </c>
      <c r="Z738" s="2">
        <f xml:space="preserve"> IF(H738&gt;L738,(H738-L738)*INDEX('2018_commission_structure'!$A$11:$I$14,MATCH(Calculations!$E738,'2018_commission_structure'!$A$11:$A$14,0),MATCH(Calculations!Z$1,'2018_commission_structure'!$A$11:$I$11,0)),0)</f>
        <v>0</v>
      </c>
      <c r="AA738" s="7">
        <f t="shared" si="106"/>
        <v>108057.52</v>
      </c>
      <c r="AB738" s="7">
        <f t="shared" si="107"/>
        <v>170339.52000000002</v>
      </c>
    </row>
    <row r="739" spans="1:28" x14ac:dyDescent="0.25">
      <c r="A739">
        <v>1628738227</v>
      </c>
      <c r="B739" t="s">
        <v>615</v>
      </c>
      <c r="C739" t="s">
        <v>616</v>
      </c>
      <c r="D739" t="str">
        <f>B739&amp;" "&amp;C739</f>
        <v>See Postin</v>
      </c>
      <c r="E739" t="s">
        <v>29</v>
      </c>
      <c r="F739">
        <v>53204</v>
      </c>
      <c r="G739">
        <f>COUNTIF(deals_closed!D:D,Calculations!A739)</f>
        <v>28</v>
      </c>
      <c r="H739" s="2">
        <f>SUMIF(deals_closed!D:D,Calculations!A739,deals_closed!C:C)</f>
        <v>946209</v>
      </c>
      <c r="I739" s="2">
        <f>VLOOKUP(E739,'2018_commission_structure'!$A$11:$I$14,9,FALSE)</f>
        <v>600000</v>
      </c>
      <c r="J739" s="2">
        <f t="shared" si="99"/>
        <v>750000</v>
      </c>
      <c r="K739" s="2">
        <f t="shared" si="100"/>
        <v>900000</v>
      </c>
      <c r="L739" s="2">
        <f t="shared" si="101"/>
        <v>1200000</v>
      </c>
      <c r="M739" s="6">
        <f t="shared" si="102"/>
        <v>1.5770150000000001</v>
      </c>
      <c r="N739" t="str">
        <f t="shared" si="103"/>
        <v>150-200%</v>
      </c>
      <c r="O739" s="7">
        <f>MIN(I739,H739)*INDEX('2018_commission_structure'!$A$11:$I$14,MATCH(Calculations!$E739,'2018_commission_structure'!$A$11:$A$14,0),MATCH(Calculations!O$1,'2018_commission_structure'!$A$11:$I$11,0))</f>
        <v>78000</v>
      </c>
      <c r="P739" s="7">
        <f>IF($H739&gt;I739,MIN($H739-I739,J739-I739)*INDEX('2018_commission_structure'!$A$11:$I$14,MATCH(Calculations!$E739,'2018_commission_structure'!$A$11:$A$14,0), MATCH(Calculations!P$1,'2018_commission_structure'!$A$11:$I$11,0)),0)</f>
        <v>25500.000000000004</v>
      </c>
      <c r="Q739" s="7">
        <f>IF($H739&gt;J739,MIN($H739-J739,K739-J739)*INDEX('2018_commission_structure'!$A$11:$I$14,MATCH(Calculations!$E739,'2018_commission_structure'!$A$11:$A$14,0), MATCH(Calculations!Q$1,'2018_commission_structure'!$A$11:$I$11,0)),0)</f>
        <v>31500</v>
      </c>
      <c r="R739" s="7">
        <f>IF($H739&gt;K739,MIN($H739-K739,L739-K739)*INDEX('2018_commission_structure'!$A$11:$I$14,MATCH(Calculations!$E739,'2018_commission_structure'!$A$11:$A$14,0), MATCH(Calculations!R$1,'2018_commission_structure'!$A$11:$I$11,0)),0)</f>
        <v>12014.34</v>
      </c>
      <c r="S739" s="7">
        <f>IF(H739&gt;L739,(H739-L739)*INDEX('2018_commission_structure'!$A$11:$I$14,MATCH(Calculations!$E739,'2018_commission_structure'!$A$11:$A$14,0),MATCH(Calculations!S$1,'2018_commission_structure'!$A$11:$I$11,0)),0)</f>
        <v>0</v>
      </c>
      <c r="T739" s="7">
        <f t="shared" si="104"/>
        <v>147014.34</v>
      </c>
      <c r="U739" s="7">
        <f t="shared" si="105"/>
        <v>200218.34</v>
      </c>
      <c r="V739" s="7">
        <f>MIN(H739,I739)*INDEX('2018_commission_structure'!$A$5:$J$8,MATCH(Calculations!$E739,'2018_commission_structure'!$A$5:$A$8,0),MATCH(Calculations!V$1,'2018_commission_structure'!$A$5:$J$5,0))</f>
        <v>90000</v>
      </c>
      <c r="W739" s="2">
        <f>IF($H739&gt;I739,MIN($H739-I739,J739-I739)*INDEX('2018_commission_structure'!$A$5:$J$8,MATCH(Calculations!$E739,'2018_commission_structure'!$A$5:$A$8,0),MATCH(Calculations!W$1,'2018_commission_structure'!$A$5:$J$5,0)),0)</f>
        <v>27000</v>
      </c>
      <c r="X739" s="2">
        <f>IF($H739&gt;J739,MIN($H739-J739,K739-J739)*INDEX('2018_commission_structure'!$A$5:$J$8,MATCH(Calculations!$E739,'2018_commission_structure'!$A$5:$A$8,0),MATCH(Calculations!X$1,'2018_commission_structure'!$A$5:$J$5,0)),0)</f>
        <v>37500</v>
      </c>
      <c r="Y739" s="2">
        <f>IF($H739&gt;K739,MIN($H739-K739,L739-K739)*INDEX('2018_commission_structure'!$A$5:$J$8,MATCH(Calculations!$E739,'2018_commission_structure'!$A$5:$A$8,0),MATCH(Calculations!Y$1,'2018_commission_structure'!$A$5:$J$5,0)),0)</f>
        <v>13862.699999999999</v>
      </c>
      <c r="Z739" s="2">
        <f xml:space="preserve"> IF(H739&gt;L739,(H739-L739)*INDEX('2018_commission_structure'!$A$11:$I$14,MATCH(Calculations!$E739,'2018_commission_structure'!$A$11:$A$14,0),MATCH(Calculations!Z$1,'2018_commission_structure'!$A$11:$I$11,0)),0)</f>
        <v>0</v>
      </c>
      <c r="AA739" s="7">
        <f t="shared" si="106"/>
        <v>168362.7</v>
      </c>
      <c r="AB739" s="7">
        <f t="shared" si="107"/>
        <v>221566.7</v>
      </c>
    </row>
    <row r="740" spans="1:28" x14ac:dyDescent="0.25">
      <c r="A740">
        <v>1028388519</v>
      </c>
      <c r="B740" t="s">
        <v>1141</v>
      </c>
      <c r="C740" t="s">
        <v>1142</v>
      </c>
      <c r="D740" t="str">
        <f>B740&amp;" "&amp;C740</f>
        <v>Barde Pound</v>
      </c>
      <c r="E740" t="s">
        <v>7</v>
      </c>
      <c r="F740">
        <v>35149</v>
      </c>
      <c r="G740">
        <f>COUNTIF(deals_closed!D:D,Calculations!A740)</f>
        <v>17</v>
      </c>
      <c r="H740" s="2">
        <f>SUMIF(deals_closed!D:D,Calculations!A740,deals_closed!C:C)</f>
        <v>563706</v>
      </c>
      <c r="I740" s="2">
        <f>VLOOKUP(E740,'2018_commission_structure'!$A$11:$I$14,9,FALSE)</f>
        <v>500000</v>
      </c>
      <c r="J740" s="2">
        <f t="shared" si="99"/>
        <v>625000</v>
      </c>
      <c r="K740" s="2">
        <f t="shared" si="100"/>
        <v>750000</v>
      </c>
      <c r="L740" s="2">
        <f t="shared" si="101"/>
        <v>1000000</v>
      </c>
      <c r="M740" s="6">
        <f t="shared" si="102"/>
        <v>1.1274120000000001</v>
      </c>
      <c r="N740" t="str">
        <f t="shared" si="103"/>
        <v>100-125%</v>
      </c>
      <c r="O740" s="7">
        <f>MIN(I740,H740)*INDEX('2018_commission_structure'!$A$11:$I$14,MATCH(Calculations!$E740,'2018_commission_structure'!$A$11:$A$14,0),MATCH(Calculations!O$1,'2018_commission_structure'!$A$11:$I$11,0))</f>
        <v>50000</v>
      </c>
      <c r="P740" s="7">
        <f>IF($H740&gt;I740,MIN($H740-I740,J740-I740)*INDEX('2018_commission_structure'!$A$11:$I$14,MATCH(Calculations!$E740,'2018_commission_structure'!$A$11:$A$14,0), MATCH(Calculations!P$1,'2018_commission_structure'!$A$11:$I$11,0)),0)</f>
        <v>9555.9</v>
      </c>
      <c r="Q740" s="7">
        <f>IF($H740&gt;J740,MIN($H740-J740,K740-J740)*INDEX('2018_commission_structure'!$A$11:$I$14,MATCH(Calculations!$E740,'2018_commission_structure'!$A$11:$A$14,0), MATCH(Calculations!Q$1,'2018_commission_structure'!$A$11:$I$11,0)),0)</f>
        <v>0</v>
      </c>
      <c r="R740" s="7">
        <f>IF($H740&gt;K740,MIN($H740-K740,L740-K740)*INDEX('2018_commission_structure'!$A$11:$I$14,MATCH(Calculations!$E740,'2018_commission_structure'!$A$11:$A$14,0), MATCH(Calculations!R$1,'2018_commission_structure'!$A$11:$I$11,0)),0)</f>
        <v>0</v>
      </c>
      <c r="S740" s="7">
        <f>IF(H740&gt;L740,(H740-L740)*INDEX('2018_commission_structure'!$A$11:$I$14,MATCH(Calculations!$E740,'2018_commission_structure'!$A$11:$A$14,0),MATCH(Calculations!S$1,'2018_commission_structure'!$A$11:$I$11,0)),0)</f>
        <v>0</v>
      </c>
      <c r="T740" s="7">
        <f t="shared" si="104"/>
        <v>59555.9</v>
      </c>
      <c r="U740" s="7">
        <f t="shared" si="105"/>
        <v>94704.9</v>
      </c>
      <c r="V740" s="7">
        <f>MIN(H740,I740)*INDEX('2018_commission_structure'!$A$5:$J$8,MATCH(Calculations!$E740,'2018_commission_structure'!$A$5:$A$8,0),MATCH(Calculations!V$1,'2018_commission_structure'!$A$5:$J$5,0))</f>
        <v>60000</v>
      </c>
      <c r="W740" s="2">
        <f>IF($H740&gt;I740,MIN($H740-I740,J740-I740)*INDEX('2018_commission_structure'!$A$5:$J$8,MATCH(Calculations!$E740,'2018_commission_structure'!$A$5:$A$8,0),MATCH(Calculations!W$1,'2018_commission_structure'!$A$5:$J$5,0)),0)</f>
        <v>10830.02</v>
      </c>
      <c r="X740" s="2">
        <f>IF($H740&gt;J740,MIN($H740-J740,K740-J740)*INDEX('2018_commission_structure'!$A$5:$J$8,MATCH(Calculations!$E740,'2018_commission_structure'!$A$5:$A$8,0),MATCH(Calculations!X$1,'2018_commission_structure'!$A$5:$J$5,0)),0)</f>
        <v>0</v>
      </c>
      <c r="Y740" s="2">
        <f>IF($H740&gt;K740,MIN($H740-K740,L740-K740)*INDEX('2018_commission_structure'!$A$5:$J$8,MATCH(Calculations!$E740,'2018_commission_structure'!$A$5:$A$8,0),MATCH(Calculations!Y$1,'2018_commission_structure'!$A$5:$J$5,0)),0)</f>
        <v>0</v>
      </c>
      <c r="Z740" s="2">
        <f xml:space="preserve"> IF(H740&gt;L740,(H740-L740)*INDEX('2018_commission_structure'!$A$11:$I$14,MATCH(Calculations!$E740,'2018_commission_structure'!$A$11:$A$14,0),MATCH(Calculations!Z$1,'2018_commission_structure'!$A$11:$I$11,0)),0)</f>
        <v>0</v>
      </c>
      <c r="AA740" s="7">
        <f t="shared" si="106"/>
        <v>70830.02</v>
      </c>
      <c r="AB740" s="7">
        <f t="shared" si="107"/>
        <v>105979.02</v>
      </c>
    </row>
    <row r="741" spans="1:28" x14ac:dyDescent="0.25">
      <c r="A741">
        <v>2079803735</v>
      </c>
      <c r="B741" t="s">
        <v>1342</v>
      </c>
      <c r="C741" t="s">
        <v>1343</v>
      </c>
      <c r="D741" t="str">
        <f>B741&amp;" "&amp;C741</f>
        <v>Shawna Powland</v>
      </c>
      <c r="E741" t="s">
        <v>7</v>
      </c>
      <c r="F741">
        <v>54843</v>
      </c>
      <c r="G741">
        <f>COUNTIF(deals_closed!D:D,Calculations!A741)</f>
        <v>20</v>
      </c>
      <c r="H741" s="2">
        <f>SUMIF(deals_closed!D:D,Calculations!A741,deals_closed!C:C)</f>
        <v>676256</v>
      </c>
      <c r="I741" s="2">
        <f>VLOOKUP(E741,'2018_commission_structure'!$A$11:$I$14,9,FALSE)</f>
        <v>500000</v>
      </c>
      <c r="J741" s="2">
        <f t="shared" si="99"/>
        <v>625000</v>
      </c>
      <c r="K741" s="2">
        <f t="shared" si="100"/>
        <v>750000</v>
      </c>
      <c r="L741" s="2">
        <f t="shared" si="101"/>
        <v>1000000</v>
      </c>
      <c r="M741" s="6">
        <f t="shared" si="102"/>
        <v>1.3525119999999999</v>
      </c>
      <c r="N741" t="str">
        <f t="shared" si="103"/>
        <v>125-150%</v>
      </c>
      <c r="O741" s="7">
        <f>MIN(I741,H741)*INDEX('2018_commission_structure'!$A$11:$I$14,MATCH(Calculations!$E741,'2018_commission_structure'!$A$11:$A$14,0),MATCH(Calculations!O$1,'2018_commission_structure'!$A$11:$I$11,0))</f>
        <v>50000</v>
      </c>
      <c r="P741" s="7">
        <f>IF($H741&gt;I741,MIN($H741-I741,J741-I741)*INDEX('2018_commission_structure'!$A$11:$I$14,MATCH(Calculations!$E741,'2018_commission_structure'!$A$11:$A$14,0), MATCH(Calculations!P$1,'2018_commission_structure'!$A$11:$I$11,0)),0)</f>
        <v>18750</v>
      </c>
      <c r="Q741" s="7">
        <f>IF($H741&gt;J741,MIN($H741-J741,K741-J741)*INDEX('2018_commission_structure'!$A$11:$I$14,MATCH(Calculations!$E741,'2018_commission_structure'!$A$11:$A$14,0), MATCH(Calculations!Q$1,'2018_commission_structure'!$A$11:$I$11,0)),0)</f>
        <v>9226.08</v>
      </c>
      <c r="R741" s="7">
        <f>IF($H741&gt;K741,MIN($H741-K741,L741-K741)*INDEX('2018_commission_structure'!$A$11:$I$14,MATCH(Calculations!$E741,'2018_commission_structure'!$A$11:$A$14,0), MATCH(Calculations!R$1,'2018_commission_structure'!$A$11:$I$11,0)),0)</f>
        <v>0</v>
      </c>
      <c r="S741" s="7">
        <f>IF(H741&gt;L741,(H741-L741)*INDEX('2018_commission_structure'!$A$11:$I$14,MATCH(Calculations!$E741,'2018_commission_structure'!$A$11:$A$14,0),MATCH(Calculations!S$1,'2018_commission_structure'!$A$11:$I$11,0)),0)</f>
        <v>0</v>
      </c>
      <c r="T741" s="7">
        <f t="shared" si="104"/>
        <v>77976.08</v>
      </c>
      <c r="U741" s="7">
        <f t="shared" si="105"/>
        <v>132819.08000000002</v>
      </c>
      <c r="V741" s="7">
        <f>MIN(H741,I741)*INDEX('2018_commission_structure'!$A$5:$J$8,MATCH(Calculations!$E741,'2018_commission_structure'!$A$5:$A$8,0),MATCH(Calculations!V$1,'2018_commission_structure'!$A$5:$J$5,0))</f>
        <v>60000</v>
      </c>
      <c r="W741" s="2">
        <f>IF($H741&gt;I741,MIN($H741-I741,J741-I741)*INDEX('2018_commission_structure'!$A$5:$J$8,MATCH(Calculations!$E741,'2018_commission_structure'!$A$5:$A$8,0),MATCH(Calculations!W$1,'2018_commission_structure'!$A$5:$J$5,0)),0)</f>
        <v>21250</v>
      </c>
      <c r="X741" s="2">
        <f>IF($H741&gt;J741,MIN($H741-J741,K741-J741)*INDEX('2018_commission_structure'!$A$5:$J$8,MATCH(Calculations!$E741,'2018_commission_structure'!$A$5:$A$8,0),MATCH(Calculations!X$1,'2018_commission_structure'!$A$5:$J$5,0)),0)</f>
        <v>10251.200000000001</v>
      </c>
      <c r="Y741" s="2">
        <f>IF($H741&gt;K741,MIN($H741-K741,L741-K741)*INDEX('2018_commission_structure'!$A$5:$J$8,MATCH(Calculations!$E741,'2018_commission_structure'!$A$5:$A$8,0),MATCH(Calculations!Y$1,'2018_commission_structure'!$A$5:$J$5,0)),0)</f>
        <v>0</v>
      </c>
      <c r="Z741" s="2">
        <f xml:space="preserve"> IF(H741&gt;L741,(H741-L741)*INDEX('2018_commission_structure'!$A$11:$I$14,MATCH(Calculations!$E741,'2018_commission_structure'!$A$11:$A$14,0),MATCH(Calculations!Z$1,'2018_commission_structure'!$A$11:$I$11,0)),0)</f>
        <v>0</v>
      </c>
      <c r="AA741" s="7">
        <f t="shared" si="106"/>
        <v>91501.2</v>
      </c>
      <c r="AB741" s="7">
        <f t="shared" si="107"/>
        <v>146344.20000000001</v>
      </c>
    </row>
    <row r="742" spans="1:28" x14ac:dyDescent="0.25">
      <c r="A742">
        <v>2565093969</v>
      </c>
      <c r="B742" t="s">
        <v>99</v>
      </c>
      <c r="C742" t="s">
        <v>100</v>
      </c>
      <c r="D742" t="str">
        <f>B742&amp;" "&amp;C742</f>
        <v>Nelly Prando</v>
      </c>
      <c r="E742" t="s">
        <v>7</v>
      </c>
      <c r="F742">
        <v>46352</v>
      </c>
      <c r="G742">
        <f>COUNTIF(deals_closed!D:D,Calculations!A742)</f>
        <v>25</v>
      </c>
      <c r="H742" s="2">
        <f>SUMIF(deals_closed!D:D,Calculations!A742,deals_closed!C:C)</f>
        <v>935138</v>
      </c>
      <c r="I742" s="2">
        <f>VLOOKUP(E742,'2018_commission_structure'!$A$11:$I$14,9,FALSE)</f>
        <v>500000</v>
      </c>
      <c r="J742" s="2">
        <f t="shared" si="99"/>
        <v>625000</v>
      </c>
      <c r="K742" s="2">
        <f t="shared" si="100"/>
        <v>750000</v>
      </c>
      <c r="L742" s="2">
        <f t="shared" si="101"/>
        <v>1000000</v>
      </c>
      <c r="M742" s="6">
        <f t="shared" si="102"/>
        <v>1.870276</v>
      </c>
      <c r="N742" t="str">
        <f t="shared" si="103"/>
        <v>150-200%</v>
      </c>
      <c r="O742" s="7">
        <f>MIN(I742,H742)*INDEX('2018_commission_structure'!$A$11:$I$14,MATCH(Calculations!$E742,'2018_commission_structure'!$A$11:$A$14,0),MATCH(Calculations!O$1,'2018_commission_structure'!$A$11:$I$11,0))</f>
        <v>50000</v>
      </c>
      <c r="P742" s="7">
        <f>IF($H742&gt;I742,MIN($H742-I742,J742-I742)*INDEX('2018_commission_structure'!$A$11:$I$14,MATCH(Calculations!$E742,'2018_commission_structure'!$A$11:$A$14,0), MATCH(Calculations!P$1,'2018_commission_structure'!$A$11:$I$11,0)),0)</f>
        <v>18750</v>
      </c>
      <c r="Q742" s="7">
        <f>IF($H742&gt;J742,MIN($H742-J742,K742-J742)*INDEX('2018_commission_structure'!$A$11:$I$14,MATCH(Calculations!$E742,'2018_commission_structure'!$A$11:$A$14,0), MATCH(Calculations!Q$1,'2018_commission_structure'!$A$11:$I$11,0)),0)</f>
        <v>22500</v>
      </c>
      <c r="R742" s="7">
        <f>IF($H742&gt;K742,MIN($H742-K742,L742-K742)*INDEX('2018_commission_structure'!$A$11:$I$14,MATCH(Calculations!$E742,'2018_commission_structure'!$A$11:$A$14,0), MATCH(Calculations!R$1,'2018_commission_structure'!$A$11:$I$11,0)),0)</f>
        <v>40730.36</v>
      </c>
      <c r="S742" s="7">
        <f>IF(H742&gt;L742,(H742-L742)*INDEX('2018_commission_structure'!$A$11:$I$14,MATCH(Calculations!$E742,'2018_commission_structure'!$A$11:$A$14,0),MATCH(Calculations!S$1,'2018_commission_structure'!$A$11:$I$11,0)),0)</f>
        <v>0</v>
      </c>
      <c r="T742" s="7">
        <f t="shared" si="104"/>
        <v>131980.35999999999</v>
      </c>
      <c r="U742" s="7">
        <f t="shared" si="105"/>
        <v>178332.36</v>
      </c>
      <c r="V742" s="7">
        <f>MIN(H742,I742)*INDEX('2018_commission_structure'!$A$5:$J$8,MATCH(Calculations!$E742,'2018_commission_structure'!$A$5:$A$8,0),MATCH(Calculations!V$1,'2018_commission_structure'!$A$5:$J$5,0))</f>
        <v>60000</v>
      </c>
      <c r="W742" s="2">
        <f>IF($H742&gt;I742,MIN($H742-I742,J742-I742)*INDEX('2018_commission_structure'!$A$5:$J$8,MATCH(Calculations!$E742,'2018_commission_structure'!$A$5:$A$8,0),MATCH(Calculations!W$1,'2018_commission_structure'!$A$5:$J$5,0)),0)</f>
        <v>21250</v>
      </c>
      <c r="X742" s="2">
        <f>IF($H742&gt;J742,MIN($H742-J742,K742-J742)*INDEX('2018_commission_structure'!$A$5:$J$8,MATCH(Calculations!$E742,'2018_commission_structure'!$A$5:$A$8,0),MATCH(Calculations!X$1,'2018_commission_structure'!$A$5:$J$5,0)),0)</f>
        <v>25000</v>
      </c>
      <c r="Y742" s="2">
        <f>IF($H742&gt;K742,MIN($H742-K742,L742-K742)*INDEX('2018_commission_structure'!$A$5:$J$8,MATCH(Calculations!$E742,'2018_commission_structure'!$A$5:$A$8,0),MATCH(Calculations!Y$1,'2018_commission_structure'!$A$5:$J$5,0)),0)</f>
        <v>40730.36</v>
      </c>
      <c r="Z742" s="2">
        <f xml:space="preserve"> IF(H742&gt;L742,(H742-L742)*INDEX('2018_commission_structure'!$A$11:$I$14,MATCH(Calculations!$E742,'2018_commission_structure'!$A$11:$A$14,0),MATCH(Calculations!Z$1,'2018_commission_structure'!$A$11:$I$11,0)),0)</f>
        <v>0</v>
      </c>
      <c r="AA742" s="7">
        <f t="shared" si="106"/>
        <v>146980.35999999999</v>
      </c>
      <c r="AB742" s="7">
        <f t="shared" si="107"/>
        <v>193332.36</v>
      </c>
    </row>
    <row r="743" spans="1:28" x14ac:dyDescent="0.25">
      <c r="A743">
        <v>6271204627</v>
      </c>
      <c r="B743" t="s">
        <v>345</v>
      </c>
      <c r="C743" t="s">
        <v>346</v>
      </c>
      <c r="D743" t="str">
        <f>B743&amp;" "&amp;C743</f>
        <v>Brien Prate</v>
      </c>
      <c r="E743" t="s">
        <v>29</v>
      </c>
      <c r="F743">
        <v>77962</v>
      </c>
      <c r="G743">
        <f>COUNTIF(deals_closed!D:D,Calculations!A743)</f>
        <v>23</v>
      </c>
      <c r="H743" s="2">
        <f>SUMIF(deals_closed!D:D,Calculations!A743,deals_closed!C:C)</f>
        <v>762296</v>
      </c>
      <c r="I743" s="2">
        <f>VLOOKUP(E743,'2018_commission_structure'!$A$11:$I$14,9,FALSE)</f>
        <v>600000</v>
      </c>
      <c r="J743" s="2">
        <f t="shared" si="99"/>
        <v>750000</v>
      </c>
      <c r="K743" s="2">
        <f t="shared" si="100"/>
        <v>900000</v>
      </c>
      <c r="L743" s="2">
        <f t="shared" si="101"/>
        <v>1200000</v>
      </c>
      <c r="M743" s="6">
        <f t="shared" si="102"/>
        <v>1.2704933333333333</v>
      </c>
      <c r="N743" t="str">
        <f t="shared" si="103"/>
        <v>125-150%</v>
      </c>
      <c r="O743" s="7">
        <f>MIN(I743,H743)*INDEX('2018_commission_structure'!$A$11:$I$14,MATCH(Calculations!$E743,'2018_commission_structure'!$A$11:$A$14,0),MATCH(Calculations!O$1,'2018_commission_structure'!$A$11:$I$11,0))</f>
        <v>78000</v>
      </c>
      <c r="P743" s="7">
        <f>IF($H743&gt;I743,MIN($H743-I743,J743-I743)*INDEX('2018_commission_structure'!$A$11:$I$14,MATCH(Calculations!$E743,'2018_commission_structure'!$A$11:$A$14,0), MATCH(Calculations!P$1,'2018_commission_structure'!$A$11:$I$11,0)),0)</f>
        <v>25500.000000000004</v>
      </c>
      <c r="Q743" s="7">
        <f>IF($H743&gt;J743,MIN($H743-J743,K743-J743)*INDEX('2018_commission_structure'!$A$11:$I$14,MATCH(Calculations!$E743,'2018_commission_structure'!$A$11:$A$14,0), MATCH(Calculations!Q$1,'2018_commission_structure'!$A$11:$I$11,0)),0)</f>
        <v>2582.16</v>
      </c>
      <c r="R743" s="7">
        <f>IF($H743&gt;K743,MIN($H743-K743,L743-K743)*INDEX('2018_commission_structure'!$A$11:$I$14,MATCH(Calculations!$E743,'2018_commission_structure'!$A$11:$A$14,0), MATCH(Calculations!R$1,'2018_commission_structure'!$A$11:$I$11,0)),0)</f>
        <v>0</v>
      </c>
      <c r="S743" s="7">
        <f>IF(H743&gt;L743,(H743-L743)*INDEX('2018_commission_structure'!$A$11:$I$14,MATCH(Calculations!$E743,'2018_commission_structure'!$A$11:$A$14,0),MATCH(Calculations!S$1,'2018_commission_structure'!$A$11:$I$11,0)),0)</f>
        <v>0</v>
      </c>
      <c r="T743" s="7">
        <f t="shared" si="104"/>
        <v>106082.16</v>
      </c>
      <c r="U743" s="7">
        <f t="shared" si="105"/>
        <v>184044.16</v>
      </c>
      <c r="V743" s="7">
        <f>MIN(H743,I743)*INDEX('2018_commission_structure'!$A$5:$J$8,MATCH(Calculations!$E743,'2018_commission_structure'!$A$5:$A$8,0),MATCH(Calculations!V$1,'2018_commission_structure'!$A$5:$J$5,0))</f>
        <v>90000</v>
      </c>
      <c r="W743" s="2">
        <f>IF($H743&gt;I743,MIN($H743-I743,J743-I743)*INDEX('2018_commission_structure'!$A$5:$J$8,MATCH(Calculations!$E743,'2018_commission_structure'!$A$5:$A$8,0),MATCH(Calculations!W$1,'2018_commission_structure'!$A$5:$J$5,0)),0)</f>
        <v>27000</v>
      </c>
      <c r="X743" s="2">
        <f>IF($H743&gt;J743,MIN($H743-J743,K743-J743)*INDEX('2018_commission_structure'!$A$5:$J$8,MATCH(Calculations!$E743,'2018_commission_structure'!$A$5:$A$8,0),MATCH(Calculations!X$1,'2018_commission_structure'!$A$5:$J$5,0)),0)</f>
        <v>3074</v>
      </c>
      <c r="Y743" s="2">
        <f>IF($H743&gt;K743,MIN($H743-K743,L743-K743)*INDEX('2018_commission_structure'!$A$5:$J$8,MATCH(Calculations!$E743,'2018_commission_structure'!$A$5:$A$8,0),MATCH(Calculations!Y$1,'2018_commission_structure'!$A$5:$J$5,0)),0)</f>
        <v>0</v>
      </c>
      <c r="Z743" s="2">
        <f xml:space="preserve"> IF(H743&gt;L743,(H743-L743)*INDEX('2018_commission_structure'!$A$11:$I$14,MATCH(Calculations!$E743,'2018_commission_structure'!$A$11:$A$14,0),MATCH(Calculations!Z$1,'2018_commission_structure'!$A$11:$I$11,0)),0)</f>
        <v>0</v>
      </c>
      <c r="AA743" s="7">
        <f t="shared" si="106"/>
        <v>120074</v>
      </c>
      <c r="AB743" s="7">
        <f t="shared" si="107"/>
        <v>198036</v>
      </c>
    </row>
    <row r="744" spans="1:28" x14ac:dyDescent="0.25">
      <c r="A744">
        <v>6300411419</v>
      </c>
      <c r="B744" t="s">
        <v>1474</v>
      </c>
      <c r="C744" t="s">
        <v>1475</v>
      </c>
      <c r="D744" t="str">
        <f>B744&amp;" "&amp;C744</f>
        <v>Donnell Preon</v>
      </c>
      <c r="E744" t="s">
        <v>7</v>
      </c>
      <c r="F744">
        <v>43293</v>
      </c>
      <c r="G744">
        <f>COUNTIF(deals_closed!D:D,Calculations!A744)</f>
        <v>18</v>
      </c>
      <c r="H744" s="2">
        <f>SUMIF(deals_closed!D:D,Calculations!A744,deals_closed!C:C)</f>
        <v>687708</v>
      </c>
      <c r="I744" s="2">
        <f>VLOOKUP(E744,'2018_commission_structure'!$A$11:$I$14,9,FALSE)</f>
        <v>500000</v>
      </c>
      <c r="J744" s="2">
        <f t="shared" si="99"/>
        <v>625000</v>
      </c>
      <c r="K744" s="2">
        <f t="shared" si="100"/>
        <v>750000</v>
      </c>
      <c r="L744" s="2">
        <f t="shared" si="101"/>
        <v>1000000</v>
      </c>
      <c r="M744" s="6">
        <f t="shared" si="102"/>
        <v>1.375416</v>
      </c>
      <c r="N744" t="str">
        <f t="shared" si="103"/>
        <v>125-150%</v>
      </c>
      <c r="O744" s="7">
        <f>MIN(I744,H744)*INDEX('2018_commission_structure'!$A$11:$I$14,MATCH(Calculations!$E744,'2018_commission_structure'!$A$11:$A$14,0),MATCH(Calculations!O$1,'2018_commission_structure'!$A$11:$I$11,0))</f>
        <v>50000</v>
      </c>
      <c r="P744" s="7">
        <f>IF($H744&gt;I744,MIN($H744-I744,J744-I744)*INDEX('2018_commission_structure'!$A$11:$I$14,MATCH(Calculations!$E744,'2018_commission_structure'!$A$11:$A$14,0), MATCH(Calculations!P$1,'2018_commission_structure'!$A$11:$I$11,0)),0)</f>
        <v>18750</v>
      </c>
      <c r="Q744" s="7">
        <f>IF($H744&gt;J744,MIN($H744-J744,K744-J744)*INDEX('2018_commission_structure'!$A$11:$I$14,MATCH(Calculations!$E744,'2018_commission_structure'!$A$11:$A$14,0), MATCH(Calculations!Q$1,'2018_commission_structure'!$A$11:$I$11,0)),0)</f>
        <v>11287.439999999999</v>
      </c>
      <c r="R744" s="7">
        <f>IF($H744&gt;K744,MIN($H744-K744,L744-K744)*INDEX('2018_commission_structure'!$A$11:$I$14,MATCH(Calculations!$E744,'2018_commission_structure'!$A$11:$A$14,0), MATCH(Calculations!R$1,'2018_commission_structure'!$A$11:$I$11,0)),0)</f>
        <v>0</v>
      </c>
      <c r="S744" s="7">
        <f>IF(H744&gt;L744,(H744-L744)*INDEX('2018_commission_structure'!$A$11:$I$14,MATCH(Calculations!$E744,'2018_commission_structure'!$A$11:$A$14,0),MATCH(Calculations!S$1,'2018_commission_structure'!$A$11:$I$11,0)),0)</f>
        <v>0</v>
      </c>
      <c r="T744" s="7">
        <f t="shared" si="104"/>
        <v>80037.440000000002</v>
      </c>
      <c r="U744" s="7">
        <f t="shared" si="105"/>
        <v>123330.44</v>
      </c>
      <c r="V744" s="7">
        <f>MIN(H744,I744)*INDEX('2018_commission_structure'!$A$5:$J$8,MATCH(Calculations!$E744,'2018_commission_structure'!$A$5:$A$8,0),MATCH(Calculations!V$1,'2018_commission_structure'!$A$5:$J$5,0))</f>
        <v>60000</v>
      </c>
      <c r="W744" s="2">
        <f>IF($H744&gt;I744,MIN($H744-I744,J744-I744)*INDEX('2018_commission_structure'!$A$5:$J$8,MATCH(Calculations!$E744,'2018_commission_structure'!$A$5:$A$8,0),MATCH(Calculations!W$1,'2018_commission_structure'!$A$5:$J$5,0)),0)</f>
        <v>21250</v>
      </c>
      <c r="X744" s="2">
        <f>IF($H744&gt;J744,MIN($H744-J744,K744-J744)*INDEX('2018_commission_structure'!$A$5:$J$8,MATCH(Calculations!$E744,'2018_commission_structure'!$A$5:$A$8,0),MATCH(Calculations!X$1,'2018_commission_structure'!$A$5:$J$5,0)),0)</f>
        <v>12541.6</v>
      </c>
      <c r="Y744" s="2">
        <f>IF($H744&gt;K744,MIN($H744-K744,L744-K744)*INDEX('2018_commission_structure'!$A$5:$J$8,MATCH(Calculations!$E744,'2018_commission_structure'!$A$5:$A$8,0),MATCH(Calculations!Y$1,'2018_commission_structure'!$A$5:$J$5,0)),0)</f>
        <v>0</v>
      </c>
      <c r="Z744" s="2">
        <f xml:space="preserve"> IF(H744&gt;L744,(H744-L744)*INDEX('2018_commission_structure'!$A$11:$I$14,MATCH(Calculations!$E744,'2018_commission_structure'!$A$11:$A$14,0),MATCH(Calculations!Z$1,'2018_commission_structure'!$A$11:$I$11,0)),0)</f>
        <v>0</v>
      </c>
      <c r="AA744" s="7">
        <f t="shared" si="106"/>
        <v>93791.6</v>
      </c>
      <c r="AB744" s="7">
        <f t="shared" si="107"/>
        <v>137084.6</v>
      </c>
    </row>
    <row r="745" spans="1:28" x14ac:dyDescent="0.25">
      <c r="A745">
        <v>6148303353</v>
      </c>
      <c r="B745" t="s">
        <v>720</v>
      </c>
      <c r="C745" t="s">
        <v>721</v>
      </c>
      <c r="D745" t="str">
        <f>B745&amp;" "&amp;C745</f>
        <v>Ike Pretorius</v>
      </c>
      <c r="E745" t="s">
        <v>10</v>
      </c>
      <c r="F745">
        <v>118836</v>
      </c>
      <c r="G745">
        <f>COUNTIF(deals_closed!D:D,Calculations!A745)</f>
        <v>19</v>
      </c>
      <c r="H745" s="2">
        <f>SUMIF(deals_closed!D:D,Calculations!A745,deals_closed!C:C)</f>
        <v>549569</v>
      </c>
      <c r="I745" s="2">
        <f>VLOOKUP(E745,'2018_commission_structure'!$A$11:$I$14,9,FALSE)</f>
        <v>750000</v>
      </c>
      <c r="J745" s="2">
        <f t="shared" si="99"/>
        <v>937500</v>
      </c>
      <c r="K745" s="2">
        <f t="shared" si="100"/>
        <v>1125000</v>
      </c>
      <c r="L745" s="2">
        <f t="shared" si="101"/>
        <v>1500000</v>
      </c>
      <c r="M745" s="6">
        <f t="shared" si="102"/>
        <v>0.73275866666666667</v>
      </c>
      <c r="N745" t="str">
        <f t="shared" si="103"/>
        <v>0-100%</v>
      </c>
      <c r="O745" s="7">
        <f>MIN(I745,H745)*INDEX('2018_commission_structure'!$A$11:$I$14,MATCH(Calculations!$E745,'2018_commission_structure'!$A$11:$A$14,0),MATCH(Calculations!O$1,'2018_commission_structure'!$A$11:$I$11,0))</f>
        <v>82435.349999999991</v>
      </c>
      <c r="P745" s="7">
        <f>IF($H745&gt;I745,MIN($H745-I745,J745-I745)*INDEX('2018_commission_structure'!$A$11:$I$14,MATCH(Calculations!$E745,'2018_commission_structure'!$A$11:$A$14,0), MATCH(Calculations!P$1,'2018_commission_structure'!$A$11:$I$11,0)),0)</f>
        <v>0</v>
      </c>
      <c r="Q745" s="7">
        <f>IF($H745&gt;J745,MIN($H745-J745,K745-J745)*INDEX('2018_commission_structure'!$A$11:$I$14,MATCH(Calculations!$E745,'2018_commission_structure'!$A$11:$A$14,0), MATCH(Calculations!Q$1,'2018_commission_structure'!$A$11:$I$11,0)),0)</f>
        <v>0</v>
      </c>
      <c r="R745" s="7">
        <f>IF($H745&gt;K745,MIN($H745-K745,L745-K745)*INDEX('2018_commission_structure'!$A$11:$I$14,MATCH(Calculations!$E745,'2018_commission_structure'!$A$11:$A$14,0), MATCH(Calculations!R$1,'2018_commission_structure'!$A$11:$I$11,0)),0)</f>
        <v>0</v>
      </c>
      <c r="S745" s="7">
        <f>IF(H745&gt;L745,(H745-L745)*INDEX('2018_commission_structure'!$A$11:$I$14,MATCH(Calculations!$E745,'2018_commission_structure'!$A$11:$A$14,0),MATCH(Calculations!S$1,'2018_commission_structure'!$A$11:$I$11,0)),0)</f>
        <v>0</v>
      </c>
      <c r="T745" s="7">
        <f t="shared" si="104"/>
        <v>82435.349999999991</v>
      </c>
      <c r="U745" s="7">
        <f t="shared" si="105"/>
        <v>201271.34999999998</v>
      </c>
      <c r="V745" s="7">
        <f>MIN(H745,I745)*INDEX('2018_commission_structure'!$A$5:$J$8,MATCH(Calculations!$E745,'2018_commission_structure'!$A$5:$A$8,0),MATCH(Calculations!V$1,'2018_commission_structure'!$A$5:$J$5,0))</f>
        <v>82435.349999999991</v>
      </c>
      <c r="W745" s="2">
        <f>IF($H745&gt;I745,MIN($H745-I745,J745-I745)*INDEX('2018_commission_structure'!$A$5:$J$8,MATCH(Calculations!$E745,'2018_commission_structure'!$A$5:$A$8,0),MATCH(Calculations!W$1,'2018_commission_structure'!$A$5:$J$5,0)),0)</f>
        <v>0</v>
      </c>
      <c r="X745" s="2">
        <f>IF($H745&gt;J745,MIN($H745-J745,K745-J745)*INDEX('2018_commission_structure'!$A$5:$J$8,MATCH(Calculations!$E745,'2018_commission_structure'!$A$5:$A$8,0),MATCH(Calculations!X$1,'2018_commission_structure'!$A$5:$J$5,0)),0)</f>
        <v>0</v>
      </c>
      <c r="Y745" s="2">
        <f>IF($H745&gt;K745,MIN($H745-K745,L745-K745)*INDEX('2018_commission_structure'!$A$5:$J$8,MATCH(Calculations!$E745,'2018_commission_structure'!$A$5:$A$8,0),MATCH(Calculations!Y$1,'2018_commission_structure'!$A$5:$J$5,0)),0)</f>
        <v>0</v>
      </c>
      <c r="Z745" s="2">
        <f xml:space="preserve"> IF(H745&gt;L745,(H745-L745)*INDEX('2018_commission_structure'!$A$11:$I$14,MATCH(Calculations!$E745,'2018_commission_structure'!$A$11:$A$14,0),MATCH(Calculations!Z$1,'2018_commission_structure'!$A$11:$I$11,0)),0)</f>
        <v>0</v>
      </c>
      <c r="AA745" s="7">
        <f t="shared" si="106"/>
        <v>82435.349999999991</v>
      </c>
      <c r="AB745" s="7">
        <f t="shared" si="107"/>
        <v>201271.34999999998</v>
      </c>
    </row>
    <row r="746" spans="1:28" x14ac:dyDescent="0.25">
      <c r="A746">
        <v>8254304106</v>
      </c>
      <c r="B746" t="s">
        <v>1739</v>
      </c>
      <c r="C746" t="s">
        <v>1740</v>
      </c>
      <c r="D746" t="str">
        <f>B746&amp;" "&amp;C746</f>
        <v>Mirabel Prigmore</v>
      </c>
      <c r="E746" t="s">
        <v>29</v>
      </c>
      <c r="F746">
        <v>71687</v>
      </c>
      <c r="G746">
        <f>COUNTIF(deals_closed!D:D,Calculations!A746)</f>
        <v>17</v>
      </c>
      <c r="H746" s="2">
        <f>SUMIF(deals_closed!D:D,Calculations!A746,deals_closed!C:C)</f>
        <v>551413</v>
      </c>
      <c r="I746" s="2">
        <f>VLOOKUP(E746,'2018_commission_structure'!$A$11:$I$14,9,FALSE)</f>
        <v>600000</v>
      </c>
      <c r="J746" s="2">
        <f t="shared" si="99"/>
        <v>750000</v>
      </c>
      <c r="K746" s="2">
        <f t="shared" si="100"/>
        <v>900000</v>
      </c>
      <c r="L746" s="2">
        <f t="shared" si="101"/>
        <v>1200000</v>
      </c>
      <c r="M746" s="6">
        <f t="shared" si="102"/>
        <v>0.91902166666666663</v>
      </c>
      <c r="N746" t="str">
        <f t="shared" si="103"/>
        <v>0-100%</v>
      </c>
      <c r="O746" s="7">
        <f>MIN(I746,H746)*INDEX('2018_commission_structure'!$A$11:$I$14,MATCH(Calculations!$E746,'2018_commission_structure'!$A$11:$A$14,0),MATCH(Calculations!O$1,'2018_commission_structure'!$A$11:$I$11,0))</f>
        <v>71683.69</v>
      </c>
      <c r="P746" s="7">
        <f>IF($H746&gt;I746,MIN($H746-I746,J746-I746)*INDEX('2018_commission_structure'!$A$11:$I$14,MATCH(Calculations!$E746,'2018_commission_structure'!$A$11:$A$14,0), MATCH(Calculations!P$1,'2018_commission_structure'!$A$11:$I$11,0)),0)</f>
        <v>0</v>
      </c>
      <c r="Q746" s="7">
        <f>IF($H746&gt;J746,MIN($H746-J746,K746-J746)*INDEX('2018_commission_structure'!$A$11:$I$14,MATCH(Calculations!$E746,'2018_commission_structure'!$A$11:$A$14,0), MATCH(Calculations!Q$1,'2018_commission_structure'!$A$11:$I$11,0)),0)</f>
        <v>0</v>
      </c>
      <c r="R746" s="7">
        <f>IF($H746&gt;K746,MIN($H746-K746,L746-K746)*INDEX('2018_commission_structure'!$A$11:$I$14,MATCH(Calculations!$E746,'2018_commission_structure'!$A$11:$A$14,0), MATCH(Calculations!R$1,'2018_commission_structure'!$A$11:$I$11,0)),0)</f>
        <v>0</v>
      </c>
      <c r="S746" s="7">
        <f>IF(H746&gt;L746,(H746-L746)*INDEX('2018_commission_structure'!$A$11:$I$14,MATCH(Calculations!$E746,'2018_commission_structure'!$A$11:$A$14,0),MATCH(Calculations!S$1,'2018_commission_structure'!$A$11:$I$11,0)),0)</f>
        <v>0</v>
      </c>
      <c r="T746" s="7">
        <f t="shared" si="104"/>
        <v>71683.69</v>
      </c>
      <c r="U746" s="7">
        <f t="shared" si="105"/>
        <v>143370.69</v>
      </c>
      <c r="V746" s="7">
        <f>MIN(H746,I746)*INDEX('2018_commission_structure'!$A$5:$J$8,MATCH(Calculations!$E746,'2018_commission_structure'!$A$5:$A$8,0),MATCH(Calculations!V$1,'2018_commission_structure'!$A$5:$J$5,0))</f>
        <v>82711.95</v>
      </c>
      <c r="W746" s="2">
        <f>IF($H746&gt;I746,MIN($H746-I746,J746-I746)*INDEX('2018_commission_structure'!$A$5:$J$8,MATCH(Calculations!$E746,'2018_commission_structure'!$A$5:$A$8,0),MATCH(Calculations!W$1,'2018_commission_structure'!$A$5:$J$5,0)),0)</f>
        <v>0</v>
      </c>
      <c r="X746" s="2">
        <f>IF($H746&gt;J746,MIN($H746-J746,K746-J746)*INDEX('2018_commission_structure'!$A$5:$J$8,MATCH(Calculations!$E746,'2018_commission_structure'!$A$5:$A$8,0),MATCH(Calculations!X$1,'2018_commission_structure'!$A$5:$J$5,0)),0)</f>
        <v>0</v>
      </c>
      <c r="Y746" s="2">
        <f>IF($H746&gt;K746,MIN($H746-K746,L746-K746)*INDEX('2018_commission_structure'!$A$5:$J$8,MATCH(Calculations!$E746,'2018_commission_structure'!$A$5:$A$8,0),MATCH(Calculations!Y$1,'2018_commission_structure'!$A$5:$J$5,0)),0)</f>
        <v>0</v>
      </c>
      <c r="Z746" s="2">
        <f xml:space="preserve"> IF(H746&gt;L746,(H746-L746)*INDEX('2018_commission_structure'!$A$11:$I$14,MATCH(Calculations!$E746,'2018_commission_structure'!$A$11:$A$14,0),MATCH(Calculations!Z$1,'2018_commission_structure'!$A$11:$I$11,0)),0)</f>
        <v>0</v>
      </c>
      <c r="AA746" s="7">
        <f t="shared" si="106"/>
        <v>82711.95</v>
      </c>
      <c r="AB746" s="7">
        <f t="shared" si="107"/>
        <v>154398.95000000001</v>
      </c>
    </row>
    <row r="747" spans="1:28" x14ac:dyDescent="0.25">
      <c r="A747">
        <v>6769297310</v>
      </c>
      <c r="B747" t="s">
        <v>1626</v>
      </c>
      <c r="C747" t="s">
        <v>1627</v>
      </c>
      <c r="D747" t="str">
        <f>B747&amp;" "&amp;C747</f>
        <v>Pavlov Pucknell</v>
      </c>
      <c r="E747" t="s">
        <v>10</v>
      </c>
      <c r="F747">
        <v>83667</v>
      </c>
      <c r="G747">
        <f>COUNTIF(deals_closed!D:D,Calculations!A747)</f>
        <v>23</v>
      </c>
      <c r="H747" s="2">
        <f>SUMIF(deals_closed!D:D,Calculations!A747,deals_closed!C:C)</f>
        <v>743886</v>
      </c>
      <c r="I747" s="2">
        <f>VLOOKUP(E747,'2018_commission_structure'!$A$11:$I$14,9,FALSE)</f>
        <v>750000</v>
      </c>
      <c r="J747" s="2">
        <f t="shared" si="99"/>
        <v>937500</v>
      </c>
      <c r="K747" s="2">
        <f t="shared" si="100"/>
        <v>1125000</v>
      </c>
      <c r="L747" s="2">
        <f t="shared" si="101"/>
        <v>1500000</v>
      </c>
      <c r="M747" s="6">
        <f t="shared" si="102"/>
        <v>0.99184799999999995</v>
      </c>
      <c r="N747" t="str">
        <f t="shared" si="103"/>
        <v>0-100%</v>
      </c>
      <c r="O747" s="7">
        <f>MIN(I747,H747)*INDEX('2018_commission_structure'!$A$11:$I$14,MATCH(Calculations!$E747,'2018_commission_structure'!$A$11:$A$14,0),MATCH(Calculations!O$1,'2018_commission_structure'!$A$11:$I$11,0))</f>
        <v>111582.9</v>
      </c>
      <c r="P747" s="7">
        <f>IF($H747&gt;I747,MIN($H747-I747,J747-I747)*INDEX('2018_commission_structure'!$A$11:$I$14,MATCH(Calculations!$E747,'2018_commission_structure'!$A$11:$A$14,0), MATCH(Calculations!P$1,'2018_commission_structure'!$A$11:$I$11,0)),0)</f>
        <v>0</v>
      </c>
      <c r="Q747" s="7">
        <f>IF($H747&gt;J747,MIN($H747-J747,K747-J747)*INDEX('2018_commission_structure'!$A$11:$I$14,MATCH(Calculations!$E747,'2018_commission_structure'!$A$11:$A$14,0), MATCH(Calculations!Q$1,'2018_commission_structure'!$A$11:$I$11,0)),0)</f>
        <v>0</v>
      </c>
      <c r="R747" s="7">
        <f>IF($H747&gt;K747,MIN($H747-K747,L747-K747)*INDEX('2018_commission_structure'!$A$11:$I$14,MATCH(Calculations!$E747,'2018_commission_structure'!$A$11:$A$14,0), MATCH(Calculations!R$1,'2018_commission_structure'!$A$11:$I$11,0)),0)</f>
        <v>0</v>
      </c>
      <c r="S747" s="7">
        <f>IF(H747&gt;L747,(H747-L747)*INDEX('2018_commission_structure'!$A$11:$I$14,MATCH(Calculations!$E747,'2018_commission_structure'!$A$11:$A$14,0),MATCH(Calculations!S$1,'2018_commission_structure'!$A$11:$I$11,0)),0)</f>
        <v>0</v>
      </c>
      <c r="T747" s="7">
        <f t="shared" si="104"/>
        <v>111582.9</v>
      </c>
      <c r="U747" s="7">
        <f t="shared" si="105"/>
        <v>195249.9</v>
      </c>
      <c r="V747" s="7">
        <f>MIN(H747,I747)*INDEX('2018_commission_structure'!$A$5:$J$8,MATCH(Calculations!$E747,'2018_commission_structure'!$A$5:$A$8,0),MATCH(Calculations!V$1,'2018_commission_structure'!$A$5:$J$5,0))</f>
        <v>111582.9</v>
      </c>
      <c r="W747" s="2">
        <f>IF($H747&gt;I747,MIN($H747-I747,J747-I747)*INDEX('2018_commission_structure'!$A$5:$J$8,MATCH(Calculations!$E747,'2018_commission_structure'!$A$5:$A$8,0),MATCH(Calculations!W$1,'2018_commission_structure'!$A$5:$J$5,0)),0)</f>
        <v>0</v>
      </c>
      <c r="X747" s="2">
        <f>IF($H747&gt;J747,MIN($H747-J747,K747-J747)*INDEX('2018_commission_structure'!$A$5:$J$8,MATCH(Calculations!$E747,'2018_commission_structure'!$A$5:$A$8,0),MATCH(Calculations!X$1,'2018_commission_structure'!$A$5:$J$5,0)),0)</f>
        <v>0</v>
      </c>
      <c r="Y747" s="2">
        <f>IF($H747&gt;K747,MIN($H747-K747,L747-K747)*INDEX('2018_commission_structure'!$A$5:$J$8,MATCH(Calculations!$E747,'2018_commission_structure'!$A$5:$A$8,0),MATCH(Calculations!Y$1,'2018_commission_structure'!$A$5:$J$5,0)),0)</f>
        <v>0</v>
      </c>
      <c r="Z747" s="2">
        <f xml:space="preserve"> IF(H747&gt;L747,(H747-L747)*INDEX('2018_commission_structure'!$A$11:$I$14,MATCH(Calculations!$E747,'2018_commission_structure'!$A$11:$A$14,0),MATCH(Calculations!Z$1,'2018_commission_structure'!$A$11:$I$11,0)),0)</f>
        <v>0</v>
      </c>
      <c r="AA747" s="7">
        <f t="shared" si="106"/>
        <v>111582.9</v>
      </c>
      <c r="AB747" s="7">
        <f t="shared" si="107"/>
        <v>195249.9</v>
      </c>
    </row>
    <row r="748" spans="1:28" x14ac:dyDescent="0.25">
      <c r="A748">
        <v>4219825649</v>
      </c>
      <c r="B748" t="s">
        <v>590</v>
      </c>
      <c r="C748" t="s">
        <v>591</v>
      </c>
      <c r="D748" t="str">
        <f>B748&amp;" "&amp;C748</f>
        <v>Olenka Puddicombe</v>
      </c>
      <c r="E748" t="s">
        <v>10</v>
      </c>
      <c r="F748">
        <v>102823</v>
      </c>
      <c r="G748">
        <f>COUNTIF(deals_closed!D:D,Calculations!A748)</f>
        <v>21</v>
      </c>
      <c r="H748" s="2">
        <f>SUMIF(deals_closed!D:D,Calculations!A748,deals_closed!C:C)</f>
        <v>621231</v>
      </c>
      <c r="I748" s="2">
        <f>VLOOKUP(E748,'2018_commission_structure'!$A$11:$I$14,9,FALSE)</f>
        <v>750000</v>
      </c>
      <c r="J748" s="2">
        <f t="shared" si="99"/>
        <v>937500</v>
      </c>
      <c r="K748" s="2">
        <f t="shared" si="100"/>
        <v>1125000</v>
      </c>
      <c r="L748" s="2">
        <f t="shared" si="101"/>
        <v>1500000</v>
      </c>
      <c r="M748" s="6">
        <f t="shared" si="102"/>
        <v>0.82830800000000004</v>
      </c>
      <c r="N748" t="str">
        <f t="shared" si="103"/>
        <v>0-100%</v>
      </c>
      <c r="O748" s="7">
        <f>MIN(I748,H748)*INDEX('2018_commission_structure'!$A$11:$I$14,MATCH(Calculations!$E748,'2018_commission_structure'!$A$11:$A$14,0),MATCH(Calculations!O$1,'2018_commission_structure'!$A$11:$I$11,0))</f>
        <v>93184.65</v>
      </c>
      <c r="P748" s="7">
        <f>IF($H748&gt;I748,MIN($H748-I748,J748-I748)*INDEX('2018_commission_structure'!$A$11:$I$14,MATCH(Calculations!$E748,'2018_commission_structure'!$A$11:$A$14,0), MATCH(Calculations!P$1,'2018_commission_structure'!$A$11:$I$11,0)),0)</f>
        <v>0</v>
      </c>
      <c r="Q748" s="7">
        <f>IF($H748&gt;J748,MIN($H748-J748,K748-J748)*INDEX('2018_commission_structure'!$A$11:$I$14,MATCH(Calculations!$E748,'2018_commission_structure'!$A$11:$A$14,0), MATCH(Calculations!Q$1,'2018_commission_structure'!$A$11:$I$11,0)),0)</f>
        <v>0</v>
      </c>
      <c r="R748" s="7">
        <f>IF($H748&gt;K748,MIN($H748-K748,L748-K748)*INDEX('2018_commission_structure'!$A$11:$I$14,MATCH(Calculations!$E748,'2018_commission_structure'!$A$11:$A$14,0), MATCH(Calculations!R$1,'2018_commission_structure'!$A$11:$I$11,0)),0)</f>
        <v>0</v>
      </c>
      <c r="S748" s="7">
        <f>IF(H748&gt;L748,(H748-L748)*INDEX('2018_commission_structure'!$A$11:$I$14,MATCH(Calculations!$E748,'2018_commission_structure'!$A$11:$A$14,0),MATCH(Calculations!S$1,'2018_commission_structure'!$A$11:$I$11,0)),0)</f>
        <v>0</v>
      </c>
      <c r="T748" s="7">
        <f t="shared" si="104"/>
        <v>93184.65</v>
      </c>
      <c r="U748" s="7">
        <f t="shared" si="105"/>
        <v>196007.65</v>
      </c>
      <c r="V748" s="7">
        <f>MIN(H748,I748)*INDEX('2018_commission_structure'!$A$5:$J$8,MATCH(Calculations!$E748,'2018_commission_structure'!$A$5:$A$8,0),MATCH(Calculations!V$1,'2018_commission_structure'!$A$5:$J$5,0))</f>
        <v>93184.65</v>
      </c>
      <c r="W748" s="2">
        <f>IF($H748&gt;I748,MIN($H748-I748,J748-I748)*INDEX('2018_commission_structure'!$A$5:$J$8,MATCH(Calculations!$E748,'2018_commission_structure'!$A$5:$A$8,0),MATCH(Calculations!W$1,'2018_commission_structure'!$A$5:$J$5,0)),0)</f>
        <v>0</v>
      </c>
      <c r="X748" s="2">
        <f>IF($H748&gt;J748,MIN($H748-J748,K748-J748)*INDEX('2018_commission_structure'!$A$5:$J$8,MATCH(Calculations!$E748,'2018_commission_structure'!$A$5:$A$8,0),MATCH(Calculations!X$1,'2018_commission_structure'!$A$5:$J$5,0)),0)</f>
        <v>0</v>
      </c>
      <c r="Y748" s="2">
        <f>IF($H748&gt;K748,MIN($H748-K748,L748-K748)*INDEX('2018_commission_structure'!$A$5:$J$8,MATCH(Calculations!$E748,'2018_commission_structure'!$A$5:$A$8,0),MATCH(Calculations!Y$1,'2018_commission_structure'!$A$5:$J$5,0)),0)</f>
        <v>0</v>
      </c>
      <c r="Z748" s="2">
        <f xml:space="preserve"> IF(H748&gt;L748,(H748-L748)*INDEX('2018_commission_structure'!$A$11:$I$14,MATCH(Calculations!$E748,'2018_commission_structure'!$A$11:$A$14,0),MATCH(Calculations!Z$1,'2018_commission_structure'!$A$11:$I$11,0)),0)</f>
        <v>0</v>
      </c>
      <c r="AA748" s="7">
        <f t="shared" si="106"/>
        <v>93184.65</v>
      </c>
      <c r="AB748" s="7">
        <f t="shared" si="107"/>
        <v>196007.65</v>
      </c>
    </row>
    <row r="749" spans="1:28" x14ac:dyDescent="0.25">
      <c r="A749">
        <v>8017115954</v>
      </c>
      <c r="B749" t="s">
        <v>664</v>
      </c>
      <c r="C749" t="s">
        <v>665</v>
      </c>
      <c r="D749" t="str">
        <f>B749&amp;" "&amp;C749</f>
        <v>Nanine Pummell</v>
      </c>
      <c r="E749" t="s">
        <v>29</v>
      </c>
      <c r="F749">
        <v>53058</v>
      </c>
      <c r="G749">
        <f>COUNTIF(deals_closed!D:D,Calculations!A749)</f>
        <v>21</v>
      </c>
      <c r="H749" s="2">
        <f>SUMIF(deals_closed!D:D,Calculations!A749,deals_closed!C:C)</f>
        <v>853386</v>
      </c>
      <c r="I749" s="2">
        <f>VLOOKUP(E749,'2018_commission_structure'!$A$11:$I$14,9,FALSE)</f>
        <v>600000</v>
      </c>
      <c r="J749" s="2">
        <f t="shared" si="99"/>
        <v>750000</v>
      </c>
      <c r="K749" s="2">
        <f t="shared" si="100"/>
        <v>900000</v>
      </c>
      <c r="L749" s="2">
        <f t="shared" si="101"/>
        <v>1200000</v>
      </c>
      <c r="M749" s="6">
        <f t="shared" si="102"/>
        <v>1.42231</v>
      </c>
      <c r="N749" t="str">
        <f t="shared" si="103"/>
        <v>125-150%</v>
      </c>
      <c r="O749" s="7">
        <f>MIN(I749,H749)*INDEX('2018_commission_structure'!$A$11:$I$14,MATCH(Calculations!$E749,'2018_commission_structure'!$A$11:$A$14,0),MATCH(Calculations!O$1,'2018_commission_structure'!$A$11:$I$11,0))</f>
        <v>78000</v>
      </c>
      <c r="P749" s="7">
        <f>IF($H749&gt;I749,MIN($H749-I749,J749-I749)*INDEX('2018_commission_structure'!$A$11:$I$14,MATCH(Calculations!$E749,'2018_commission_structure'!$A$11:$A$14,0), MATCH(Calculations!P$1,'2018_commission_structure'!$A$11:$I$11,0)),0)</f>
        <v>25500.000000000004</v>
      </c>
      <c r="Q749" s="7">
        <f>IF($H749&gt;J749,MIN($H749-J749,K749-J749)*INDEX('2018_commission_structure'!$A$11:$I$14,MATCH(Calculations!$E749,'2018_commission_structure'!$A$11:$A$14,0), MATCH(Calculations!Q$1,'2018_commission_structure'!$A$11:$I$11,0)),0)</f>
        <v>21711.059999999998</v>
      </c>
      <c r="R749" s="7">
        <f>IF($H749&gt;K749,MIN($H749-K749,L749-K749)*INDEX('2018_commission_structure'!$A$11:$I$14,MATCH(Calculations!$E749,'2018_commission_structure'!$A$11:$A$14,0), MATCH(Calculations!R$1,'2018_commission_structure'!$A$11:$I$11,0)),0)</f>
        <v>0</v>
      </c>
      <c r="S749" s="7">
        <f>IF(H749&gt;L749,(H749-L749)*INDEX('2018_commission_structure'!$A$11:$I$14,MATCH(Calculations!$E749,'2018_commission_structure'!$A$11:$A$14,0),MATCH(Calculations!S$1,'2018_commission_structure'!$A$11:$I$11,0)),0)</f>
        <v>0</v>
      </c>
      <c r="T749" s="7">
        <f t="shared" si="104"/>
        <v>125211.06</v>
      </c>
      <c r="U749" s="7">
        <f t="shared" si="105"/>
        <v>178269.06</v>
      </c>
      <c r="V749" s="7">
        <f>MIN(H749,I749)*INDEX('2018_commission_structure'!$A$5:$J$8,MATCH(Calculations!$E749,'2018_commission_structure'!$A$5:$A$8,0),MATCH(Calculations!V$1,'2018_commission_structure'!$A$5:$J$5,0))</f>
        <v>90000</v>
      </c>
      <c r="W749" s="2">
        <f>IF($H749&gt;I749,MIN($H749-I749,J749-I749)*INDEX('2018_commission_structure'!$A$5:$J$8,MATCH(Calculations!$E749,'2018_commission_structure'!$A$5:$A$8,0),MATCH(Calculations!W$1,'2018_commission_structure'!$A$5:$J$5,0)),0)</f>
        <v>27000</v>
      </c>
      <c r="X749" s="2">
        <f>IF($H749&gt;J749,MIN($H749-J749,K749-J749)*INDEX('2018_commission_structure'!$A$5:$J$8,MATCH(Calculations!$E749,'2018_commission_structure'!$A$5:$A$8,0),MATCH(Calculations!X$1,'2018_commission_structure'!$A$5:$J$5,0)),0)</f>
        <v>25846.5</v>
      </c>
      <c r="Y749" s="2">
        <f>IF($H749&gt;K749,MIN($H749-K749,L749-K749)*INDEX('2018_commission_structure'!$A$5:$J$8,MATCH(Calculations!$E749,'2018_commission_structure'!$A$5:$A$8,0),MATCH(Calculations!Y$1,'2018_commission_structure'!$A$5:$J$5,0)),0)</f>
        <v>0</v>
      </c>
      <c r="Z749" s="2">
        <f xml:space="preserve"> IF(H749&gt;L749,(H749-L749)*INDEX('2018_commission_structure'!$A$11:$I$14,MATCH(Calculations!$E749,'2018_commission_structure'!$A$11:$A$14,0),MATCH(Calculations!Z$1,'2018_commission_structure'!$A$11:$I$11,0)),0)</f>
        <v>0</v>
      </c>
      <c r="AA749" s="7">
        <f t="shared" si="106"/>
        <v>142846.5</v>
      </c>
      <c r="AB749" s="7">
        <f t="shared" si="107"/>
        <v>195904.5</v>
      </c>
    </row>
    <row r="750" spans="1:28" x14ac:dyDescent="0.25">
      <c r="A750">
        <v>4638232353</v>
      </c>
      <c r="B750" t="s">
        <v>1289</v>
      </c>
      <c r="C750" t="s">
        <v>1290</v>
      </c>
      <c r="D750" t="str">
        <f>B750&amp;" "&amp;C750</f>
        <v>Myrilla Purvey</v>
      </c>
      <c r="E750" t="s">
        <v>29</v>
      </c>
      <c r="F750">
        <v>66990</v>
      </c>
      <c r="G750">
        <f>COUNTIF(deals_closed!D:D,Calculations!A750)</f>
        <v>24</v>
      </c>
      <c r="H750" s="2">
        <f>SUMIF(deals_closed!D:D,Calculations!A750,deals_closed!C:C)</f>
        <v>800249</v>
      </c>
      <c r="I750" s="2">
        <f>VLOOKUP(E750,'2018_commission_structure'!$A$11:$I$14,9,FALSE)</f>
        <v>600000</v>
      </c>
      <c r="J750" s="2">
        <f t="shared" si="99"/>
        <v>750000</v>
      </c>
      <c r="K750" s="2">
        <f t="shared" si="100"/>
        <v>900000</v>
      </c>
      <c r="L750" s="2">
        <f t="shared" si="101"/>
        <v>1200000</v>
      </c>
      <c r="M750" s="6">
        <f t="shared" si="102"/>
        <v>1.3337483333333333</v>
      </c>
      <c r="N750" t="str">
        <f t="shared" si="103"/>
        <v>125-150%</v>
      </c>
      <c r="O750" s="7">
        <f>MIN(I750,H750)*INDEX('2018_commission_structure'!$A$11:$I$14,MATCH(Calculations!$E750,'2018_commission_structure'!$A$11:$A$14,0),MATCH(Calculations!O$1,'2018_commission_structure'!$A$11:$I$11,0))</f>
        <v>78000</v>
      </c>
      <c r="P750" s="7">
        <f>IF($H750&gt;I750,MIN($H750-I750,J750-I750)*INDEX('2018_commission_structure'!$A$11:$I$14,MATCH(Calculations!$E750,'2018_commission_structure'!$A$11:$A$14,0), MATCH(Calculations!P$1,'2018_commission_structure'!$A$11:$I$11,0)),0)</f>
        <v>25500.000000000004</v>
      </c>
      <c r="Q750" s="7">
        <f>IF($H750&gt;J750,MIN($H750-J750,K750-J750)*INDEX('2018_commission_structure'!$A$11:$I$14,MATCH(Calculations!$E750,'2018_commission_structure'!$A$11:$A$14,0), MATCH(Calculations!Q$1,'2018_commission_structure'!$A$11:$I$11,0)),0)</f>
        <v>10552.289999999999</v>
      </c>
      <c r="R750" s="7">
        <f>IF($H750&gt;K750,MIN($H750-K750,L750-K750)*INDEX('2018_commission_structure'!$A$11:$I$14,MATCH(Calculations!$E750,'2018_commission_structure'!$A$11:$A$14,0), MATCH(Calculations!R$1,'2018_commission_structure'!$A$11:$I$11,0)),0)</f>
        <v>0</v>
      </c>
      <c r="S750" s="7">
        <f>IF(H750&gt;L750,(H750-L750)*INDEX('2018_commission_structure'!$A$11:$I$14,MATCH(Calculations!$E750,'2018_commission_structure'!$A$11:$A$14,0),MATCH(Calculations!S$1,'2018_commission_structure'!$A$11:$I$11,0)),0)</f>
        <v>0</v>
      </c>
      <c r="T750" s="7">
        <f t="shared" si="104"/>
        <v>114052.29</v>
      </c>
      <c r="U750" s="7">
        <f t="shared" si="105"/>
        <v>181042.28999999998</v>
      </c>
      <c r="V750" s="7">
        <f>MIN(H750,I750)*INDEX('2018_commission_structure'!$A$5:$J$8,MATCH(Calculations!$E750,'2018_commission_structure'!$A$5:$A$8,0),MATCH(Calculations!V$1,'2018_commission_structure'!$A$5:$J$5,0))</f>
        <v>90000</v>
      </c>
      <c r="W750" s="2">
        <f>IF($H750&gt;I750,MIN($H750-I750,J750-I750)*INDEX('2018_commission_structure'!$A$5:$J$8,MATCH(Calculations!$E750,'2018_commission_structure'!$A$5:$A$8,0),MATCH(Calculations!W$1,'2018_commission_structure'!$A$5:$J$5,0)),0)</f>
        <v>27000</v>
      </c>
      <c r="X750" s="2">
        <f>IF($H750&gt;J750,MIN($H750-J750,K750-J750)*INDEX('2018_commission_structure'!$A$5:$J$8,MATCH(Calculations!$E750,'2018_commission_structure'!$A$5:$A$8,0),MATCH(Calculations!X$1,'2018_commission_structure'!$A$5:$J$5,0)),0)</f>
        <v>12562.25</v>
      </c>
      <c r="Y750" s="2">
        <f>IF($H750&gt;K750,MIN($H750-K750,L750-K750)*INDEX('2018_commission_structure'!$A$5:$J$8,MATCH(Calculations!$E750,'2018_commission_structure'!$A$5:$A$8,0),MATCH(Calculations!Y$1,'2018_commission_structure'!$A$5:$J$5,0)),0)</f>
        <v>0</v>
      </c>
      <c r="Z750" s="2">
        <f xml:space="preserve"> IF(H750&gt;L750,(H750-L750)*INDEX('2018_commission_structure'!$A$11:$I$14,MATCH(Calculations!$E750,'2018_commission_structure'!$A$11:$A$14,0),MATCH(Calculations!Z$1,'2018_commission_structure'!$A$11:$I$11,0)),0)</f>
        <v>0</v>
      </c>
      <c r="AA750" s="7">
        <f t="shared" si="106"/>
        <v>129562.25</v>
      </c>
      <c r="AB750" s="7">
        <f t="shared" si="107"/>
        <v>196552.25</v>
      </c>
    </row>
    <row r="751" spans="1:28" x14ac:dyDescent="0.25">
      <c r="A751">
        <v>589071254</v>
      </c>
      <c r="B751" t="s">
        <v>236</v>
      </c>
      <c r="C751" t="s">
        <v>237</v>
      </c>
      <c r="D751" t="str">
        <f>B751&amp;" "&amp;C751</f>
        <v>Alleen Pymar</v>
      </c>
      <c r="E751" t="s">
        <v>10</v>
      </c>
      <c r="F751">
        <v>109778</v>
      </c>
      <c r="G751">
        <f>COUNTIF(deals_closed!D:D,Calculations!A751)</f>
        <v>16</v>
      </c>
      <c r="H751" s="2">
        <f>SUMIF(deals_closed!D:D,Calculations!A751,deals_closed!C:C)</f>
        <v>616018</v>
      </c>
      <c r="I751" s="2">
        <f>VLOOKUP(E751,'2018_commission_structure'!$A$11:$I$14,9,FALSE)</f>
        <v>750000</v>
      </c>
      <c r="J751" s="2">
        <f t="shared" si="99"/>
        <v>937500</v>
      </c>
      <c r="K751" s="2">
        <f t="shared" si="100"/>
        <v>1125000</v>
      </c>
      <c r="L751" s="2">
        <f t="shared" si="101"/>
        <v>1500000</v>
      </c>
      <c r="M751" s="6">
        <f t="shared" si="102"/>
        <v>0.82135733333333338</v>
      </c>
      <c r="N751" t="str">
        <f t="shared" si="103"/>
        <v>0-100%</v>
      </c>
      <c r="O751" s="7">
        <f>MIN(I751,H751)*INDEX('2018_commission_structure'!$A$11:$I$14,MATCH(Calculations!$E751,'2018_commission_structure'!$A$11:$A$14,0),MATCH(Calculations!O$1,'2018_commission_structure'!$A$11:$I$11,0))</f>
        <v>92402.7</v>
      </c>
      <c r="P751" s="7">
        <f>IF($H751&gt;I751,MIN($H751-I751,J751-I751)*INDEX('2018_commission_structure'!$A$11:$I$14,MATCH(Calculations!$E751,'2018_commission_structure'!$A$11:$A$14,0), MATCH(Calculations!P$1,'2018_commission_structure'!$A$11:$I$11,0)),0)</f>
        <v>0</v>
      </c>
      <c r="Q751" s="7">
        <f>IF($H751&gt;J751,MIN($H751-J751,K751-J751)*INDEX('2018_commission_structure'!$A$11:$I$14,MATCH(Calculations!$E751,'2018_commission_structure'!$A$11:$A$14,0), MATCH(Calculations!Q$1,'2018_commission_structure'!$A$11:$I$11,0)),0)</f>
        <v>0</v>
      </c>
      <c r="R751" s="7">
        <f>IF($H751&gt;K751,MIN($H751-K751,L751-K751)*INDEX('2018_commission_structure'!$A$11:$I$14,MATCH(Calculations!$E751,'2018_commission_structure'!$A$11:$A$14,0), MATCH(Calculations!R$1,'2018_commission_structure'!$A$11:$I$11,0)),0)</f>
        <v>0</v>
      </c>
      <c r="S751" s="7">
        <f>IF(H751&gt;L751,(H751-L751)*INDEX('2018_commission_structure'!$A$11:$I$14,MATCH(Calculations!$E751,'2018_commission_structure'!$A$11:$A$14,0),MATCH(Calculations!S$1,'2018_commission_structure'!$A$11:$I$11,0)),0)</f>
        <v>0</v>
      </c>
      <c r="T751" s="7">
        <f t="shared" si="104"/>
        <v>92402.7</v>
      </c>
      <c r="U751" s="7">
        <f t="shared" si="105"/>
        <v>202180.7</v>
      </c>
      <c r="V751" s="7">
        <f>MIN(H751,I751)*INDEX('2018_commission_structure'!$A$5:$J$8,MATCH(Calculations!$E751,'2018_commission_structure'!$A$5:$A$8,0),MATCH(Calculations!V$1,'2018_commission_structure'!$A$5:$J$5,0))</f>
        <v>92402.7</v>
      </c>
      <c r="W751" s="2">
        <f>IF($H751&gt;I751,MIN($H751-I751,J751-I751)*INDEX('2018_commission_structure'!$A$5:$J$8,MATCH(Calculations!$E751,'2018_commission_structure'!$A$5:$A$8,0),MATCH(Calculations!W$1,'2018_commission_structure'!$A$5:$J$5,0)),0)</f>
        <v>0</v>
      </c>
      <c r="X751" s="2">
        <f>IF($H751&gt;J751,MIN($H751-J751,K751-J751)*INDEX('2018_commission_structure'!$A$5:$J$8,MATCH(Calculations!$E751,'2018_commission_structure'!$A$5:$A$8,0),MATCH(Calculations!X$1,'2018_commission_structure'!$A$5:$J$5,0)),0)</f>
        <v>0</v>
      </c>
      <c r="Y751" s="2">
        <f>IF($H751&gt;K751,MIN($H751-K751,L751-K751)*INDEX('2018_commission_structure'!$A$5:$J$8,MATCH(Calculations!$E751,'2018_commission_structure'!$A$5:$A$8,0),MATCH(Calculations!Y$1,'2018_commission_structure'!$A$5:$J$5,0)),0)</f>
        <v>0</v>
      </c>
      <c r="Z751" s="2">
        <f xml:space="preserve"> IF(H751&gt;L751,(H751-L751)*INDEX('2018_commission_structure'!$A$11:$I$14,MATCH(Calculations!$E751,'2018_commission_structure'!$A$11:$A$14,0),MATCH(Calculations!Z$1,'2018_commission_structure'!$A$11:$I$11,0)),0)</f>
        <v>0</v>
      </c>
      <c r="AA751" s="7">
        <f t="shared" si="106"/>
        <v>92402.7</v>
      </c>
      <c r="AB751" s="7">
        <f t="shared" si="107"/>
        <v>202180.7</v>
      </c>
    </row>
    <row r="752" spans="1:28" x14ac:dyDescent="0.25">
      <c r="A752">
        <v>5353923685</v>
      </c>
      <c r="B752" t="s">
        <v>391</v>
      </c>
      <c r="C752" t="s">
        <v>392</v>
      </c>
      <c r="D752" t="str">
        <f>B752&amp;" "&amp;C752</f>
        <v>Carmelia Quainton</v>
      </c>
      <c r="E752" t="s">
        <v>10</v>
      </c>
      <c r="F752">
        <v>80043</v>
      </c>
      <c r="G752">
        <f>COUNTIF(deals_closed!D:D,Calculations!A752)</f>
        <v>22</v>
      </c>
      <c r="H752" s="2">
        <f>SUMIF(deals_closed!D:D,Calculations!A752,deals_closed!C:C)</f>
        <v>776116</v>
      </c>
      <c r="I752" s="2">
        <f>VLOOKUP(E752,'2018_commission_structure'!$A$11:$I$14,9,FALSE)</f>
        <v>750000</v>
      </c>
      <c r="J752" s="2">
        <f t="shared" si="99"/>
        <v>937500</v>
      </c>
      <c r="K752" s="2">
        <f t="shared" si="100"/>
        <v>1125000</v>
      </c>
      <c r="L752" s="2">
        <f t="shared" si="101"/>
        <v>1500000</v>
      </c>
      <c r="M752" s="6">
        <f t="shared" si="102"/>
        <v>1.0348213333333334</v>
      </c>
      <c r="N752" t="str">
        <f t="shared" si="103"/>
        <v>100-125%</v>
      </c>
      <c r="O752" s="7">
        <f>MIN(I752,H752)*INDEX('2018_commission_structure'!$A$11:$I$14,MATCH(Calculations!$E752,'2018_commission_structure'!$A$11:$A$14,0),MATCH(Calculations!O$1,'2018_commission_structure'!$A$11:$I$11,0))</f>
        <v>112500</v>
      </c>
      <c r="P752" s="7">
        <f>IF($H752&gt;I752,MIN($H752-I752,J752-I752)*INDEX('2018_commission_structure'!$A$11:$I$14,MATCH(Calculations!$E752,'2018_commission_structure'!$A$11:$A$14,0), MATCH(Calculations!P$1,'2018_commission_structure'!$A$11:$I$11,0)),0)</f>
        <v>4962.04</v>
      </c>
      <c r="Q752" s="7">
        <f>IF($H752&gt;J752,MIN($H752-J752,K752-J752)*INDEX('2018_commission_structure'!$A$11:$I$14,MATCH(Calculations!$E752,'2018_commission_structure'!$A$11:$A$14,0), MATCH(Calculations!Q$1,'2018_commission_structure'!$A$11:$I$11,0)),0)</f>
        <v>0</v>
      </c>
      <c r="R752" s="7">
        <f>IF($H752&gt;K752,MIN($H752-K752,L752-K752)*INDEX('2018_commission_structure'!$A$11:$I$14,MATCH(Calculations!$E752,'2018_commission_structure'!$A$11:$A$14,0), MATCH(Calculations!R$1,'2018_commission_structure'!$A$11:$I$11,0)),0)</f>
        <v>0</v>
      </c>
      <c r="S752" s="7">
        <f>IF(H752&gt;L752,(H752-L752)*INDEX('2018_commission_structure'!$A$11:$I$14,MATCH(Calculations!$E752,'2018_commission_structure'!$A$11:$A$14,0),MATCH(Calculations!S$1,'2018_commission_structure'!$A$11:$I$11,0)),0)</f>
        <v>0</v>
      </c>
      <c r="T752" s="7">
        <f t="shared" si="104"/>
        <v>117462.04</v>
      </c>
      <c r="U752" s="7">
        <f t="shared" si="105"/>
        <v>197505.03999999998</v>
      </c>
      <c r="V752" s="7">
        <f>MIN(H752,I752)*INDEX('2018_commission_structure'!$A$5:$J$8,MATCH(Calculations!$E752,'2018_commission_structure'!$A$5:$A$8,0),MATCH(Calculations!V$1,'2018_commission_structure'!$A$5:$J$5,0))</f>
        <v>112500</v>
      </c>
      <c r="W752" s="2">
        <f>IF($H752&gt;I752,MIN($H752-I752,J752-I752)*INDEX('2018_commission_structure'!$A$5:$J$8,MATCH(Calculations!$E752,'2018_commission_structure'!$A$5:$A$8,0),MATCH(Calculations!W$1,'2018_commission_structure'!$A$5:$J$5,0)),0)</f>
        <v>5745.52</v>
      </c>
      <c r="X752" s="2">
        <f>IF($H752&gt;J752,MIN($H752-J752,K752-J752)*INDEX('2018_commission_structure'!$A$5:$J$8,MATCH(Calculations!$E752,'2018_commission_structure'!$A$5:$A$8,0),MATCH(Calculations!X$1,'2018_commission_structure'!$A$5:$J$5,0)),0)</f>
        <v>0</v>
      </c>
      <c r="Y752" s="2">
        <f>IF($H752&gt;K752,MIN($H752-K752,L752-K752)*INDEX('2018_commission_structure'!$A$5:$J$8,MATCH(Calculations!$E752,'2018_commission_structure'!$A$5:$A$8,0),MATCH(Calculations!Y$1,'2018_commission_structure'!$A$5:$J$5,0)),0)</f>
        <v>0</v>
      </c>
      <c r="Z752" s="2">
        <f xml:space="preserve"> IF(H752&gt;L752,(H752-L752)*INDEX('2018_commission_structure'!$A$11:$I$14,MATCH(Calculations!$E752,'2018_commission_structure'!$A$11:$A$14,0),MATCH(Calculations!Z$1,'2018_commission_structure'!$A$11:$I$11,0)),0)</f>
        <v>0</v>
      </c>
      <c r="AA752" s="7">
        <f t="shared" si="106"/>
        <v>118245.52</v>
      </c>
      <c r="AB752" s="7">
        <f t="shared" si="107"/>
        <v>198288.52000000002</v>
      </c>
    </row>
    <row r="753" spans="1:28" x14ac:dyDescent="0.25">
      <c r="A753">
        <v>2524572722</v>
      </c>
      <c r="B753" t="s">
        <v>1603</v>
      </c>
      <c r="C753" t="s">
        <v>1604</v>
      </c>
      <c r="D753" t="str">
        <f>B753&amp;" "&amp;C753</f>
        <v>Nobie Queripel</v>
      </c>
      <c r="E753" t="s">
        <v>29</v>
      </c>
      <c r="F753">
        <v>58232</v>
      </c>
      <c r="G753">
        <f>COUNTIF(deals_closed!D:D,Calculations!A753)</f>
        <v>29</v>
      </c>
      <c r="H753" s="2">
        <f>SUMIF(deals_closed!D:D,Calculations!A753,deals_closed!C:C)</f>
        <v>976706</v>
      </c>
      <c r="I753" s="2">
        <f>VLOOKUP(E753,'2018_commission_structure'!$A$11:$I$14,9,FALSE)</f>
        <v>600000</v>
      </c>
      <c r="J753" s="2">
        <f t="shared" si="99"/>
        <v>750000</v>
      </c>
      <c r="K753" s="2">
        <f t="shared" si="100"/>
        <v>900000</v>
      </c>
      <c r="L753" s="2">
        <f t="shared" si="101"/>
        <v>1200000</v>
      </c>
      <c r="M753" s="6">
        <f t="shared" si="102"/>
        <v>1.6278433333333333</v>
      </c>
      <c r="N753" t="str">
        <f t="shared" si="103"/>
        <v>150-200%</v>
      </c>
      <c r="O753" s="7">
        <f>MIN(I753,H753)*INDEX('2018_commission_structure'!$A$11:$I$14,MATCH(Calculations!$E753,'2018_commission_structure'!$A$11:$A$14,0),MATCH(Calculations!O$1,'2018_commission_structure'!$A$11:$I$11,0))</f>
        <v>78000</v>
      </c>
      <c r="P753" s="7">
        <f>IF($H753&gt;I753,MIN($H753-I753,J753-I753)*INDEX('2018_commission_structure'!$A$11:$I$14,MATCH(Calculations!$E753,'2018_commission_structure'!$A$11:$A$14,0), MATCH(Calculations!P$1,'2018_commission_structure'!$A$11:$I$11,0)),0)</f>
        <v>25500.000000000004</v>
      </c>
      <c r="Q753" s="7">
        <f>IF($H753&gt;J753,MIN($H753-J753,K753-J753)*INDEX('2018_commission_structure'!$A$11:$I$14,MATCH(Calculations!$E753,'2018_commission_structure'!$A$11:$A$14,0), MATCH(Calculations!Q$1,'2018_commission_structure'!$A$11:$I$11,0)),0)</f>
        <v>31500</v>
      </c>
      <c r="R753" s="7">
        <f>IF($H753&gt;K753,MIN($H753-K753,L753-K753)*INDEX('2018_commission_structure'!$A$11:$I$14,MATCH(Calculations!$E753,'2018_commission_structure'!$A$11:$A$14,0), MATCH(Calculations!R$1,'2018_commission_structure'!$A$11:$I$11,0)),0)</f>
        <v>19943.560000000001</v>
      </c>
      <c r="S753" s="7">
        <f>IF(H753&gt;L753,(H753-L753)*INDEX('2018_commission_structure'!$A$11:$I$14,MATCH(Calculations!$E753,'2018_commission_structure'!$A$11:$A$14,0),MATCH(Calculations!S$1,'2018_commission_structure'!$A$11:$I$11,0)),0)</f>
        <v>0</v>
      </c>
      <c r="T753" s="7">
        <f t="shared" si="104"/>
        <v>154943.56</v>
      </c>
      <c r="U753" s="7">
        <f t="shared" si="105"/>
        <v>213175.56</v>
      </c>
      <c r="V753" s="7">
        <f>MIN(H753,I753)*INDEX('2018_commission_structure'!$A$5:$J$8,MATCH(Calculations!$E753,'2018_commission_structure'!$A$5:$A$8,0),MATCH(Calculations!V$1,'2018_commission_structure'!$A$5:$J$5,0))</f>
        <v>90000</v>
      </c>
      <c r="W753" s="2">
        <f>IF($H753&gt;I753,MIN($H753-I753,J753-I753)*INDEX('2018_commission_structure'!$A$5:$J$8,MATCH(Calculations!$E753,'2018_commission_structure'!$A$5:$A$8,0),MATCH(Calculations!W$1,'2018_commission_structure'!$A$5:$J$5,0)),0)</f>
        <v>27000</v>
      </c>
      <c r="X753" s="2">
        <f>IF($H753&gt;J753,MIN($H753-J753,K753-J753)*INDEX('2018_commission_structure'!$A$5:$J$8,MATCH(Calculations!$E753,'2018_commission_structure'!$A$5:$A$8,0),MATCH(Calculations!X$1,'2018_commission_structure'!$A$5:$J$5,0)),0)</f>
        <v>37500</v>
      </c>
      <c r="Y753" s="2">
        <f>IF($H753&gt;K753,MIN($H753-K753,L753-K753)*INDEX('2018_commission_structure'!$A$5:$J$8,MATCH(Calculations!$E753,'2018_commission_structure'!$A$5:$A$8,0),MATCH(Calculations!Y$1,'2018_commission_structure'!$A$5:$J$5,0)),0)</f>
        <v>23011.8</v>
      </c>
      <c r="Z753" s="2">
        <f xml:space="preserve"> IF(H753&gt;L753,(H753-L753)*INDEX('2018_commission_structure'!$A$11:$I$14,MATCH(Calculations!$E753,'2018_commission_structure'!$A$11:$A$14,0),MATCH(Calculations!Z$1,'2018_commission_structure'!$A$11:$I$11,0)),0)</f>
        <v>0</v>
      </c>
      <c r="AA753" s="7">
        <f t="shared" si="106"/>
        <v>177511.8</v>
      </c>
      <c r="AB753" s="7">
        <f t="shared" si="107"/>
        <v>235743.8</v>
      </c>
    </row>
    <row r="754" spans="1:28" x14ac:dyDescent="0.25">
      <c r="A754">
        <v>1444572199</v>
      </c>
      <c r="B754" t="s">
        <v>739</v>
      </c>
      <c r="C754" t="s">
        <v>740</v>
      </c>
      <c r="D754" t="str">
        <f>B754&amp;" "&amp;C754</f>
        <v>Maure Quinane</v>
      </c>
      <c r="E754" t="s">
        <v>10</v>
      </c>
      <c r="F754">
        <v>120364</v>
      </c>
      <c r="G754">
        <f>COUNTIF(deals_closed!D:D,Calculations!A754)</f>
        <v>19</v>
      </c>
      <c r="H754" s="2">
        <f>SUMIF(deals_closed!D:D,Calculations!A754,deals_closed!C:C)</f>
        <v>648927</v>
      </c>
      <c r="I754" s="2">
        <f>VLOOKUP(E754,'2018_commission_structure'!$A$11:$I$14,9,FALSE)</f>
        <v>750000</v>
      </c>
      <c r="J754" s="2">
        <f t="shared" si="99"/>
        <v>937500</v>
      </c>
      <c r="K754" s="2">
        <f t="shared" si="100"/>
        <v>1125000</v>
      </c>
      <c r="L754" s="2">
        <f t="shared" si="101"/>
        <v>1500000</v>
      </c>
      <c r="M754" s="6">
        <f t="shared" si="102"/>
        <v>0.86523600000000001</v>
      </c>
      <c r="N754" t="str">
        <f t="shared" si="103"/>
        <v>0-100%</v>
      </c>
      <c r="O754" s="7">
        <f>MIN(I754,H754)*INDEX('2018_commission_structure'!$A$11:$I$14,MATCH(Calculations!$E754,'2018_commission_structure'!$A$11:$A$14,0),MATCH(Calculations!O$1,'2018_commission_structure'!$A$11:$I$11,0))</f>
        <v>97339.05</v>
      </c>
      <c r="P754" s="7">
        <f>IF($H754&gt;I754,MIN($H754-I754,J754-I754)*INDEX('2018_commission_structure'!$A$11:$I$14,MATCH(Calculations!$E754,'2018_commission_structure'!$A$11:$A$14,0), MATCH(Calculations!P$1,'2018_commission_structure'!$A$11:$I$11,0)),0)</f>
        <v>0</v>
      </c>
      <c r="Q754" s="7">
        <f>IF($H754&gt;J754,MIN($H754-J754,K754-J754)*INDEX('2018_commission_structure'!$A$11:$I$14,MATCH(Calculations!$E754,'2018_commission_structure'!$A$11:$A$14,0), MATCH(Calculations!Q$1,'2018_commission_structure'!$A$11:$I$11,0)),0)</f>
        <v>0</v>
      </c>
      <c r="R754" s="7">
        <f>IF($H754&gt;K754,MIN($H754-K754,L754-K754)*INDEX('2018_commission_structure'!$A$11:$I$14,MATCH(Calculations!$E754,'2018_commission_structure'!$A$11:$A$14,0), MATCH(Calculations!R$1,'2018_commission_structure'!$A$11:$I$11,0)),0)</f>
        <v>0</v>
      </c>
      <c r="S754" s="7">
        <f>IF(H754&gt;L754,(H754-L754)*INDEX('2018_commission_structure'!$A$11:$I$14,MATCH(Calculations!$E754,'2018_commission_structure'!$A$11:$A$14,0),MATCH(Calculations!S$1,'2018_commission_structure'!$A$11:$I$11,0)),0)</f>
        <v>0</v>
      </c>
      <c r="T754" s="7">
        <f t="shared" si="104"/>
        <v>97339.05</v>
      </c>
      <c r="U754" s="7">
        <f t="shared" si="105"/>
        <v>217703.05</v>
      </c>
      <c r="V754" s="7">
        <f>MIN(H754,I754)*INDEX('2018_commission_structure'!$A$5:$J$8,MATCH(Calculations!$E754,'2018_commission_structure'!$A$5:$A$8,0),MATCH(Calculations!V$1,'2018_commission_structure'!$A$5:$J$5,0))</f>
        <v>97339.05</v>
      </c>
      <c r="W754" s="2">
        <f>IF($H754&gt;I754,MIN($H754-I754,J754-I754)*INDEX('2018_commission_structure'!$A$5:$J$8,MATCH(Calculations!$E754,'2018_commission_structure'!$A$5:$A$8,0),MATCH(Calculations!W$1,'2018_commission_structure'!$A$5:$J$5,0)),0)</f>
        <v>0</v>
      </c>
      <c r="X754" s="2">
        <f>IF($H754&gt;J754,MIN($H754-J754,K754-J754)*INDEX('2018_commission_structure'!$A$5:$J$8,MATCH(Calculations!$E754,'2018_commission_structure'!$A$5:$A$8,0),MATCH(Calculations!X$1,'2018_commission_structure'!$A$5:$J$5,0)),0)</f>
        <v>0</v>
      </c>
      <c r="Y754" s="2">
        <f>IF($H754&gt;K754,MIN($H754-K754,L754-K754)*INDEX('2018_commission_structure'!$A$5:$J$8,MATCH(Calculations!$E754,'2018_commission_structure'!$A$5:$A$8,0),MATCH(Calculations!Y$1,'2018_commission_structure'!$A$5:$J$5,0)),0)</f>
        <v>0</v>
      </c>
      <c r="Z754" s="2">
        <f xml:space="preserve"> IF(H754&gt;L754,(H754-L754)*INDEX('2018_commission_structure'!$A$11:$I$14,MATCH(Calculations!$E754,'2018_commission_structure'!$A$11:$A$14,0),MATCH(Calculations!Z$1,'2018_commission_structure'!$A$11:$I$11,0)),0)</f>
        <v>0</v>
      </c>
      <c r="AA754" s="7">
        <f t="shared" si="106"/>
        <v>97339.05</v>
      </c>
      <c r="AB754" s="7">
        <f t="shared" si="107"/>
        <v>217703.05</v>
      </c>
    </row>
    <row r="755" spans="1:28" x14ac:dyDescent="0.25">
      <c r="A755">
        <v>6378969205</v>
      </c>
      <c r="B755" t="s">
        <v>1398</v>
      </c>
      <c r="C755" t="s">
        <v>1399</v>
      </c>
      <c r="D755" t="str">
        <f>B755&amp;" "&amp;C755</f>
        <v>Sibby Rastrick</v>
      </c>
      <c r="E755" t="s">
        <v>10</v>
      </c>
      <c r="F755">
        <v>101118</v>
      </c>
      <c r="G755">
        <f>COUNTIF(deals_closed!D:D,Calculations!A755)</f>
        <v>22</v>
      </c>
      <c r="H755" s="2">
        <f>SUMIF(deals_closed!D:D,Calculations!A755,deals_closed!C:C)</f>
        <v>721672</v>
      </c>
      <c r="I755" s="2">
        <f>VLOOKUP(E755,'2018_commission_structure'!$A$11:$I$14,9,FALSE)</f>
        <v>750000</v>
      </c>
      <c r="J755" s="2">
        <f t="shared" si="99"/>
        <v>937500</v>
      </c>
      <c r="K755" s="2">
        <f t="shared" si="100"/>
        <v>1125000</v>
      </c>
      <c r="L755" s="2">
        <f t="shared" si="101"/>
        <v>1500000</v>
      </c>
      <c r="M755" s="6">
        <f t="shared" si="102"/>
        <v>0.96222933333333338</v>
      </c>
      <c r="N755" t="str">
        <f t="shared" si="103"/>
        <v>0-100%</v>
      </c>
      <c r="O755" s="7">
        <f>MIN(I755,H755)*INDEX('2018_commission_structure'!$A$11:$I$14,MATCH(Calculations!$E755,'2018_commission_structure'!$A$11:$A$14,0),MATCH(Calculations!O$1,'2018_commission_structure'!$A$11:$I$11,0))</f>
        <v>108250.8</v>
      </c>
      <c r="P755" s="7">
        <f>IF($H755&gt;I755,MIN($H755-I755,J755-I755)*INDEX('2018_commission_structure'!$A$11:$I$14,MATCH(Calculations!$E755,'2018_commission_structure'!$A$11:$A$14,0), MATCH(Calculations!P$1,'2018_commission_structure'!$A$11:$I$11,0)),0)</f>
        <v>0</v>
      </c>
      <c r="Q755" s="7">
        <f>IF($H755&gt;J755,MIN($H755-J755,K755-J755)*INDEX('2018_commission_structure'!$A$11:$I$14,MATCH(Calculations!$E755,'2018_commission_structure'!$A$11:$A$14,0), MATCH(Calculations!Q$1,'2018_commission_structure'!$A$11:$I$11,0)),0)</f>
        <v>0</v>
      </c>
      <c r="R755" s="7">
        <f>IF($H755&gt;K755,MIN($H755-K755,L755-K755)*INDEX('2018_commission_structure'!$A$11:$I$14,MATCH(Calculations!$E755,'2018_commission_structure'!$A$11:$A$14,0), MATCH(Calculations!R$1,'2018_commission_structure'!$A$11:$I$11,0)),0)</f>
        <v>0</v>
      </c>
      <c r="S755" s="7">
        <f>IF(H755&gt;L755,(H755-L755)*INDEX('2018_commission_structure'!$A$11:$I$14,MATCH(Calculations!$E755,'2018_commission_structure'!$A$11:$A$14,0),MATCH(Calculations!S$1,'2018_commission_structure'!$A$11:$I$11,0)),0)</f>
        <v>0</v>
      </c>
      <c r="T755" s="7">
        <f t="shared" si="104"/>
        <v>108250.8</v>
      </c>
      <c r="U755" s="7">
        <f t="shared" si="105"/>
        <v>209368.8</v>
      </c>
      <c r="V755" s="7">
        <f>MIN(H755,I755)*INDEX('2018_commission_structure'!$A$5:$J$8,MATCH(Calculations!$E755,'2018_commission_structure'!$A$5:$A$8,0),MATCH(Calculations!V$1,'2018_commission_structure'!$A$5:$J$5,0))</f>
        <v>108250.8</v>
      </c>
      <c r="W755" s="2">
        <f>IF($H755&gt;I755,MIN($H755-I755,J755-I755)*INDEX('2018_commission_structure'!$A$5:$J$8,MATCH(Calculations!$E755,'2018_commission_structure'!$A$5:$A$8,0),MATCH(Calculations!W$1,'2018_commission_structure'!$A$5:$J$5,0)),0)</f>
        <v>0</v>
      </c>
      <c r="X755" s="2">
        <f>IF($H755&gt;J755,MIN($H755-J755,K755-J755)*INDEX('2018_commission_structure'!$A$5:$J$8,MATCH(Calculations!$E755,'2018_commission_structure'!$A$5:$A$8,0),MATCH(Calculations!X$1,'2018_commission_structure'!$A$5:$J$5,0)),0)</f>
        <v>0</v>
      </c>
      <c r="Y755" s="2">
        <f>IF($H755&gt;K755,MIN($H755-K755,L755-K755)*INDEX('2018_commission_structure'!$A$5:$J$8,MATCH(Calculations!$E755,'2018_commission_structure'!$A$5:$A$8,0),MATCH(Calculations!Y$1,'2018_commission_structure'!$A$5:$J$5,0)),0)</f>
        <v>0</v>
      </c>
      <c r="Z755" s="2">
        <f xml:space="preserve"> IF(H755&gt;L755,(H755-L755)*INDEX('2018_commission_structure'!$A$11:$I$14,MATCH(Calculations!$E755,'2018_commission_structure'!$A$11:$A$14,0),MATCH(Calculations!Z$1,'2018_commission_structure'!$A$11:$I$11,0)),0)</f>
        <v>0</v>
      </c>
      <c r="AA755" s="7">
        <f t="shared" si="106"/>
        <v>108250.8</v>
      </c>
      <c r="AB755" s="7">
        <f t="shared" si="107"/>
        <v>209368.8</v>
      </c>
    </row>
    <row r="756" spans="1:28" x14ac:dyDescent="0.25">
      <c r="A756">
        <v>9163060264</v>
      </c>
      <c r="B756" t="s">
        <v>574</v>
      </c>
      <c r="C756" t="s">
        <v>575</v>
      </c>
      <c r="D756" t="str">
        <f>B756&amp;" "&amp;C756</f>
        <v>Maryrose Ravenshaw</v>
      </c>
      <c r="E756" t="s">
        <v>29</v>
      </c>
      <c r="F756">
        <v>76433</v>
      </c>
      <c r="G756">
        <f>COUNTIF(deals_closed!D:D,Calculations!A756)</f>
        <v>21</v>
      </c>
      <c r="H756" s="2">
        <f>SUMIF(deals_closed!D:D,Calculations!A756,deals_closed!C:C)</f>
        <v>771024</v>
      </c>
      <c r="I756" s="2">
        <f>VLOOKUP(E756,'2018_commission_structure'!$A$11:$I$14,9,FALSE)</f>
        <v>600000</v>
      </c>
      <c r="J756" s="2">
        <f t="shared" si="99"/>
        <v>750000</v>
      </c>
      <c r="K756" s="2">
        <f t="shared" si="100"/>
        <v>900000</v>
      </c>
      <c r="L756" s="2">
        <f t="shared" si="101"/>
        <v>1200000</v>
      </c>
      <c r="M756" s="6">
        <f t="shared" si="102"/>
        <v>1.28504</v>
      </c>
      <c r="N756" t="str">
        <f t="shared" si="103"/>
        <v>125-150%</v>
      </c>
      <c r="O756" s="7">
        <f>MIN(I756,H756)*INDEX('2018_commission_structure'!$A$11:$I$14,MATCH(Calculations!$E756,'2018_commission_structure'!$A$11:$A$14,0),MATCH(Calculations!O$1,'2018_commission_structure'!$A$11:$I$11,0))</f>
        <v>78000</v>
      </c>
      <c r="P756" s="7">
        <f>IF($H756&gt;I756,MIN($H756-I756,J756-I756)*INDEX('2018_commission_structure'!$A$11:$I$14,MATCH(Calculations!$E756,'2018_commission_structure'!$A$11:$A$14,0), MATCH(Calculations!P$1,'2018_commission_structure'!$A$11:$I$11,0)),0)</f>
        <v>25500.000000000004</v>
      </c>
      <c r="Q756" s="7">
        <f>IF($H756&gt;J756,MIN($H756-J756,K756-J756)*INDEX('2018_commission_structure'!$A$11:$I$14,MATCH(Calculations!$E756,'2018_commission_structure'!$A$11:$A$14,0), MATCH(Calculations!Q$1,'2018_commission_structure'!$A$11:$I$11,0)),0)</f>
        <v>4415.04</v>
      </c>
      <c r="R756" s="7">
        <f>IF($H756&gt;K756,MIN($H756-K756,L756-K756)*INDEX('2018_commission_structure'!$A$11:$I$14,MATCH(Calculations!$E756,'2018_commission_structure'!$A$11:$A$14,0), MATCH(Calculations!R$1,'2018_commission_structure'!$A$11:$I$11,0)),0)</f>
        <v>0</v>
      </c>
      <c r="S756" s="7">
        <f>IF(H756&gt;L756,(H756-L756)*INDEX('2018_commission_structure'!$A$11:$I$14,MATCH(Calculations!$E756,'2018_commission_structure'!$A$11:$A$14,0),MATCH(Calculations!S$1,'2018_commission_structure'!$A$11:$I$11,0)),0)</f>
        <v>0</v>
      </c>
      <c r="T756" s="7">
        <f t="shared" si="104"/>
        <v>107915.04</v>
      </c>
      <c r="U756" s="7">
        <f t="shared" si="105"/>
        <v>184348.03999999998</v>
      </c>
      <c r="V756" s="7">
        <f>MIN(H756,I756)*INDEX('2018_commission_structure'!$A$5:$J$8,MATCH(Calculations!$E756,'2018_commission_structure'!$A$5:$A$8,0),MATCH(Calculations!V$1,'2018_commission_structure'!$A$5:$J$5,0))</f>
        <v>90000</v>
      </c>
      <c r="W756" s="2">
        <f>IF($H756&gt;I756,MIN($H756-I756,J756-I756)*INDEX('2018_commission_structure'!$A$5:$J$8,MATCH(Calculations!$E756,'2018_commission_structure'!$A$5:$A$8,0),MATCH(Calculations!W$1,'2018_commission_structure'!$A$5:$J$5,0)),0)</f>
        <v>27000</v>
      </c>
      <c r="X756" s="2">
        <f>IF($H756&gt;J756,MIN($H756-J756,K756-J756)*INDEX('2018_commission_structure'!$A$5:$J$8,MATCH(Calculations!$E756,'2018_commission_structure'!$A$5:$A$8,0),MATCH(Calculations!X$1,'2018_commission_structure'!$A$5:$J$5,0)),0)</f>
        <v>5256</v>
      </c>
      <c r="Y756" s="2">
        <f>IF($H756&gt;K756,MIN($H756-K756,L756-K756)*INDEX('2018_commission_structure'!$A$5:$J$8,MATCH(Calculations!$E756,'2018_commission_structure'!$A$5:$A$8,0),MATCH(Calculations!Y$1,'2018_commission_structure'!$A$5:$J$5,0)),0)</f>
        <v>0</v>
      </c>
      <c r="Z756" s="2">
        <f xml:space="preserve"> IF(H756&gt;L756,(H756-L756)*INDEX('2018_commission_structure'!$A$11:$I$14,MATCH(Calculations!$E756,'2018_commission_structure'!$A$11:$A$14,0),MATCH(Calculations!Z$1,'2018_commission_structure'!$A$11:$I$11,0)),0)</f>
        <v>0</v>
      </c>
      <c r="AA756" s="7">
        <f t="shared" si="106"/>
        <v>122256</v>
      </c>
      <c r="AB756" s="7">
        <f t="shared" si="107"/>
        <v>198689</v>
      </c>
    </row>
    <row r="757" spans="1:28" x14ac:dyDescent="0.25">
      <c r="A757">
        <v>8692509450</v>
      </c>
      <c r="B757" t="s">
        <v>854</v>
      </c>
      <c r="C757" t="s">
        <v>855</v>
      </c>
      <c r="D757" t="str">
        <f>B757&amp;" "&amp;C757</f>
        <v>Micah Rawdales</v>
      </c>
      <c r="E757" t="s">
        <v>7</v>
      </c>
      <c r="F757">
        <v>35506</v>
      </c>
      <c r="G757">
        <f>COUNTIF(deals_closed!D:D,Calculations!A757)</f>
        <v>17</v>
      </c>
      <c r="H757" s="2">
        <f>SUMIF(deals_closed!D:D,Calculations!A757,deals_closed!C:C)</f>
        <v>590606</v>
      </c>
      <c r="I757" s="2">
        <f>VLOOKUP(E757,'2018_commission_structure'!$A$11:$I$14,9,FALSE)</f>
        <v>500000</v>
      </c>
      <c r="J757" s="2">
        <f t="shared" si="99"/>
        <v>625000</v>
      </c>
      <c r="K757" s="2">
        <f t="shared" si="100"/>
        <v>750000</v>
      </c>
      <c r="L757" s="2">
        <f t="shared" si="101"/>
        <v>1000000</v>
      </c>
      <c r="M757" s="6">
        <f t="shared" si="102"/>
        <v>1.1812119999999999</v>
      </c>
      <c r="N757" t="str">
        <f t="shared" si="103"/>
        <v>100-125%</v>
      </c>
      <c r="O757" s="7">
        <f>MIN(I757,H757)*INDEX('2018_commission_structure'!$A$11:$I$14,MATCH(Calculations!$E757,'2018_commission_structure'!$A$11:$A$14,0),MATCH(Calculations!O$1,'2018_commission_structure'!$A$11:$I$11,0))</f>
        <v>50000</v>
      </c>
      <c r="P757" s="7">
        <f>IF($H757&gt;I757,MIN($H757-I757,J757-I757)*INDEX('2018_commission_structure'!$A$11:$I$14,MATCH(Calculations!$E757,'2018_commission_structure'!$A$11:$A$14,0), MATCH(Calculations!P$1,'2018_commission_structure'!$A$11:$I$11,0)),0)</f>
        <v>13590.9</v>
      </c>
      <c r="Q757" s="7">
        <f>IF($H757&gt;J757,MIN($H757-J757,K757-J757)*INDEX('2018_commission_structure'!$A$11:$I$14,MATCH(Calculations!$E757,'2018_commission_structure'!$A$11:$A$14,0), MATCH(Calculations!Q$1,'2018_commission_structure'!$A$11:$I$11,0)),0)</f>
        <v>0</v>
      </c>
      <c r="R757" s="7">
        <f>IF($H757&gt;K757,MIN($H757-K757,L757-K757)*INDEX('2018_commission_structure'!$A$11:$I$14,MATCH(Calculations!$E757,'2018_commission_structure'!$A$11:$A$14,0), MATCH(Calculations!R$1,'2018_commission_structure'!$A$11:$I$11,0)),0)</f>
        <v>0</v>
      </c>
      <c r="S757" s="7">
        <f>IF(H757&gt;L757,(H757-L757)*INDEX('2018_commission_structure'!$A$11:$I$14,MATCH(Calculations!$E757,'2018_commission_structure'!$A$11:$A$14,0),MATCH(Calculations!S$1,'2018_commission_structure'!$A$11:$I$11,0)),0)</f>
        <v>0</v>
      </c>
      <c r="T757" s="7">
        <f t="shared" si="104"/>
        <v>63590.9</v>
      </c>
      <c r="U757" s="7">
        <f t="shared" si="105"/>
        <v>99096.9</v>
      </c>
      <c r="V757" s="7">
        <f>MIN(H757,I757)*INDEX('2018_commission_structure'!$A$5:$J$8,MATCH(Calculations!$E757,'2018_commission_structure'!$A$5:$A$8,0),MATCH(Calculations!V$1,'2018_commission_structure'!$A$5:$J$5,0))</f>
        <v>60000</v>
      </c>
      <c r="W757" s="2">
        <f>IF($H757&gt;I757,MIN($H757-I757,J757-I757)*INDEX('2018_commission_structure'!$A$5:$J$8,MATCH(Calculations!$E757,'2018_commission_structure'!$A$5:$A$8,0),MATCH(Calculations!W$1,'2018_commission_structure'!$A$5:$J$5,0)),0)</f>
        <v>15403.02</v>
      </c>
      <c r="X757" s="2">
        <f>IF($H757&gt;J757,MIN($H757-J757,K757-J757)*INDEX('2018_commission_structure'!$A$5:$J$8,MATCH(Calculations!$E757,'2018_commission_structure'!$A$5:$A$8,0),MATCH(Calculations!X$1,'2018_commission_structure'!$A$5:$J$5,0)),0)</f>
        <v>0</v>
      </c>
      <c r="Y757" s="2">
        <f>IF($H757&gt;K757,MIN($H757-K757,L757-K757)*INDEX('2018_commission_structure'!$A$5:$J$8,MATCH(Calculations!$E757,'2018_commission_structure'!$A$5:$A$8,0),MATCH(Calculations!Y$1,'2018_commission_structure'!$A$5:$J$5,0)),0)</f>
        <v>0</v>
      </c>
      <c r="Z757" s="2">
        <f xml:space="preserve"> IF(H757&gt;L757,(H757-L757)*INDEX('2018_commission_structure'!$A$11:$I$14,MATCH(Calculations!$E757,'2018_commission_structure'!$A$11:$A$14,0),MATCH(Calculations!Z$1,'2018_commission_structure'!$A$11:$I$11,0)),0)</f>
        <v>0</v>
      </c>
      <c r="AA757" s="7">
        <f t="shared" si="106"/>
        <v>75403.02</v>
      </c>
      <c r="AB757" s="7">
        <f t="shared" si="107"/>
        <v>110909.02</v>
      </c>
    </row>
    <row r="758" spans="1:28" x14ac:dyDescent="0.25">
      <c r="A758">
        <v>9072843924</v>
      </c>
      <c r="B758" t="s">
        <v>151</v>
      </c>
      <c r="C758" t="s">
        <v>152</v>
      </c>
      <c r="D758" t="str">
        <f>B758&amp;" "&amp;C758</f>
        <v>Drake Rawlison</v>
      </c>
      <c r="E758" t="s">
        <v>7</v>
      </c>
      <c r="F758">
        <v>40376</v>
      </c>
      <c r="G758">
        <f>COUNTIF(deals_closed!D:D,Calculations!A758)</f>
        <v>11</v>
      </c>
      <c r="H758" s="2">
        <f>SUMIF(deals_closed!D:D,Calculations!A758,deals_closed!C:C)</f>
        <v>281806</v>
      </c>
      <c r="I758" s="2">
        <f>VLOOKUP(E758,'2018_commission_structure'!$A$11:$I$14,9,FALSE)</f>
        <v>500000</v>
      </c>
      <c r="J758" s="2">
        <f t="shared" si="99"/>
        <v>625000</v>
      </c>
      <c r="K758" s="2">
        <f t="shared" si="100"/>
        <v>750000</v>
      </c>
      <c r="L758" s="2">
        <f t="shared" si="101"/>
        <v>1000000</v>
      </c>
      <c r="M758" s="6">
        <f t="shared" si="102"/>
        <v>0.563612</v>
      </c>
      <c r="N758" t="str">
        <f t="shared" si="103"/>
        <v>0-100%</v>
      </c>
      <c r="O758" s="7">
        <f>MIN(I758,H758)*INDEX('2018_commission_structure'!$A$11:$I$14,MATCH(Calculations!$E758,'2018_commission_structure'!$A$11:$A$14,0),MATCH(Calculations!O$1,'2018_commission_structure'!$A$11:$I$11,0))</f>
        <v>28180.600000000002</v>
      </c>
      <c r="P758" s="7">
        <f>IF($H758&gt;I758,MIN($H758-I758,J758-I758)*INDEX('2018_commission_structure'!$A$11:$I$14,MATCH(Calculations!$E758,'2018_commission_structure'!$A$11:$A$14,0), MATCH(Calculations!P$1,'2018_commission_structure'!$A$11:$I$11,0)),0)</f>
        <v>0</v>
      </c>
      <c r="Q758" s="7">
        <f>IF($H758&gt;J758,MIN($H758-J758,K758-J758)*INDEX('2018_commission_structure'!$A$11:$I$14,MATCH(Calculations!$E758,'2018_commission_structure'!$A$11:$A$14,0), MATCH(Calculations!Q$1,'2018_commission_structure'!$A$11:$I$11,0)),0)</f>
        <v>0</v>
      </c>
      <c r="R758" s="7">
        <f>IF($H758&gt;K758,MIN($H758-K758,L758-K758)*INDEX('2018_commission_structure'!$A$11:$I$14,MATCH(Calculations!$E758,'2018_commission_structure'!$A$11:$A$14,0), MATCH(Calculations!R$1,'2018_commission_structure'!$A$11:$I$11,0)),0)</f>
        <v>0</v>
      </c>
      <c r="S758" s="7">
        <f>IF(H758&gt;L758,(H758-L758)*INDEX('2018_commission_structure'!$A$11:$I$14,MATCH(Calculations!$E758,'2018_commission_structure'!$A$11:$A$14,0),MATCH(Calculations!S$1,'2018_commission_structure'!$A$11:$I$11,0)),0)</f>
        <v>0</v>
      </c>
      <c r="T758" s="7">
        <f t="shared" si="104"/>
        <v>28180.600000000002</v>
      </c>
      <c r="U758" s="7">
        <f t="shared" si="105"/>
        <v>68556.600000000006</v>
      </c>
      <c r="V758" s="7">
        <f>MIN(H758,I758)*INDEX('2018_commission_structure'!$A$5:$J$8,MATCH(Calculations!$E758,'2018_commission_structure'!$A$5:$A$8,0),MATCH(Calculations!V$1,'2018_commission_structure'!$A$5:$J$5,0))</f>
        <v>33816.720000000001</v>
      </c>
      <c r="W758" s="2">
        <f>IF($H758&gt;I758,MIN($H758-I758,J758-I758)*INDEX('2018_commission_structure'!$A$5:$J$8,MATCH(Calculations!$E758,'2018_commission_structure'!$A$5:$A$8,0),MATCH(Calculations!W$1,'2018_commission_structure'!$A$5:$J$5,0)),0)</f>
        <v>0</v>
      </c>
      <c r="X758" s="2">
        <f>IF($H758&gt;J758,MIN($H758-J758,K758-J758)*INDEX('2018_commission_structure'!$A$5:$J$8,MATCH(Calculations!$E758,'2018_commission_structure'!$A$5:$A$8,0),MATCH(Calculations!X$1,'2018_commission_structure'!$A$5:$J$5,0)),0)</f>
        <v>0</v>
      </c>
      <c r="Y758" s="2">
        <f>IF($H758&gt;K758,MIN($H758-K758,L758-K758)*INDEX('2018_commission_structure'!$A$5:$J$8,MATCH(Calculations!$E758,'2018_commission_structure'!$A$5:$A$8,0),MATCH(Calculations!Y$1,'2018_commission_structure'!$A$5:$J$5,0)),0)</f>
        <v>0</v>
      </c>
      <c r="Z758" s="2">
        <f xml:space="preserve"> IF(H758&gt;L758,(H758-L758)*INDEX('2018_commission_structure'!$A$11:$I$14,MATCH(Calculations!$E758,'2018_commission_structure'!$A$11:$A$14,0),MATCH(Calculations!Z$1,'2018_commission_structure'!$A$11:$I$11,0)),0)</f>
        <v>0</v>
      </c>
      <c r="AA758" s="7">
        <f t="shared" si="106"/>
        <v>33816.720000000001</v>
      </c>
      <c r="AB758" s="7">
        <f t="shared" si="107"/>
        <v>74192.72</v>
      </c>
    </row>
    <row r="759" spans="1:28" x14ac:dyDescent="0.25">
      <c r="A759">
        <v>6478891895</v>
      </c>
      <c r="B759" t="s">
        <v>1500</v>
      </c>
      <c r="C759" t="s">
        <v>1501</v>
      </c>
      <c r="D759" t="str">
        <f>B759&amp;" "&amp;C759</f>
        <v>Chaddie Record</v>
      </c>
      <c r="E759" t="s">
        <v>10</v>
      </c>
      <c r="F759">
        <v>90997</v>
      </c>
      <c r="G759">
        <f>COUNTIF(deals_closed!D:D,Calculations!A759)</f>
        <v>18</v>
      </c>
      <c r="H759" s="2">
        <f>SUMIF(deals_closed!D:D,Calculations!A759,deals_closed!C:C)</f>
        <v>585356</v>
      </c>
      <c r="I759" s="2">
        <f>VLOOKUP(E759,'2018_commission_structure'!$A$11:$I$14,9,FALSE)</f>
        <v>750000</v>
      </c>
      <c r="J759" s="2">
        <f t="shared" si="99"/>
        <v>937500</v>
      </c>
      <c r="K759" s="2">
        <f t="shared" si="100"/>
        <v>1125000</v>
      </c>
      <c r="L759" s="2">
        <f t="shared" si="101"/>
        <v>1500000</v>
      </c>
      <c r="M759" s="6">
        <f t="shared" si="102"/>
        <v>0.78047466666666665</v>
      </c>
      <c r="N759" t="str">
        <f t="shared" si="103"/>
        <v>0-100%</v>
      </c>
      <c r="O759" s="7">
        <f>MIN(I759,H759)*INDEX('2018_commission_structure'!$A$11:$I$14,MATCH(Calculations!$E759,'2018_commission_structure'!$A$11:$A$14,0),MATCH(Calculations!O$1,'2018_commission_structure'!$A$11:$I$11,0))</f>
        <v>87803.4</v>
      </c>
      <c r="P759" s="7">
        <f>IF($H759&gt;I759,MIN($H759-I759,J759-I759)*INDEX('2018_commission_structure'!$A$11:$I$14,MATCH(Calculations!$E759,'2018_commission_structure'!$A$11:$A$14,0), MATCH(Calculations!P$1,'2018_commission_structure'!$A$11:$I$11,0)),0)</f>
        <v>0</v>
      </c>
      <c r="Q759" s="7">
        <f>IF($H759&gt;J759,MIN($H759-J759,K759-J759)*INDEX('2018_commission_structure'!$A$11:$I$14,MATCH(Calculations!$E759,'2018_commission_structure'!$A$11:$A$14,0), MATCH(Calculations!Q$1,'2018_commission_structure'!$A$11:$I$11,0)),0)</f>
        <v>0</v>
      </c>
      <c r="R759" s="7">
        <f>IF($H759&gt;K759,MIN($H759-K759,L759-K759)*INDEX('2018_commission_structure'!$A$11:$I$14,MATCH(Calculations!$E759,'2018_commission_structure'!$A$11:$A$14,0), MATCH(Calculations!R$1,'2018_commission_structure'!$A$11:$I$11,0)),0)</f>
        <v>0</v>
      </c>
      <c r="S759" s="7">
        <f>IF(H759&gt;L759,(H759-L759)*INDEX('2018_commission_structure'!$A$11:$I$14,MATCH(Calculations!$E759,'2018_commission_structure'!$A$11:$A$14,0),MATCH(Calculations!S$1,'2018_commission_structure'!$A$11:$I$11,0)),0)</f>
        <v>0</v>
      </c>
      <c r="T759" s="7">
        <f t="shared" si="104"/>
        <v>87803.4</v>
      </c>
      <c r="U759" s="7">
        <f t="shared" si="105"/>
        <v>178800.4</v>
      </c>
      <c r="V759" s="7">
        <f>MIN(H759,I759)*INDEX('2018_commission_structure'!$A$5:$J$8,MATCH(Calculations!$E759,'2018_commission_structure'!$A$5:$A$8,0),MATCH(Calculations!V$1,'2018_commission_structure'!$A$5:$J$5,0))</f>
        <v>87803.4</v>
      </c>
      <c r="W759" s="2">
        <f>IF($H759&gt;I759,MIN($H759-I759,J759-I759)*INDEX('2018_commission_structure'!$A$5:$J$8,MATCH(Calculations!$E759,'2018_commission_structure'!$A$5:$A$8,0),MATCH(Calculations!W$1,'2018_commission_structure'!$A$5:$J$5,0)),0)</f>
        <v>0</v>
      </c>
      <c r="X759" s="2">
        <f>IF($H759&gt;J759,MIN($H759-J759,K759-J759)*INDEX('2018_commission_structure'!$A$5:$J$8,MATCH(Calculations!$E759,'2018_commission_structure'!$A$5:$A$8,0),MATCH(Calculations!X$1,'2018_commission_structure'!$A$5:$J$5,0)),0)</f>
        <v>0</v>
      </c>
      <c r="Y759" s="2">
        <f>IF($H759&gt;K759,MIN($H759-K759,L759-K759)*INDEX('2018_commission_structure'!$A$5:$J$8,MATCH(Calculations!$E759,'2018_commission_structure'!$A$5:$A$8,0),MATCH(Calculations!Y$1,'2018_commission_structure'!$A$5:$J$5,0)),0)</f>
        <v>0</v>
      </c>
      <c r="Z759" s="2">
        <f xml:space="preserve"> IF(H759&gt;L759,(H759-L759)*INDEX('2018_commission_structure'!$A$11:$I$14,MATCH(Calculations!$E759,'2018_commission_structure'!$A$11:$A$14,0),MATCH(Calculations!Z$1,'2018_commission_structure'!$A$11:$I$11,0)),0)</f>
        <v>0</v>
      </c>
      <c r="AA759" s="7">
        <f t="shared" si="106"/>
        <v>87803.4</v>
      </c>
      <c r="AB759" s="7">
        <f t="shared" si="107"/>
        <v>178800.4</v>
      </c>
    </row>
    <row r="760" spans="1:28" x14ac:dyDescent="0.25">
      <c r="A760">
        <v>85304042</v>
      </c>
      <c r="B760" t="s">
        <v>70</v>
      </c>
      <c r="C760" t="s">
        <v>71</v>
      </c>
      <c r="D760" t="str">
        <f>B760&amp;" "&amp;C760</f>
        <v>Garrot Redrup</v>
      </c>
      <c r="E760" t="s">
        <v>29</v>
      </c>
      <c r="F760">
        <v>69710</v>
      </c>
      <c r="G760">
        <f>COUNTIF(deals_closed!D:D,Calculations!A760)</f>
        <v>18</v>
      </c>
      <c r="H760" s="2">
        <f>SUMIF(deals_closed!D:D,Calculations!A760,deals_closed!C:C)</f>
        <v>624543</v>
      </c>
      <c r="I760" s="2">
        <f>VLOOKUP(E760,'2018_commission_structure'!$A$11:$I$14,9,FALSE)</f>
        <v>600000</v>
      </c>
      <c r="J760" s="2">
        <f t="shared" si="99"/>
        <v>750000</v>
      </c>
      <c r="K760" s="2">
        <f t="shared" si="100"/>
        <v>900000</v>
      </c>
      <c r="L760" s="2">
        <f t="shared" si="101"/>
        <v>1200000</v>
      </c>
      <c r="M760" s="6">
        <f t="shared" si="102"/>
        <v>1.040905</v>
      </c>
      <c r="N760" t="str">
        <f t="shared" si="103"/>
        <v>100-125%</v>
      </c>
      <c r="O760" s="7">
        <f>MIN(I760,H760)*INDEX('2018_commission_structure'!$A$11:$I$14,MATCH(Calculations!$E760,'2018_commission_structure'!$A$11:$A$14,0),MATCH(Calculations!O$1,'2018_commission_structure'!$A$11:$I$11,0))</f>
        <v>78000</v>
      </c>
      <c r="P760" s="7">
        <f>IF($H760&gt;I760,MIN($H760-I760,J760-I760)*INDEX('2018_commission_structure'!$A$11:$I$14,MATCH(Calculations!$E760,'2018_commission_structure'!$A$11:$A$14,0), MATCH(Calculations!P$1,'2018_commission_structure'!$A$11:$I$11,0)),0)</f>
        <v>4172.3100000000004</v>
      </c>
      <c r="Q760" s="7">
        <f>IF($H760&gt;J760,MIN($H760-J760,K760-J760)*INDEX('2018_commission_structure'!$A$11:$I$14,MATCH(Calculations!$E760,'2018_commission_structure'!$A$11:$A$14,0), MATCH(Calculations!Q$1,'2018_commission_structure'!$A$11:$I$11,0)),0)</f>
        <v>0</v>
      </c>
      <c r="R760" s="7">
        <f>IF($H760&gt;K760,MIN($H760-K760,L760-K760)*INDEX('2018_commission_structure'!$A$11:$I$14,MATCH(Calculations!$E760,'2018_commission_structure'!$A$11:$A$14,0), MATCH(Calculations!R$1,'2018_commission_structure'!$A$11:$I$11,0)),0)</f>
        <v>0</v>
      </c>
      <c r="S760" s="7">
        <f>IF(H760&gt;L760,(H760-L760)*INDEX('2018_commission_structure'!$A$11:$I$14,MATCH(Calculations!$E760,'2018_commission_structure'!$A$11:$A$14,0),MATCH(Calculations!S$1,'2018_commission_structure'!$A$11:$I$11,0)),0)</f>
        <v>0</v>
      </c>
      <c r="T760" s="7">
        <f t="shared" si="104"/>
        <v>82172.31</v>
      </c>
      <c r="U760" s="7">
        <f t="shared" si="105"/>
        <v>151882.31</v>
      </c>
      <c r="V760" s="7">
        <f>MIN(H760,I760)*INDEX('2018_commission_structure'!$A$5:$J$8,MATCH(Calculations!$E760,'2018_commission_structure'!$A$5:$A$8,0),MATCH(Calculations!V$1,'2018_commission_structure'!$A$5:$J$5,0))</f>
        <v>90000</v>
      </c>
      <c r="W760" s="2">
        <f>IF($H760&gt;I760,MIN($H760-I760,J760-I760)*INDEX('2018_commission_structure'!$A$5:$J$8,MATCH(Calculations!$E760,'2018_commission_structure'!$A$5:$A$8,0),MATCH(Calculations!W$1,'2018_commission_structure'!$A$5:$J$5,0)),0)</f>
        <v>4417.74</v>
      </c>
      <c r="X760" s="2">
        <f>IF($H760&gt;J760,MIN($H760-J760,K760-J760)*INDEX('2018_commission_structure'!$A$5:$J$8,MATCH(Calculations!$E760,'2018_commission_structure'!$A$5:$A$8,0),MATCH(Calculations!X$1,'2018_commission_structure'!$A$5:$J$5,0)),0)</f>
        <v>0</v>
      </c>
      <c r="Y760" s="2">
        <f>IF($H760&gt;K760,MIN($H760-K760,L760-K760)*INDEX('2018_commission_structure'!$A$5:$J$8,MATCH(Calculations!$E760,'2018_commission_structure'!$A$5:$A$8,0),MATCH(Calculations!Y$1,'2018_commission_structure'!$A$5:$J$5,0)),0)</f>
        <v>0</v>
      </c>
      <c r="Z760" s="2">
        <f xml:space="preserve"> IF(H760&gt;L760,(H760-L760)*INDEX('2018_commission_structure'!$A$11:$I$14,MATCH(Calculations!$E760,'2018_commission_structure'!$A$11:$A$14,0),MATCH(Calculations!Z$1,'2018_commission_structure'!$A$11:$I$11,0)),0)</f>
        <v>0</v>
      </c>
      <c r="AA760" s="7">
        <f t="shared" si="106"/>
        <v>94417.74</v>
      </c>
      <c r="AB760" s="7">
        <f t="shared" si="107"/>
        <v>164127.74</v>
      </c>
    </row>
    <row r="761" spans="1:28" x14ac:dyDescent="0.25">
      <c r="A761">
        <v>6724903874</v>
      </c>
      <c r="B761" t="s">
        <v>1156</v>
      </c>
      <c r="C761" t="s">
        <v>1157</v>
      </c>
      <c r="D761" t="str">
        <f>B761&amp;" "&amp;C761</f>
        <v>Jamil Regnard</v>
      </c>
      <c r="E761" t="s">
        <v>10</v>
      </c>
      <c r="F761">
        <v>118446</v>
      </c>
      <c r="G761">
        <f>COUNTIF(deals_closed!D:D,Calculations!A761)</f>
        <v>22</v>
      </c>
      <c r="H761" s="2">
        <f>SUMIF(deals_closed!D:D,Calculations!A761,deals_closed!C:C)</f>
        <v>640400</v>
      </c>
      <c r="I761" s="2">
        <f>VLOOKUP(E761,'2018_commission_structure'!$A$11:$I$14,9,FALSE)</f>
        <v>750000</v>
      </c>
      <c r="J761" s="2">
        <f t="shared" si="99"/>
        <v>937500</v>
      </c>
      <c r="K761" s="2">
        <f t="shared" si="100"/>
        <v>1125000</v>
      </c>
      <c r="L761" s="2">
        <f t="shared" si="101"/>
        <v>1500000</v>
      </c>
      <c r="M761" s="6">
        <f t="shared" si="102"/>
        <v>0.85386666666666666</v>
      </c>
      <c r="N761" t="str">
        <f t="shared" si="103"/>
        <v>0-100%</v>
      </c>
      <c r="O761" s="7">
        <f>MIN(I761,H761)*INDEX('2018_commission_structure'!$A$11:$I$14,MATCH(Calculations!$E761,'2018_commission_structure'!$A$11:$A$14,0),MATCH(Calculations!O$1,'2018_commission_structure'!$A$11:$I$11,0))</f>
        <v>96060</v>
      </c>
      <c r="P761" s="7">
        <f>IF($H761&gt;I761,MIN($H761-I761,J761-I761)*INDEX('2018_commission_structure'!$A$11:$I$14,MATCH(Calculations!$E761,'2018_commission_structure'!$A$11:$A$14,0), MATCH(Calculations!P$1,'2018_commission_structure'!$A$11:$I$11,0)),0)</f>
        <v>0</v>
      </c>
      <c r="Q761" s="7">
        <f>IF($H761&gt;J761,MIN($H761-J761,K761-J761)*INDEX('2018_commission_structure'!$A$11:$I$14,MATCH(Calculations!$E761,'2018_commission_structure'!$A$11:$A$14,0), MATCH(Calculations!Q$1,'2018_commission_structure'!$A$11:$I$11,0)),0)</f>
        <v>0</v>
      </c>
      <c r="R761" s="7">
        <f>IF($H761&gt;K761,MIN($H761-K761,L761-K761)*INDEX('2018_commission_structure'!$A$11:$I$14,MATCH(Calculations!$E761,'2018_commission_structure'!$A$11:$A$14,0), MATCH(Calculations!R$1,'2018_commission_structure'!$A$11:$I$11,0)),0)</f>
        <v>0</v>
      </c>
      <c r="S761" s="7">
        <f>IF(H761&gt;L761,(H761-L761)*INDEX('2018_commission_structure'!$A$11:$I$14,MATCH(Calculations!$E761,'2018_commission_structure'!$A$11:$A$14,0),MATCH(Calculations!S$1,'2018_commission_structure'!$A$11:$I$11,0)),0)</f>
        <v>0</v>
      </c>
      <c r="T761" s="7">
        <f t="shared" si="104"/>
        <v>96060</v>
      </c>
      <c r="U761" s="7">
        <f t="shared" si="105"/>
        <v>214506</v>
      </c>
      <c r="V761" s="7">
        <f>MIN(H761,I761)*INDEX('2018_commission_structure'!$A$5:$J$8,MATCH(Calculations!$E761,'2018_commission_structure'!$A$5:$A$8,0),MATCH(Calculations!V$1,'2018_commission_structure'!$A$5:$J$5,0))</f>
        <v>96060</v>
      </c>
      <c r="W761" s="2">
        <f>IF($H761&gt;I761,MIN($H761-I761,J761-I761)*INDEX('2018_commission_structure'!$A$5:$J$8,MATCH(Calculations!$E761,'2018_commission_structure'!$A$5:$A$8,0),MATCH(Calculations!W$1,'2018_commission_structure'!$A$5:$J$5,0)),0)</f>
        <v>0</v>
      </c>
      <c r="X761" s="2">
        <f>IF($H761&gt;J761,MIN($H761-J761,K761-J761)*INDEX('2018_commission_structure'!$A$5:$J$8,MATCH(Calculations!$E761,'2018_commission_structure'!$A$5:$A$8,0),MATCH(Calculations!X$1,'2018_commission_structure'!$A$5:$J$5,0)),0)</f>
        <v>0</v>
      </c>
      <c r="Y761" s="2">
        <f>IF($H761&gt;K761,MIN($H761-K761,L761-K761)*INDEX('2018_commission_structure'!$A$5:$J$8,MATCH(Calculations!$E761,'2018_commission_structure'!$A$5:$A$8,0),MATCH(Calculations!Y$1,'2018_commission_structure'!$A$5:$J$5,0)),0)</f>
        <v>0</v>
      </c>
      <c r="Z761" s="2">
        <f xml:space="preserve"> IF(H761&gt;L761,(H761-L761)*INDEX('2018_commission_structure'!$A$11:$I$14,MATCH(Calculations!$E761,'2018_commission_structure'!$A$11:$A$14,0),MATCH(Calculations!Z$1,'2018_commission_structure'!$A$11:$I$11,0)),0)</f>
        <v>0</v>
      </c>
      <c r="AA761" s="7">
        <f t="shared" si="106"/>
        <v>96060</v>
      </c>
      <c r="AB761" s="7">
        <f t="shared" si="107"/>
        <v>214506</v>
      </c>
    </row>
    <row r="762" spans="1:28" x14ac:dyDescent="0.25">
      <c r="A762">
        <v>8658719154</v>
      </c>
      <c r="B762" t="s">
        <v>214</v>
      </c>
      <c r="C762" t="s">
        <v>215</v>
      </c>
      <c r="D762" t="str">
        <f>B762&amp;" "&amp;C762</f>
        <v>Jae Reihm</v>
      </c>
      <c r="E762" t="s">
        <v>10</v>
      </c>
      <c r="F762">
        <v>114511</v>
      </c>
      <c r="G762">
        <f>COUNTIF(deals_closed!D:D,Calculations!A762)</f>
        <v>15</v>
      </c>
      <c r="H762" s="2">
        <f>SUMIF(deals_closed!D:D,Calculations!A762,deals_closed!C:C)</f>
        <v>551370</v>
      </c>
      <c r="I762" s="2">
        <f>VLOOKUP(E762,'2018_commission_structure'!$A$11:$I$14,9,FALSE)</f>
        <v>750000</v>
      </c>
      <c r="J762" s="2">
        <f t="shared" si="99"/>
        <v>937500</v>
      </c>
      <c r="K762" s="2">
        <f t="shared" si="100"/>
        <v>1125000</v>
      </c>
      <c r="L762" s="2">
        <f t="shared" si="101"/>
        <v>1500000</v>
      </c>
      <c r="M762" s="6">
        <f t="shared" si="102"/>
        <v>0.73516000000000004</v>
      </c>
      <c r="N762" t="str">
        <f t="shared" si="103"/>
        <v>0-100%</v>
      </c>
      <c r="O762" s="7">
        <f>MIN(I762,H762)*INDEX('2018_commission_structure'!$A$11:$I$14,MATCH(Calculations!$E762,'2018_commission_structure'!$A$11:$A$14,0),MATCH(Calculations!O$1,'2018_commission_structure'!$A$11:$I$11,0))</f>
        <v>82705.5</v>
      </c>
      <c r="P762" s="7">
        <f>IF($H762&gt;I762,MIN($H762-I762,J762-I762)*INDEX('2018_commission_structure'!$A$11:$I$14,MATCH(Calculations!$E762,'2018_commission_structure'!$A$11:$A$14,0), MATCH(Calculations!P$1,'2018_commission_structure'!$A$11:$I$11,0)),0)</f>
        <v>0</v>
      </c>
      <c r="Q762" s="7">
        <f>IF($H762&gt;J762,MIN($H762-J762,K762-J762)*INDEX('2018_commission_structure'!$A$11:$I$14,MATCH(Calculations!$E762,'2018_commission_structure'!$A$11:$A$14,0), MATCH(Calculations!Q$1,'2018_commission_structure'!$A$11:$I$11,0)),0)</f>
        <v>0</v>
      </c>
      <c r="R762" s="7">
        <f>IF($H762&gt;K762,MIN($H762-K762,L762-K762)*INDEX('2018_commission_structure'!$A$11:$I$14,MATCH(Calculations!$E762,'2018_commission_structure'!$A$11:$A$14,0), MATCH(Calculations!R$1,'2018_commission_structure'!$A$11:$I$11,0)),0)</f>
        <v>0</v>
      </c>
      <c r="S762" s="7">
        <f>IF(H762&gt;L762,(H762-L762)*INDEX('2018_commission_structure'!$A$11:$I$14,MATCH(Calculations!$E762,'2018_commission_structure'!$A$11:$A$14,0),MATCH(Calculations!S$1,'2018_commission_structure'!$A$11:$I$11,0)),0)</f>
        <v>0</v>
      </c>
      <c r="T762" s="7">
        <f t="shared" si="104"/>
        <v>82705.5</v>
      </c>
      <c r="U762" s="7">
        <f t="shared" si="105"/>
        <v>197216.5</v>
      </c>
      <c r="V762" s="7">
        <f>MIN(H762,I762)*INDEX('2018_commission_structure'!$A$5:$J$8,MATCH(Calculations!$E762,'2018_commission_structure'!$A$5:$A$8,0),MATCH(Calculations!V$1,'2018_commission_structure'!$A$5:$J$5,0))</f>
        <v>82705.5</v>
      </c>
      <c r="W762" s="2">
        <f>IF($H762&gt;I762,MIN($H762-I762,J762-I762)*INDEX('2018_commission_structure'!$A$5:$J$8,MATCH(Calculations!$E762,'2018_commission_structure'!$A$5:$A$8,0),MATCH(Calculations!W$1,'2018_commission_structure'!$A$5:$J$5,0)),0)</f>
        <v>0</v>
      </c>
      <c r="X762" s="2">
        <f>IF($H762&gt;J762,MIN($H762-J762,K762-J762)*INDEX('2018_commission_structure'!$A$5:$J$8,MATCH(Calculations!$E762,'2018_commission_structure'!$A$5:$A$8,0),MATCH(Calculations!X$1,'2018_commission_structure'!$A$5:$J$5,0)),0)</f>
        <v>0</v>
      </c>
      <c r="Y762" s="2">
        <f>IF($H762&gt;K762,MIN($H762-K762,L762-K762)*INDEX('2018_commission_structure'!$A$5:$J$8,MATCH(Calculations!$E762,'2018_commission_structure'!$A$5:$A$8,0),MATCH(Calculations!Y$1,'2018_commission_structure'!$A$5:$J$5,0)),0)</f>
        <v>0</v>
      </c>
      <c r="Z762" s="2">
        <f xml:space="preserve"> IF(H762&gt;L762,(H762-L762)*INDEX('2018_commission_structure'!$A$11:$I$14,MATCH(Calculations!$E762,'2018_commission_structure'!$A$11:$A$14,0),MATCH(Calculations!Z$1,'2018_commission_structure'!$A$11:$I$11,0)),0)</f>
        <v>0</v>
      </c>
      <c r="AA762" s="7">
        <f t="shared" si="106"/>
        <v>82705.5</v>
      </c>
      <c r="AB762" s="7">
        <f t="shared" si="107"/>
        <v>197216.5</v>
      </c>
    </row>
    <row r="763" spans="1:28" x14ac:dyDescent="0.25">
      <c r="A763">
        <v>9782845590</v>
      </c>
      <c r="B763" t="s">
        <v>202</v>
      </c>
      <c r="C763" t="s">
        <v>203</v>
      </c>
      <c r="D763" t="str">
        <f>B763&amp;" "&amp;C763</f>
        <v>Berk Remnant</v>
      </c>
      <c r="E763" t="s">
        <v>10</v>
      </c>
      <c r="F763">
        <v>97594</v>
      </c>
      <c r="G763">
        <f>COUNTIF(deals_closed!D:D,Calculations!A763)</f>
        <v>18</v>
      </c>
      <c r="H763" s="2">
        <f>SUMIF(deals_closed!D:D,Calculations!A763,deals_closed!C:C)</f>
        <v>727563</v>
      </c>
      <c r="I763" s="2">
        <f>VLOOKUP(E763,'2018_commission_structure'!$A$11:$I$14,9,FALSE)</f>
        <v>750000</v>
      </c>
      <c r="J763" s="2">
        <f t="shared" si="99"/>
        <v>937500</v>
      </c>
      <c r="K763" s="2">
        <f t="shared" si="100"/>
        <v>1125000</v>
      </c>
      <c r="L763" s="2">
        <f t="shared" si="101"/>
        <v>1500000</v>
      </c>
      <c r="M763" s="6">
        <f t="shared" si="102"/>
        <v>0.97008399999999995</v>
      </c>
      <c r="N763" t="str">
        <f t="shared" si="103"/>
        <v>0-100%</v>
      </c>
      <c r="O763" s="7">
        <f>MIN(I763,H763)*INDEX('2018_commission_structure'!$A$11:$I$14,MATCH(Calculations!$E763,'2018_commission_structure'!$A$11:$A$14,0),MATCH(Calculations!O$1,'2018_commission_structure'!$A$11:$I$11,0))</f>
        <v>109134.45</v>
      </c>
      <c r="P763" s="7">
        <f>IF($H763&gt;I763,MIN($H763-I763,J763-I763)*INDEX('2018_commission_structure'!$A$11:$I$14,MATCH(Calculations!$E763,'2018_commission_structure'!$A$11:$A$14,0), MATCH(Calculations!P$1,'2018_commission_structure'!$A$11:$I$11,0)),0)</f>
        <v>0</v>
      </c>
      <c r="Q763" s="7">
        <f>IF($H763&gt;J763,MIN($H763-J763,K763-J763)*INDEX('2018_commission_structure'!$A$11:$I$14,MATCH(Calculations!$E763,'2018_commission_structure'!$A$11:$A$14,0), MATCH(Calculations!Q$1,'2018_commission_structure'!$A$11:$I$11,0)),0)</f>
        <v>0</v>
      </c>
      <c r="R763" s="7">
        <f>IF($H763&gt;K763,MIN($H763-K763,L763-K763)*INDEX('2018_commission_structure'!$A$11:$I$14,MATCH(Calculations!$E763,'2018_commission_structure'!$A$11:$A$14,0), MATCH(Calculations!R$1,'2018_commission_structure'!$A$11:$I$11,0)),0)</f>
        <v>0</v>
      </c>
      <c r="S763" s="7">
        <f>IF(H763&gt;L763,(H763-L763)*INDEX('2018_commission_structure'!$A$11:$I$14,MATCH(Calculations!$E763,'2018_commission_structure'!$A$11:$A$14,0),MATCH(Calculations!S$1,'2018_commission_structure'!$A$11:$I$11,0)),0)</f>
        <v>0</v>
      </c>
      <c r="T763" s="7">
        <f t="shared" si="104"/>
        <v>109134.45</v>
      </c>
      <c r="U763" s="7">
        <f t="shared" si="105"/>
        <v>206728.45</v>
      </c>
      <c r="V763" s="7">
        <f>MIN(H763,I763)*INDEX('2018_commission_structure'!$A$5:$J$8,MATCH(Calculations!$E763,'2018_commission_structure'!$A$5:$A$8,0),MATCH(Calculations!V$1,'2018_commission_structure'!$A$5:$J$5,0))</f>
        <v>109134.45</v>
      </c>
      <c r="W763" s="2">
        <f>IF($H763&gt;I763,MIN($H763-I763,J763-I763)*INDEX('2018_commission_structure'!$A$5:$J$8,MATCH(Calculations!$E763,'2018_commission_structure'!$A$5:$A$8,0),MATCH(Calculations!W$1,'2018_commission_structure'!$A$5:$J$5,0)),0)</f>
        <v>0</v>
      </c>
      <c r="X763" s="2">
        <f>IF($H763&gt;J763,MIN($H763-J763,K763-J763)*INDEX('2018_commission_structure'!$A$5:$J$8,MATCH(Calculations!$E763,'2018_commission_structure'!$A$5:$A$8,0),MATCH(Calculations!X$1,'2018_commission_structure'!$A$5:$J$5,0)),0)</f>
        <v>0</v>
      </c>
      <c r="Y763" s="2">
        <f>IF($H763&gt;K763,MIN($H763-K763,L763-K763)*INDEX('2018_commission_structure'!$A$5:$J$8,MATCH(Calculations!$E763,'2018_commission_structure'!$A$5:$A$8,0),MATCH(Calculations!Y$1,'2018_commission_structure'!$A$5:$J$5,0)),0)</f>
        <v>0</v>
      </c>
      <c r="Z763" s="2">
        <f xml:space="preserve"> IF(H763&gt;L763,(H763-L763)*INDEX('2018_commission_structure'!$A$11:$I$14,MATCH(Calculations!$E763,'2018_commission_structure'!$A$11:$A$14,0),MATCH(Calculations!Z$1,'2018_commission_structure'!$A$11:$I$11,0)),0)</f>
        <v>0</v>
      </c>
      <c r="AA763" s="7">
        <f t="shared" si="106"/>
        <v>109134.45</v>
      </c>
      <c r="AB763" s="7">
        <f t="shared" si="107"/>
        <v>206728.45</v>
      </c>
    </row>
    <row r="764" spans="1:28" x14ac:dyDescent="0.25">
      <c r="A764">
        <v>7118642576</v>
      </c>
      <c r="B764" t="s">
        <v>970</v>
      </c>
      <c r="C764" t="s">
        <v>971</v>
      </c>
      <c r="D764" t="str">
        <f>B764&amp;" "&amp;C764</f>
        <v>Ophelia Renak</v>
      </c>
      <c r="E764" t="s">
        <v>7</v>
      </c>
      <c r="F764">
        <v>31307</v>
      </c>
      <c r="G764">
        <f>COUNTIF(deals_closed!D:D,Calculations!A764)</f>
        <v>19</v>
      </c>
      <c r="H764" s="2">
        <f>SUMIF(deals_closed!D:D,Calculations!A764,deals_closed!C:C)</f>
        <v>707519</v>
      </c>
      <c r="I764" s="2">
        <f>VLOOKUP(E764,'2018_commission_structure'!$A$11:$I$14,9,FALSE)</f>
        <v>500000</v>
      </c>
      <c r="J764" s="2">
        <f t="shared" si="99"/>
        <v>625000</v>
      </c>
      <c r="K764" s="2">
        <f t="shared" si="100"/>
        <v>750000</v>
      </c>
      <c r="L764" s="2">
        <f t="shared" si="101"/>
        <v>1000000</v>
      </c>
      <c r="M764" s="6">
        <f t="shared" si="102"/>
        <v>1.415038</v>
      </c>
      <c r="N764" t="str">
        <f t="shared" si="103"/>
        <v>125-150%</v>
      </c>
      <c r="O764" s="7">
        <f>MIN(I764,H764)*INDEX('2018_commission_structure'!$A$11:$I$14,MATCH(Calculations!$E764,'2018_commission_structure'!$A$11:$A$14,0),MATCH(Calculations!O$1,'2018_commission_structure'!$A$11:$I$11,0))</f>
        <v>50000</v>
      </c>
      <c r="P764" s="7">
        <f>IF($H764&gt;I764,MIN($H764-I764,J764-I764)*INDEX('2018_commission_structure'!$A$11:$I$14,MATCH(Calculations!$E764,'2018_commission_structure'!$A$11:$A$14,0), MATCH(Calculations!P$1,'2018_commission_structure'!$A$11:$I$11,0)),0)</f>
        <v>18750</v>
      </c>
      <c r="Q764" s="7">
        <f>IF($H764&gt;J764,MIN($H764-J764,K764-J764)*INDEX('2018_commission_structure'!$A$11:$I$14,MATCH(Calculations!$E764,'2018_commission_structure'!$A$11:$A$14,0), MATCH(Calculations!Q$1,'2018_commission_structure'!$A$11:$I$11,0)),0)</f>
        <v>14853.42</v>
      </c>
      <c r="R764" s="7">
        <f>IF($H764&gt;K764,MIN($H764-K764,L764-K764)*INDEX('2018_commission_structure'!$A$11:$I$14,MATCH(Calculations!$E764,'2018_commission_structure'!$A$11:$A$14,0), MATCH(Calculations!R$1,'2018_commission_structure'!$A$11:$I$11,0)),0)</f>
        <v>0</v>
      </c>
      <c r="S764" s="7">
        <f>IF(H764&gt;L764,(H764-L764)*INDEX('2018_commission_structure'!$A$11:$I$14,MATCH(Calculations!$E764,'2018_commission_structure'!$A$11:$A$14,0),MATCH(Calculations!S$1,'2018_commission_structure'!$A$11:$I$11,0)),0)</f>
        <v>0</v>
      </c>
      <c r="T764" s="7">
        <f t="shared" si="104"/>
        <v>83603.42</v>
      </c>
      <c r="U764" s="7">
        <f t="shared" si="105"/>
        <v>114910.42</v>
      </c>
      <c r="V764" s="7">
        <f>MIN(H764,I764)*INDEX('2018_commission_structure'!$A$5:$J$8,MATCH(Calculations!$E764,'2018_commission_structure'!$A$5:$A$8,0),MATCH(Calculations!V$1,'2018_commission_structure'!$A$5:$J$5,0))</f>
        <v>60000</v>
      </c>
      <c r="W764" s="2">
        <f>IF($H764&gt;I764,MIN($H764-I764,J764-I764)*INDEX('2018_commission_structure'!$A$5:$J$8,MATCH(Calculations!$E764,'2018_commission_structure'!$A$5:$A$8,0),MATCH(Calculations!W$1,'2018_commission_structure'!$A$5:$J$5,0)),0)</f>
        <v>21250</v>
      </c>
      <c r="X764" s="2">
        <f>IF($H764&gt;J764,MIN($H764-J764,K764-J764)*INDEX('2018_commission_structure'!$A$5:$J$8,MATCH(Calculations!$E764,'2018_commission_structure'!$A$5:$A$8,0),MATCH(Calculations!X$1,'2018_commission_structure'!$A$5:$J$5,0)),0)</f>
        <v>16503.8</v>
      </c>
      <c r="Y764" s="2">
        <f>IF($H764&gt;K764,MIN($H764-K764,L764-K764)*INDEX('2018_commission_structure'!$A$5:$J$8,MATCH(Calculations!$E764,'2018_commission_structure'!$A$5:$A$8,0),MATCH(Calculations!Y$1,'2018_commission_structure'!$A$5:$J$5,0)),0)</f>
        <v>0</v>
      </c>
      <c r="Z764" s="2">
        <f xml:space="preserve"> IF(H764&gt;L764,(H764-L764)*INDEX('2018_commission_structure'!$A$11:$I$14,MATCH(Calculations!$E764,'2018_commission_structure'!$A$11:$A$14,0),MATCH(Calculations!Z$1,'2018_commission_structure'!$A$11:$I$11,0)),0)</f>
        <v>0</v>
      </c>
      <c r="AA764" s="7">
        <f t="shared" si="106"/>
        <v>97753.8</v>
      </c>
      <c r="AB764" s="7">
        <f t="shared" si="107"/>
        <v>129060.8</v>
      </c>
    </row>
    <row r="765" spans="1:28" x14ac:dyDescent="0.25">
      <c r="A765">
        <v>9258570278</v>
      </c>
      <c r="B765" t="s">
        <v>1397</v>
      </c>
      <c r="C765" t="s">
        <v>971</v>
      </c>
      <c r="D765" t="str">
        <f>B765&amp;" "&amp;C765</f>
        <v>Mallissa Renak</v>
      </c>
      <c r="E765" t="s">
        <v>10</v>
      </c>
      <c r="F765">
        <v>114845</v>
      </c>
      <c r="G765">
        <f>COUNTIF(deals_closed!D:D,Calculations!A765)</f>
        <v>26</v>
      </c>
      <c r="H765" s="2">
        <f>SUMIF(deals_closed!D:D,Calculations!A765,deals_closed!C:C)</f>
        <v>947743</v>
      </c>
      <c r="I765" s="2">
        <f>VLOOKUP(E765,'2018_commission_structure'!$A$11:$I$14,9,FALSE)</f>
        <v>750000</v>
      </c>
      <c r="J765" s="2">
        <f t="shared" si="99"/>
        <v>937500</v>
      </c>
      <c r="K765" s="2">
        <f t="shared" si="100"/>
        <v>1125000</v>
      </c>
      <c r="L765" s="2">
        <f t="shared" si="101"/>
        <v>1500000</v>
      </c>
      <c r="M765" s="6">
        <f t="shared" si="102"/>
        <v>1.2636573333333334</v>
      </c>
      <c r="N765" t="str">
        <f t="shared" si="103"/>
        <v>125-150%</v>
      </c>
      <c r="O765" s="7">
        <f>MIN(I765,H765)*INDEX('2018_commission_structure'!$A$11:$I$14,MATCH(Calculations!$E765,'2018_commission_structure'!$A$11:$A$14,0),MATCH(Calculations!O$1,'2018_commission_structure'!$A$11:$I$11,0))</f>
        <v>112500</v>
      </c>
      <c r="P765" s="7">
        <f>IF($H765&gt;I765,MIN($H765-I765,J765-I765)*INDEX('2018_commission_structure'!$A$11:$I$14,MATCH(Calculations!$E765,'2018_commission_structure'!$A$11:$A$14,0), MATCH(Calculations!P$1,'2018_commission_structure'!$A$11:$I$11,0)),0)</f>
        <v>35625</v>
      </c>
      <c r="Q765" s="7">
        <f>IF($H765&gt;J765,MIN($H765-J765,K765-J765)*INDEX('2018_commission_structure'!$A$11:$I$14,MATCH(Calculations!$E765,'2018_commission_structure'!$A$11:$A$14,0), MATCH(Calculations!Q$1,'2018_commission_structure'!$A$11:$I$11,0)),0)</f>
        <v>2355.8900000000003</v>
      </c>
      <c r="R765" s="7">
        <f>IF($H765&gt;K765,MIN($H765-K765,L765-K765)*INDEX('2018_commission_structure'!$A$11:$I$14,MATCH(Calculations!$E765,'2018_commission_structure'!$A$11:$A$14,0), MATCH(Calculations!R$1,'2018_commission_structure'!$A$11:$I$11,0)),0)</f>
        <v>0</v>
      </c>
      <c r="S765" s="7">
        <f>IF(H765&gt;L765,(H765-L765)*INDEX('2018_commission_structure'!$A$11:$I$14,MATCH(Calculations!$E765,'2018_commission_structure'!$A$11:$A$14,0),MATCH(Calculations!S$1,'2018_commission_structure'!$A$11:$I$11,0)),0)</f>
        <v>0</v>
      </c>
      <c r="T765" s="7">
        <f t="shared" si="104"/>
        <v>150480.89000000001</v>
      </c>
      <c r="U765" s="7">
        <f t="shared" si="105"/>
        <v>265325.89</v>
      </c>
      <c r="V765" s="7">
        <f>MIN(H765,I765)*INDEX('2018_commission_structure'!$A$5:$J$8,MATCH(Calculations!$E765,'2018_commission_structure'!$A$5:$A$8,0),MATCH(Calculations!V$1,'2018_commission_structure'!$A$5:$J$5,0))</f>
        <v>112500</v>
      </c>
      <c r="W765" s="2">
        <f>IF($H765&gt;I765,MIN($H765-I765,J765-I765)*INDEX('2018_commission_structure'!$A$5:$J$8,MATCH(Calculations!$E765,'2018_commission_structure'!$A$5:$A$8,0),MATCH(Calculations!W$1,'2018_commission_structure'!$A$5:$J$5,0)),0)</f>
        <v>41250</v>
      </c>
      <c r="X765" s="2">
        <f>IF($H765&gt;J765,MIN($H765-J765,K765-J765)*INDEX('2018_commission_structure'!$A$5:$J$8,MATCH(Calculations!$E765,'2018_commission_structure'!$A$5:$A$8,0),MATCH(Calculations!X$1,'2018_commission_structure'!$A$5:$J$5,0)),0)</f>
        <v>2560.75</v>
      </c>
      <c r="Y765" s="2">
        <f>IF($H765&gt;K765,MIN($H765-K765,L765-K765)*INDEX('2018_commission_structure'!$A$5:$J$8,MATCH(Calculations!$E765,'2018_commission_structure'!$A$5:$A$8,0),MATCH(Calculations!Y$1,'2018_commission_structure'!$A$5:$J$5,0)),0)</f>
        <v>0</v>
      </c>
      <c r="Z765" s="2">
        <f xml:space="preserve"> IF(H765&gt;L765,(H765-L765)*INDEX('2018_commission_structure'!$A$11:$I$14,MATCH(Calculations!$E765,'2018_commission_structure'!$A$11:$A$14,0),MATCH(Calculations!Z$1,'2018_commission_structure'!$A$11:$I$11,0)),0)</f>
        <v>0</v>
      </c>
      <c r="AA765" s="7">
        <f t="shared" si="106"/>
        <v>156310.75</v>
      </c>
      <c r="AB765" s="7">
        <f t="shared" si="107"/>
        <v>271155.75</v>
      </c>
    </row>
    <row r="766" spans="1:28" x14ac:dyDescent="0.25">
      <c r="A766">
        <v>3488994694</v>
      </c>
      <c r="B766" t="s">
        <v>1377</v>
      </c>
      <c r="C766" t="s">
        <v>1378</v>
      </c>
      <c r="D766" t="str">
        <f>B766&amp;" "&amp;C766</f>
        <v>Wheeler Renoden</v>
      </c>
      <c r="E766" t="s">
        <v>10</v>
      </c>
      <c r="F766">
        <v>120422</v>
      </c>
      <c r="G766">
        <f>COUNTIF(deals_closed!D:D,Calculations!A766)</f>
        <v>22</v>
      </c>
      <c r="H766" s="2">
        <f>SUMIF(deals_closed!D:D,Calculations!A766,deals_closed!C:C)</f>
        <v>819130</v>
      </c>
      <c r="I766" s="2">
        <f>VLOOKUP(E766,'2018_commission_structure'!$A$11:$I$14,9,FALSE)</f>
        <v>750000</v>
      </c>
      <c r="J766" s="2">
        <f t="shared" si="99"/>
        <v>937500</v>
      </c>
      <c r="K766" s="2">
        <f t="shared" si="100"/>
        <v>1125000</v>
      </c>
      <c r="L766" s="2">
        <f t="shared" si="101"/>
        <v>1500000</v>
      </c>
      <c r="M766" s="6">
        <f t="shared" si="102"/>
        <v>1.0921733333333334</v>
      </c>
      <c r="N766" t="str">
        <f t="shared" si="103"/>
        <v>100-125%</v>
      </c>
      <c r="O766" s="7">
        <f>MIN(I766,H766)*INDEX('2018_commission_structure'!$A$11:$I$14,MATCH(Calculations!$E766,'2018_commission_structure'!$A$11:$A$14,0),MATCH(Calculations!O$1,'2018_commission_structure'!$A$11:$I$11,0))</f>
        <v>112500</v>
      </c>
      <c r="P766" s="7">
        <f>IF($H766&gt;I766,MIN($H766-I766,J766-I766)*INDEX('2018_commission_structure'!$A$11:$I$14,MATCH(Calculations!$E766,'2018_commission_structure'!$A$11:$A$14,0), MATCH(Calculations!P$1,'2018_commission_structure'!$A$11:$I$11,0)),0)</f>
        <v>13134.7</v>
      </c>
      <c r="Q766" s="7">
        <f>IF($H766&gt;J766,MIN($H766-J766,K766-J766)*INDEX('2018_commission_structure'!$A$11:$I$14,MATCH(Calculations!$E766,'2018_commission_structure'!$A$11:$A$14,0), MATCH(Calculations!Q$1,'2018_commission_structure'!$A$11:$I$11,0)),0)</f>
        <v>0</v>
      </c>
      <c r="R766" s="7">
        <f>IF($H766&gt;K766,MIN($H766-K766,L766-K766)*INDEX('2018_commission_structure'!$A$11:$I$14,MATCH(Calculations!$E766,'2018_commission_structure'!$A$11:$A$14,0), MATCH(Calculations!R$1,'2018_commission_structure'!$A$11:$I$11,0)),0)</f>
        <v>0</v>
      </c>
      <c r="S766" s="7">
        <f>IF(H766&gt;L766,(H766-L766)*INDEX('2018_commission_structure'!$A$11:$I$14,MATCH(Calculations!$E766,'2018_commission_structure'!$A$11:$A$14,0),MATCH(Calculations!S$1,'2018_commission_structure'!$A$11:$I$11,0)),0)</f>
        <v>0</v>
      </c>
      <c r="T766" s="7">
        <f t="shared" si="104"/>
        <v>125634.7</v>
      </c>
      <c r="U766" s="7">
        <f t="shared" si="105"/>
        <v>246056.7</v>
      </c>
      <c r="V766" s="7">
        <f>MIN(H766,I766)*INDEX('2018_commission_structure'!$A$5:$J$8,MATCH(Calculations!$E766,'2018_commission_structure'!$A$5:$A$8,0),MATCH(Calculations!V$1,'2018_commission_structure'!$A$5:$J$5,0))</f>
        <v>112500</v>
      </c>
      <c r="W766" s="2">
        <f>IF($H766&gt;I766,MIN($H766-I766,J766-I766)*INDEX('2018_commission_structure'!$A$5:$J$8,MATCH(Calculations!$E766,'2018_commission_structure'!$A$5:$A$8,0),MATCH(Calculations!W$1,'2018_commission_structure'!$A$5:$J$5,0)),0)</f>
        <v>15208.6</v>
      </c>
      <c r="X766" s="2">
        <f>IF($H766&gt;J766,MIN($H766-J766,K766-J766)*INDEX('2018_commission_structure'!$A$5:$J$8,MATCH(Calculations!$E766,'2018_commission_structure'!$A$5:$A$8,0),MATCH(Calculations!X$1,'2018_commission_structure'!$A$5:$J$5,0)),0)</f>
        <v>0</v>
      </c>
      <c r="Y766" s="2">
        <f>IF($H766&gt;K766,MIN($H766-K766,L766-K766)*INDEX('2018_commission_structure'!$A$5:$J$8,MATCH(Calculations!$E766,'2018_commission_structure'!$A$5:$A$8,0),MATCH(Calculations!Y$1,'2018_commission_structure'!$A$5:$J$5,0)),0)</f>
        <v>0</v>
      </c>
      <c r="Z766" s="2">
        <f xml:space="preserve"> IF(H766&gt;L766,(H766-L766)*INDEX('2018_commission_structure'!$A$11:$I$14,MATCH(Calculations!$E766,'2018_commission_structure'!$A$11:$A$14,0),MATCH(Calculations!Z$1,'2018_commission_structure'!$A$11:$I$11,0)),0)</f>
        <v>0</v>
      </c>
      <c r="AA766" s="7">
        <f t="shared" si="106"/>
        <v>127708.6</v>
      </c>
      <c r="AB766" s="7">
        <f t="shared" si="107"/>
        <v>248130.6</v>
      </c>
    </row>
    <row r="767" spans="1:28" x14ac:dyDescent="0.25">
      <c r="A767">
        <v>8349606134</v>
      </c>
      <c r="B767" t="s">
        <v>1337</v>
      </c>
      <c r="C767" t="s">
        <v>1338</v>
      </c>
      <c r="D767" t="str">
        <f>B767&amp;" "&amp;C767</f>
        <v>Beaufort Rentcome</v>
      </c>
      <c r="E767" t="s">
        <v>7</v>
      </c>
      <c r="F767">
        <v>36618</v>
      </c>
      <c r="G767">
        <f>COUNTIF(deals_closed!D:D,Calculations!A767)</f>
        <v>21</v>
      </c>
      <c r="H767" s="2">
        <f>SUMIF(deals_closed!D:D,Calculations!A767,deals_closed!C:C)</f>
        <v>733725</v>
      </c>
      <c r="I767" s="2">
        <f>VLOOKUP(E767,'2018_commission_structure'!$A$11:$I$14,9,FALSE)</f>
        <v>500000</v>
      </c>
      <c r="J767" s="2">
        <f t="shared" si="99"/>
        <v>625000</v>
      </c>
      <c r="K767" s="2">
        <f t="shared" si="100"/>
        <v>750000</v>
      </c>
      <c r="L767" s="2">
        <f t="shared" si="101"/>
        <v>1000000</v>
      </c>
      <c r="M767" s="6">
        <f t="shared" si="102"/>
        <v>1.4674499999999999</v>
      </c>
      <c r="N767" t="str">
        <f t="shared" si="103"/>
        <v>125-150%</v>
      </c>
      <c r="O767" s="7">
        <f>MIN(I767,H767)*INDEX('2018_commission_structure'!$A$11:$I$14,MATCH(Calculations!$E767,'2018_commission_structure'!$A$11:$A$14,0),MATCH(Calculations!O$1,'2018_commission_structure'!$A$11:$I$11,0))</f>
        <v>50000</v>
      </c>
      <c r="P767" s="7">
        <f>IF($H767&gt;I767,MIN($H767-I767,J767-I767)*INDEX('2018_commission_structure'!$A$11:$I$14,MATCH(Calculations!$E767,'2018_commission_structure'!$A$11:$A$14,0), MATCH(Calculations!P$1,'2018_commission_structure'!$A$11:$I$11,0)),0)</f>
        <v>18750</v>
      </c>
      <c r="Q767" s="7">
        <f>IF($H767&gt;J767,MIN($H767-J767,K767-J767)*INDEX('2018_commission_structure'!$A$11:$I$14,MATCH(Calculations!$E767,'2018_commission_structure'!$A$11:$A$14,0), MATCH(Calculations!Q$1,'2018_commission_structure'!$A$11:$I$11,0)),0)</f>
        <v>19570.5</v>
      </c>
      <c r="R767" s="7">
        <f>IF($H767&gt;K767,MIN($H767-K767,L767-K767)*INDEX('2018_commission_structure'!$A$11:$I$14,MATCH(Calculations!$E767,'2018_commission_structure'!$A$11:$A$14,0), MATCH(Calculations!R$1,'2018_commission_structure'!$A$11:$I$11,0)),0)</f>
        <v>0</v>
      </c>
      <c r="S767" s="7">
        <f>IF(H767&gt;L767,(H767-L767)*INDEX('2018_commission_structure'!$A$11:$I$14,MATCH(Calculations!$E767,'2018_commission_structure'!$A$11:$A$14,0),MATCH(Calculations!S$1,'2018_commission_structure'!$A$11:$I$11,0)),0)</f>
        <v>0</v>
      </c>
      <c r="T767" s="7">
        <f t="shared" si="104"/>
        <v>88320.5</v>
      </c>
      <c r="U767" s="7">
        <f t="shared" si="105"/>
        <v>124938.5</v>
      </c>
      <c r="V767" s="7">
        <f>MIN(H767,I767)*INDEX('2018_commission_structure'!$A$5:$J$8,MATCH(Calculations!$E767,'2018_commission_structure'!$A$5:$A$8,0),MATCH(Calculations!V$1,'2018_commission_structure'!$A$5:$J$5,0))</f>
        <v>60000</v>
      </c>
      <c r="W767" s="2">
        <f>IF($H767&gt;I767,MIN($H767-I767,J767-I767)*INDEX('2018_commission_structure'!$A$5:$J$8,MATCH(Calculations!$E767,'2018_commission_structure'!$A$5:$A$8,0),MATCH(Calculations!W$1,'2018_commission_structure'!$A$5:$J$5,0)),0)</f>
        <v>21250</v>
      </c>
      <c r="X767" s="2">
        <f>IF($H767&gt;J767,MIN($H767-J767,K767-J767)*INDEX('2018_commission_structure'!$A$5:$J$8,MATCH(Calculations!$E767,'2018_commission_structure'!$A$5:$A$8,0),MATCH(Calculations!X$1,'2018_commission_structure'!$A$5:$J$5,0)),0)</f>
        <v>21745</v>
      </c>
      <c r="Y767" s="2">
        <f>IF($H767&gt;K767,MIN($H767-K767,L767-K767)*INDEX('2018_commission_structure'!$A$5:$J$8,MATCH(Calculations!$E767,'2018_commission_structure'!$A$5:$A$8,0),MATCH(Calculations!Y$1,'2018_commission_structure'!$A$5:$J$5,0)),0)</f>
        <v>0</v>
      </c>
      <c r="Z767" s="2">
        <f xml:space="preserve"> IF(H767&gt;L767,(H767-L767)*INDEX('2018_commission_structure'!$A$11:$I$14,MATCH(Calculations!$E767,'2018_commission_structure'!$A$11:$A$14,0),MATCH(Calculations!Z$1,'2018_commission_structure'!$A$11:$I$11,0)),0)</f>
        <v>0</v>
      </c>
      <c r="AA767" s="7">
        <f t="shared" si="106"/>
        <v>102995</v>
      </c>
      <c r="AB767" s="7">
        <f t="shared" si="107"/>
        <v>139613</v>
      </c>
    </row>
    <row r="768" spans="1:28" x14ac:dyDescent="0.25">
      <c r="A768">
        <v>6209983448</v>
      </c>
      <c r="B768" t="s">
        <v>1831</v>
      </c>
      <c r="C768" t="s">
        <v>1832</v>
      </c>
      <c r="D768" t="str">
        <f>B768&amp;" "&amp;C768</f>
        <v>Ellery Renzini</v>
      </c>
      <c r="E768" t="s">
        <v>29</v>
      </c>
      <c r="F768">
        <v>72962</v>
      </c>
      <c r="G768">
        <f>COUNTIF(deals_closed!D:D,Calculations!A768)</f>
        <v>23</v>
      </c>
      <c r="H768" s="2">
        <f>SUMIF(deals_closed!D:D,Calculations!A768,deals_closed!C:C)</f>
        <v>784517</v>
      </c>
      <c r="I768" s="2">
        <f>VLOOKUP(E768,'2018_commission_structure'!$A$11:$I$14,9,FALSE)</f>
        <v>600000</v>
      </c>
      <c r="J768" s="2">
        <f t="shared" si="99"/>
        <v>750000</v>
      </c>
      <c r="K768" s="2">
        <f t="shared" si="100"/>
        <v>900000</v>
      </c>
      <c r="L768" s="2">
        <f t="shared" si="101"/>
        <v>1200000</v>
      </c>
      <c r="M768" s="6">
        <f t="shared" si="102"/>
        <v>1.3075283333333334</v>
      </c>
      <c r="N768" t="str">
        <f t="shared" si="103"/>
        <v>125-150%</v>
      </c>
      <c r="O768" s="7">
        <f>MIN(I768,H768)*INDEX('2018_commission_structure'!$A$11:$I$14,MATCH(Calculations!$E768,'2018_commission_structure'!$A$11:$A$14,0),MATCH(Calculations!O$1,'2018_commission_structure'!$A$11:$I$11,0))</f>
        <v>78000</v>
      </c>
      <c r="P768" s="7">
        <f>IF($H768&gt;I768,MIN($H768-I768,J768-I768)*INDEX('2018_commission_structure'!$A$11:$I$14,MATCH(Calculations!$E768,'2018_commission_structure'!$A$11:$A$14,0), MATCH(Calculations!P$1,'2018_commission_structure'!$A$11:$I$11,0)),0)</f>
        <v>25500.000000000004</v>
      </c>
      <c r="Q768" s="7">
        <f>IF($H768&gt;J768,MIN($H768-J768,K768-J768)*INDEX('2018_commission_structure'!$A$11:$I$14,MATCH(Calculations!$E768,'2018_commission_structure'!$A$11:$A$14,0), MATCH(Calculations!Q$1,'2018_commission_structure'!$A$11:$I$11,0)),0)</f>
        <v>7248.57</v>
      </c>
      <c r="R768" s="7">
        <f>IF($H768&gt;K768,MIN($H768-K768,L768-K768)*INDEX('2018_commission_structure'!$A$11:$I$14,MATCH(Calculations!$E768,'2018_commission_structure'!$A$11:$A$14,0), MATCH(Calculations!R$1,'2018_commission_structure'!$A$11:$I$11,0)),0)</f>
        <v>0</v>
      </c>
      <c r="S768" s="7">
        <f>IF(H768&gt;L768,(H768-L768)*INDEX('2018_commission_structure'!$A$11:$I$14,MATCH(Calculations!$E768,'2018_commission_structure'!$A$11:$A$14,0),MATCH(Calculations!S$1,'2018_commission_structure'!$A$11:$I$11,0)),0)</f>
        <v>0</v>
      </c>
      <c r="T768" s="7">
        <f t="shared" si="104"/>
        <v>110748.57</v>
      </c>
      <c r="U768" s="7">
        <f t="shared" si="105"/>
        <v>183710.57</v>
      </c>
      <c r="V768" s="7">
        <f>MIN(H768,I768)*INDEX('2018_commission_structure'!$A$5:$J$8,MATCH(Calculations!$E768,'2018_commission_structure'!$A$5:$A$8,0),MATCH(Calculations!V$1,'2018_commission_structure'!$A$5:$J$5,0))</f>
        <v>90000</v>
      </c>
      <c r="W768" s="2">
        <f>IF($H768&gt;I768,MIN($H768-I768,J768-I768)*INDEX('2018_commission_structure'!$A$5:$J$8,MATCH(Calculations!$E768,'2018_commission_structure'!$A$5:$A$8,0),MATCH(Calculations!W$1,'2018_commission_structure'!$A$5:$J$5,0)),0)</f>
        <v>27000</v>
      </c>
      <c r="X768" s="2">
        <f>IF($H768&gt;J768,MIN($H768-J768,K768-J768)*INDEX('2018_commission_structure'!$A$5:$J$8,MATCH(Calculations!$E768,'2018_commission_structure'!$A$5:$A$8,0),MATCH(Calculations!X$1,'2018_commission_structure'!$A$5:$J$5,0)),0)</f>
        <v>8629.25</v>
      </c>
      <c r="Y768" s="2">
        <f>IF($H768&gt;K768,MIN($H768-K768,L768-K768)*INDEX('2018_commission_structure'!$A$5:$J$8,MATCH(Calculations!$E768,'2018_commission_structure'!$A$5:$A$8,0),MATCH(Calculations!Y$1,'2018_commission_structure'!$A$5:$J$5,0)),0)</f>
        <v>0</v>
      </c>
      <c r="Z768" s="2">
        <f xml:space="preserve"> IF(H768&gt;L768,(H768-L768)*INDEX('2018_commission_structure'!$A$11:$I$14,MATCH(Calculations!$E768,'2018_commission_structure'!$A$11:$A$14,0),MATCH(Calculations!Z$1,'2018_commission_structure'!$A$11:$I$11,0)),0)</f>
        <v>0</v>
      </c>
      <c r="AA768" s="7">
        <f t="shared" si="106"/>
        <v>125629.25</v>
      </c>
      <c r="AB768" s="7">
        <f t="shared" si="107"/>
        <v>198591.25</v>
      </c>
    </row>
    <row r="769" spans="1:28" x14ac:dyDescent="0.25">
      <c r="A769">
        <v>5341512014</v>
      </c>
      <c r="B769" t="s">
        <v>1868</v>
      </c>
      <c r="C769" t="s">
        <v>1869</v>
      </c>
      <c r="D769" t="str">
        <f>B769&amp;" "&amp;C769</f>
        <v>Fianna Restorick</v>
      </c>
      <c r="E769" t="s">
        <v>7</v>
      </c>
      <c r="F769">
        <v>57651</v>
      </c>
      <c r="G769">
        <f>COUNTIF(deals_closed!D:D,Calculations!A769)</f>
        <v>14</v>
      </c>
      <c r="H769" s="2">
        <f>SUMIF(deals_closed!D:D,Calculations!A769,deals_closed!C:C)</f>
        <v>474985</v>
      </c>
      <c r="I769" s="2">
        <f>VLOOKUP(E769,'2018_commission_structure'!$A$11:$I$14,9,FALSE)</f>
        <v>500000</v>
      </c>
      <c r="J769" s="2">
        <f t="shared" si="99"/>
        <v>625000</v>
      </c>
      <c r="K769" s="2">
        <f t="shared" si="100"/>
        <v>750000</v>
      </c>
      <c r="L769" s="2">
        <f t="shared" si="101"/>
        <v>1000000</v>
      </c>
      <c r="M769" s="6">
        <f t="shared" si="102"/>
        <v>0.94996999999999998</v>
      </c>
      <c r="N769" t="str">
        <f t="shared" si="103"/>
        <v>0-100%</v>
      </c>
      <c r="O769" s="7">
        <f>MIN(I769,H769)*INDEX('2018_commission_structure'!$A$11:$I$14,MATCH(Calculations!$E769,'2018_commission_structure'!$A$11:$A$14,0),MATCH(Calculations!O$1,'2018_commission_structure'!$A$11:$I$11,0))</f>
        <v>47498.5</v>
      </c>
      <c r="P769" s="7">
        <f>IF($H769&gt;I769,MIN($H769-I769,J769-I769)*INDEX('2018_commission_structure'!$A$11:$I$14,MATCH(Calculations!$E769,'2018_commission_structure'!$A$11:$A$14,0), MATCH(Calculations!P$1,'2018_commission_structure'!$A$11:$I$11,0)),0)</f>
        <v>0</v>
      </c>
      <c r="Q769" s="7">
        <f>IF($H769&gt;J769,MIN($H769-J769,K769-J769)*INDEX('2018_commission_structure'!$A$11:$I$14,MATCH(Calculations!$E769,'2018_commission_structure'!$A$11:$A$14,0), MATCH(Calculations!Q$1,'2018_commission_structure'!$A$11:$I$11,0)),0)</f>
        <v>0</v>
      </c>
      <c r="R769" s="7">
        <f>IF($H769&gt;K769,MIN($H769-K769,L769-K769)*INDEX('2018_commission_structure'!$A$11:$I$14,MATCH(Calculations!$E769,'2018_commission_structure'!$A$11:$A$14,0), MATCH(Calculations!R$1,'2018_commission_structure'!$A$11:$I$11,0)),0)</f>
        <v>0</v>
      </c>
      <c r="S769" s="7">
        <f>IF(H769&gt;L769,(H769-L769)*INDEX('2018_commission_structure'!$A$11:$I$14,MATCH(Calculations!$E769,'2018_commission_structure'!$A$11:$A$14,0),MATCH(Calculations!S$1,'2018_commission_structure'!$A$11:$I$11,0)),0)</f>
        <v>0</v>
      </c>
      <c r="T769" s="7">
        <f t="shared" si="104"/>
        <v>47498.5</v>
      </c>
      <c r="U769" s="7">
        <f t="shared" si="105"/>
        <v>105149.5</v>
      </c>
      <c r="V769" s="7">
        <f>MIN(H769,I769)*INDEX('2018_commission_structure'!$A$5:$J$8,MATCH(Calculations!$E769,'2018_commission_structure'!$A$5:$A$8,0),MATCH(Calculations!V$1,'2018_commission_structure'!$A$5:$J$5,0))</f>
        <v>56998.2</v>
      </c>
      <c r="W769" s="2">
        <f>IF($H769&gt;I769,MIN($H769-I769,J769-I769)*INDEX('2018_commission_structure'!$A$5:$J$8,MATCH(Calculations!$E769,'2018_commission_structure'!$A$5:$A$8,0),MATCH(Calculations!W$1,'2018_commission_structure'!$A$5:$J$5,0)),0)</f>
        <v>0</v>
      </c>
      <c r="X769" s="2">
        <f>IF($H769&gt;J769,MIN($H769-J769,K769-J769)*INDEX('2018_commission_structure'!$A$5:$J$8,MATCH(Calculations!$E769,'2018_commission_structure'!$A$5:$A$8,0),MATCH(Calculations!X$1,'2018_commission_structure'!$A$5:$J$5,0)),0)</f>
        <v>0</v>
      </c>
      <c r="Y769" s="2">
        <f>IF($H769&gt;K769,MIN($H769-K769,L769-K769)*INDEX('2018_commission_structure'!$A$5:$J$8,MATCH(Calculations!$E769,'2018_commission_structure'!$A$5:$A$8,0),MATCH(Calculations!Y$1,'2018_commission_structure'!$A$5:$J$5,0)),0)</f>
        <v>0</v>
      </c>
      <c r="Z769" s="2">
        <f xml:space="preserve"> IF(H769&gt;L769,(H769-L769)*INDEX('2018_commission_structure'!$A$11:$I$14,MATCH(Calculations!$E769,'2018_commission_structure'!$A$11:$A$14,0),MATCH(Calculations!Z$1,'2018_commission_structure'!$A$11:$I$11,0)),0)</f>
        <v>0</v>
      </c>
      <c r="AA769" s="7">
        <f t="shared" si="106"/>
        <v>56998.2</v>
      </c>
      <c r="AB769" s="7">
        <f t="shared" si="107"/>
        <v>114649.2</v>
      </c>
    </row>
    <row r="770" spans="1:28" x14ac:dyDescent="0.25">
      <c r="A770">
        <v>1892125439</v>
      </c>
      <c r="B770" t="s">
        <v>600</v>
      </c>
      <c r="C770" t="s">
        <v>1528</v>
      </c>
      <c r="D770" t="str">
        <f>B770&amp;" "&amp;C770</f>
        <v>Amalle Reymers</v>
      </c>
      <c r="E770" t="s">
        <v>10</v>
      </c>
      <c r="F770">
        <v>95373</v>
      </c>
      <c r="G770">
        <f>COUNTIF(deals_closed!D:D,Calculations!A770)</f>
        <v>31</v>
      </c>
      <c r="H770" s="2">
        <f>SUMIF(deals_closed!D:D,Calculations!A770,deals_closed!C:C)</f>
        <v>1143315</v>
      </c>
      <c r="I770" s="2">
        <f>VLOOKUP(E770,'2018_commission_structure'!$A$11:$I$14,9,FALSE)</f>
        <v>750000</v>
      </c>
      <c r="J770" s="2">
        <f t="shared" ref="J770:J833" si="108">I770*1.25</f>
        <v>937500</v>
      </c>
      <c r="K770" s="2">
        <f t="shared" ref="K770:K833" si="109">I770*1.5</f>
        <v>1125000</v>
      </c>
      <c r="L770" s="2">
        <f t="shared" ref="L770:L833" si="110">I770*2</f>
        <v>1500000</v>
      </c>
      <c r="M770" s="6">
        <f t="shared" ref="M770:M833" si="111">H770/I770</f>
        <v>1.5244200000000001</v>
      </c>
      <c r="N770" t="str">
        <f t="shared" ref="N770:N833" si="112">IF(M770&lt;=1, "0-100%", IF(M770&lt;=1.25, "100-125%", IF(M770&lt;=1.5, "125-150%", IF(M770&lt;=2, "150-200%", "&gt;200%"))))</f>
        <v>150-200%</v>
      </c>
      <c r="O770" s="7">
        <f>MIN(I770,H770)*INDEX('2018_commission_structure'!$A$11:$I$14,MATCH(Calculations!$E770,'2018_commission_structure'!$A$11:$A$14,0),MATCH(Calculations!O$1,'2018_commission_structure'!$A$11:$I$11,0))</f>
        <v>112500</v>
      </c>
      <c r="P770" s="7">
        <f>IF($H770&gt;I770,MIN($H770-I770,J770-I770)*INDEX('2018_commission_structure'!$A$11:$I$14,MATCH(Calculations!$E770,'2018_commission_structure'!$A$11:$A$14,0), MATCH(Calculations!P$1,'2018_commission_structure'!$A$11:$I$11,0)),0)</f>
        <v>35625</v>
      </c>
      <c r="Q770" s="7">
        <f>IF($H770&gt;J770,MIN($H770-J770,K770-J770)*INDEX('2018_commission_structure'!$A$11:$I$14,MATCH(Calculations!$E770,'2018_commission_structure'!$A$11:$A$14,0), MATCH(Calculations!Q$1,'2018_commission_structure'!$A$11:$I$11,0)),0)</f>
        <v>43125</v>
      </c>
      <c r="R770" s="7">
        <f>IF($H770&gt;K770,MIN($H770-K770,L770-K770)*INDEX('2018_commission_structure'!$A$11:$I$14,MATCH(Calculations!$E770,'2018_commission_structure'!$A$11:$A$14,0), MATCH(Calculations!R$1,'2018_commission_structure'!$A$11:$I$11,0)),0)</f>
        <v>5494.5</v>
      </c>
      <c r="S770" s="7">
        <f>IF(H770&gt;L770,(H770-L770)*INDEX('2018_commission_structure'!$A$11:$I$14,MATCH(Calculations!$E770,'2018_commission_structure'!$A$11:$A$14,0),MATCH(Calculations!S$1,'2018_commission_structure'!$A$11:$I$11,0)),0)</f>
        <v>0</v>
      </c>
      <c r="T770" s="7">
        <f t="shared" ref="T770:T833" si="113">SUM(O770:S770)</f>
        <v>196744.5</v>
      </c>
      <c r="U770" s="7">
        <f t="shared" ref="U770:U833" si="114">T770+F770</f>
        <v>292117.5</v>
      </c>
      <c r="V770" s="7">
        <f>MIN(H770,I770)*INDEX('2018_commission_structure'!$A$5:$J$8,MATCH(Calculations!$E770,'2018_commission_structure'!$A$5:$A$8,0),MATCH(Calculations!V$1,'2018_commission_structure'!$A$5:$J$5,0))</f>
        <v>112500</v>
      </c>
      <c r="W770" s="2">
        <f>IF($H770&gt;I770,MIN($H770-I770,J770-I770)*INDEX('2018_commission_structure'!$A$5:$J$8,MATCH(Calculations!$E770,'2018_commission_structure'!$A$5:$A$8,0),MATCH(Calculations!W$1,'2018_commission_structure'!$A$5:$J$5,0)),0)</f>
        <v>41250</v>
      </c>
      <c r="X770" s="2">
        <f>IF($H770&gt;J770,MIN($H770-J770,K770-J770)*INDEX('2018_commission_structure'!$A$5:$J$8,MATCH(Calculations!$E770,'2018_commission_structure'!$A$5:$A$8,0),MATCH(Calculations!X$1,'2018_commission_structure'!$A$5:$J$5,0)),0)</f>
        <v>46875</v>
      </c>
      <c r="Y770" s="2">
        <f>IF($H770&gt;K770,MIN($H770-K770,L770-K770)*INDEX('2018_commission_structure'!$A$5:$J$8,MATCH(Calculations!$E770,'2018_commission_structure'!$A$5:$A$8,0),MATCH(Calculations!Y$1,'2018_commission_structure'!$A$5:$J$5,0)),0)</f>
        <v>6043.9500000000007</v>
      </c>
      <c r="Z770" s="2">
        <f xml:space="preserve"> IF(H770&gt;L770,(H770-L770)*INDEX('2018_commission_structure'!$A$11:$I$14,MATCH(Calculations!$E770,'2018_commission_structure'!$A$11:$A$14,0),MATCH(Calculations!Z$1,'2018_commission_structure'!$A$11:$I$11,0)),0)</f>
        <v>0</v>
      </c>
      <c r="AA770" s="7">
        <f t="shared" si="106"/>
        <v>206668.95</v>
      </c>
      <c r="AB770" s="7">
        <f t="shared" si="107"/>
        <v>302041.95</v>
      </c>
    </row>
    <row r="771" spans="1:28" x14ac:dyDescent="0.25">
      <c r="A771">
        <v>3273288531</v>
      </c>
      <c r="B771" t="s">
        <v>367</v>
      </c>
      <c r="C771" t="s">
        <v>368</v>
      </c>
      <c r="D771" t="str">
        <f>B771&amp;" "&amp;C771</f>
        <v>Marlon Rhodus</v>
      </c>
      <c r="E771" t="s">
        <v>29</v>
      </c>
      <c r="F771">
        <v>50699</v>
      </c>
      <c r="G771">
        <f>COUNTIF(deals_closed!D:D,Calculations!A771)</f>
        <v>19</v>
      </c>
      <c r="H771" s="2">
        <f>SUMIF(deals_closed!D:D,Calculations!A771,deals_closed!C:C)</f>
        <v>677823</v>
      </c>
      <c r="I771" s="2">
        <f>VLOOKUP(E771,'2018_commission_structure'!$A$11:$I$14,9,FALSE)</f>
        <v>600000</v>
      </c>
      <c r="J771" s="2">
        <f t="shared" si="108"/>
        <v>750000</v>
      </c>
      <c r="K771" s="2">
        <f t="shared" si="109"/>
        <v>900000</v>
      </c>
      <c r="L771" s="2">
        <f t="shared" si="110"/>
        <v>1200000</v>
      </c>
      <c r="M771" s="6">
        <f t="shared" si="111"/>
        <v>1.129705</v>
      </c>
      <c r="N771" t="str">
        <f t="shared" si="112"/>
        <v>100-125%</v>
      </c>
      <c r="O771" s="7">
        <f>MIN(I771,H771)*INDEX('2018_commission_structure'!$A$11:$I$14,MATCH(Calculations!$E771,'2018_commission_structure'!$A$11:$A$14,0),MATCH(Calculations!O$1,'2018_commission_structure'!$A$11:$I$11,0))</f>
        <v>78000</v>
      </c>
      <c r="P771" s="7">
        <f>IF($H771&gt;I771,MIN($H771-I771,J771-I771)*INDEX('2018_commission_structure'!$A$11:$I$14,MATCH(Calculations!$E771,'2018_commission_structure'!$A$11:$A$14,0), MATCH(Calculations!P$1,'2018_commission_structure'!$A$11:$I$11,0)),0)</f>
        <v>13229.910000000002</v>
      </c>
      <c r="Q771" s="7">
        <f>IF($H771&gt;J771,MIN($H771-J771,K771-J771)*INDEX('2018_commission_structure'!$A$11:$I$14,MATCH(Calculations!$E771,'2018_commission_structure'!$A$11:$A$14,0), MATCH(Calculations!Q$1,'2018_commission_structure'!$A$11:$I$11,0)),0)</f>
        <v>0</v>
      </c>
      <c r="R771" s="7">
        <f>IF($H771&gt;K771,MIN($H771-K771,L771-K771)*INDEX('2018_commission_structure'!$A$11:$I$14,MATCH(Calculations!$E771,'2018_commission_structure'!$A$11:$A$14,0), MATCH(Calculations!R$1,'2018_commission_structure'!$A$11:$I$11,0)),0)</f>
        <v>0</v>
      </c>
      <c r="S771" s="7">
        <f>IF(H771&gt;L771,(H771-L771)*INDEX('2018_commission_structure'!$A$11:$I$14,MATCH(Calculations!$E771,'2018_commission_structure'!$A$11:$A$14,0),MATCH(Calculations!S$1,'2018_commission_structure'!$A$11:$I$11,0)),0)</f>
        <v>0</v>
      </c>
      <c r="T771" s="7">
        <f t="shared" si="113"/>
        <v>91229.91</v>
      </c>
      <c r="U771" s="7">
        <f t="shared" si="114"/>
        <v>141928.91</v>
      </c>
      <c r="V771" s="7">
        <f>MIN(H771,I771)*INDEX('2018_commission_structure'!$A$5:$J$8,MATCH(Calculations!$E771,'2018_commission_structure'!$A$5:$A$8,0),MATCH(Calculations!V$1,'2018_commission_structure'!$A$5:$J$5,0))</f>
        <v>90000</v>
      </c>
      <c r="W771" s="2">
        <f>IF($H771&gt;I771,MIN($H771-I771,J771-I771)*INDEX('2018_commission_structure'!$A$5:$J$8,MATCH(Calculations!$E771,'2018_commission_structure'!$A$5:$A$8,0),MATCH(Calculations!W$1,'2018_commission_structure'!$A$5:$J$5,0)),0)</f>
        <v>14008.14</v>
      </c>
      <c r="X771" s="2">
        <f>IF($H771&gt;J771,MIN($H771-J771,K771-J771)*INDEX('2018_commission_structure'!$A$5:$J$8,MATCH(Calculations!$E771,'2018_commission_structure'!$A$5:$A$8,0),MATCH(Calculations!X$1,'2018_commission_structure'!$A$5:$J$5,0)),0)</f>
        <v>0</v>
      </c>
      <c r="Y771" s="2">
        <f>IF($H771&gt;K771,MIN($H771-K771,L771-K771)*INDEX('2018_commission_structure'!$A$5:$J$8,MATCH(Calculations!$E771,'2018_commission_structure'!$A$5:$A$8,0),MATCH(Calculations!Y$1,'2018_commission_structure'!$A$5:$J$5,0)),0)</f>
        <v>0</v>
      </c>
      <c r="Z771" s="2">
        <f xml:space="preserve"> IF(H771&gt;L771,(H771-L771)*INDEX('2018_commission_structure'!$A$11:$I$14,MATCH(Calculations!$E771,'2018_commission_structure'!$A$11:$A$14,0),MATCH(Calculations!Z$1,'2018_commission_structure'!$A$11:$I$11,0)),0)</f>
        <v>0</v>
      </c>
      <c r="AA771" s="7">
        <f t="shared" ref="AA771:AA834" si="115">SUM(V771:Z771)</f>
        <v>104008.14</v>
      </c>
      <c r="AB771" s="7">
        <f t="shared" ref="AB771:AB834" si="116">AA771+F771</f>
        <v>154707.14000000001</v>
      </c>
    </row>
    <row r="772" spans="1:28" x14ac:dyDescent="0.25">
      <c r="A772">
        <v>999389173</v>
      </c>
      <c r="B772" t="s">
        <v>1651</v>
      </c>
      <c r="C772" t="s">
        <v>1652</v>
      </c>
      <c r="D772" t="str">
        <f>B772&amp;" "&amp;C772</f>
        <v>Bil Riatt</v>
      </c>
      <c r="E772" t="s">
        <v>7</v>
      </c>
      <c r="F772">
        <v>37224</v>
      </c>
      <c r="G772">
        <f>COUNTIF(deals_closed!D:D,Calculations!A772)</f>
        <v>19</v>
      </c>
      <c r="H772" s="2">
        <f>SUMIF(deals_closed!D:D,Calculations!A772,deals_closed!C:C)</f>
        <v>652389</v>
      </c>
      <c r="I772" s="2">
        <f>VLOOKUP(E772,'2018_commission_structure'!$A$11:$I$14,9,FALSE)</f>
        <v>500000</v>
      </c>
      <c r="J772" s="2">
        <f t="shared" si="108"/>
        <v>625000</v>
      </c>
      <c r="K772" s="2">
        <f t="shared" si="109"/>
        <v>750000</v>
      </c>
      <c r="L772" s="2">
        <f t="shared" si="110"/>
        <v>1000000</v>
      </c>
      <c r="M772" s="6">
        <f t="shared" si="111"/>
        <v>1.304778</v>
      </c>
      <c r="N772" t="str">
        <f t="shared" si="112"/>
        <v>125-150%</v>
      </c>
      <c r="O772" s="7">
        <f>MIN(I772,H772)*INDEX('2018_commission_structure'!$A$11:$I$14,MATCH(Calculations!$E772,'2018_commission_structure'!$A$11:$A$14,0),MATCH(Calculations!O$1,'2018_commission_structure'!$A$11:$I$11,0))</f>
        <v>50000</v>
      </c>
      <c r="P772" s="7">
        <f>IF($H772&gt;I772,MIN($H772-I772,J772-I772)*INDEX('2018_commission_structure'!$A$11:$I$14,MATCH(Calculations!$E772,'2018_commission_structure'!$A$11:$A$14,0), MATCH(Calculations!P$1,'2018_commission_structure'!$A$11:$I$11,0)),0)</f>
        <v>18750</v>
      </c>
      <c r="Q772" s="7">
        <f>IF($H772&gt;J772,MIN($H772-J772,K772-J772)*INDEX('2018_commission_structure'!$A$11:$I$14,MATCH(Calculations!$E772,'2018_commission_structure'!$A$11:$A$14,0), MATCH(Calculations!Q$1,'2018_commission_structure'!$A$11:$I$11,0)),0)</f>
        <v>4930.0199999999995</v>
      </c>
      <c r="R772" s="7">
        <f>IF($H772&gt;K772,MIN($H772-K772,L772-K772)*INDEX('2018_commission_structure'!$A$11:$I$14,MATCH(Calculations!$E772,'2018_commission_structure'!$A$11:$A$14,0), MATCH(Calculations!R$1,'2018_commission_structure'!$A$11:$I$11,0)),0)</f>
        <v>0</v>
      </c>
      <c r="S772" s="7">
        <f>IF(H772&gt;L772,(H772-L772)*INDEX('2018_commission_structure'!$A$11:$I$14,MATCH(Calculations!$E772,'2018_commission_structure'!$A$11:$A$14,0),MATCH(Calculations!S$1,'2018_commission_structure'!$A$11:$I$11,0)),0)</f>
        <v>0</v>
      </c>
      <c r="T772" s="7">
        <f t="shared" si="113"/>
        <v>73680.02</v>
      </c>
      <c r="U772" s="7">
        <f t="shared" si="114"/>
        <v>110904.02</v>
      </c>
      <c r="V772" s="7">
        <f>MIN(H772,I772)*INDEX('2018_commission_structure'!$A$5:$J$8,MATCH(Calculations!$E772,'2018_commission_structure'!$A$5:$A$8,0),MATCH(Calculations!V$1,'2018_commission_structure'!$A$5:$J$5,0))</f>
        <v>60000</v>
      </c>
      <c r="W772" s="2">
        <f>IF($H772&gt;I772,MIN($H772-I772,J772-I772)*INDEX('2018_commission_structure'!$A$5:$J$8,MATCH(Calculations!$E772,'2018_commission_structure'!$A$5:$A$8,0),MATCH(Calculations!W$1,'2018_commission_structure'!$A$5:$J$5,0)),0)</f>
        <v>21250</v>
      </c>
      <c r="X772" s="2">
        <f>IF($H772&gt;J772,MIN($H772-J772,K772-J772)*INDEX('2018_commission_structure'!$A$5:$J$8,MATCH(Calculations!$E772,'2018_commission_structure'!$A$5:$A$8,0),MATCH(Calculations!X$1,'2018_commission_structure'!$A$5:$J$5,0)),0)</f>
        <v>5477.8</v>
      </c>
      <c r="Y772" s="2">
        <f>IF($H772&gt;K772,MIN($H772-K772,L772-K772)*INDEX('2018_commission_structure'!$A$5:$J$8,MATCH(Calculations!$E772,'2018_commission_structure'!$A$5:$A$8,0),MATCH(Calculations!Y$1,'2018_commission_structure'!$A$5:$J$5,0)),0)</f>
        <v>0</v>
      </c>
      <c r="Z772" s="2">
        <f xml:space="preserve"> IF(H772&gt;L772,(H772-L772)*INDEX('2018_commission_structure'!$A$11:$I$14,MATCH(Calculations!$E772,'2018_commission_structure'!$A$11:$A$14,0),MATCH(Calculations!Z$1,'2018_commission_structure'!$A$11:$I$11,0)),0)</f>
        <v>0</v>
      </c>
      <c r="AA772" s="7">
        <f t="shared" si="115"/>
        <v>86727.8</v>
      </c>
      <c r="AB772" s="7">
        <f t="shared" si="116"/>
        <v>123951.8</v>
      </c>
    </row>
    <row r="773" spans="1:28" x14ac:dyDescent="0.25">
      <c r="A773">
        <v>4223282808</v>
      </c>
      <c r="B773" t="s">
        <v>1329</v>
      </c>
      <c r="C773" t="s">
        <v>1330</v>
      </c>
      <c r="D773" t="str">
        <f>B773&amp;" "&amp;C773</f>
        <v>Kippar Ricardin</v>
      </c>
      <c r="E773" t="s">
        <v>7</v>
      </c>
      <c r="F773">
        <v>52880</v>
      </c>
      <c r="G773">
        <f>COUNTIF(deals_closed!D:D,Calculations!A773)</f>
        <v>20</v>
      </c>
      <c r="H773" s="2">
        <f>SUMIF(deals_closed!D:D,Calculations!A773,deals_closed!C:C)</f>
        <v>716416</v>
      </c>
      <c r="I773" s="2">
        <f>VLOOKUP(E773,'2018_commission_structure'!$A$11:$I$14,9,FALSE)</f>
        <v>500000</v>
      </c>
      <c r="J773" s="2">
        <f t="shared" si="108"/>
        <v>625000</v>
      </c>
      <c r="K773" s="2">
        <f t="shared" si="109"/>
        <v>750000</v>
      </c>
      <c r="L773" s="2">
        <f t="shared" si="110"/>
        <v>1000000</v>
      </c>
      <c r="M773" s="6">
        <f t="shared" si="111"/>
        <v>1.4328320000000001</v>
      </c>
      <c r="N773" t="str">
        <f t="shared" si="112"/>
        <v>125-150%</v>
      </c>
      <c r="O773" s="7">
        <f>MIN(I773,H773)*INDEX('2018_commission_structure'!$A$11:$I$14,MATCH(Calculations!$E773,'2018_commission_structure'!$A$11:$A$14,0),MATCH(Calculations!O$1,'2018_commission_structure'!$A$11:$I$11,0))</f>
        <v>50000</v>
      </c>
      <c r="P773" s="7">
        <f>IF($H773&gt;I773,MIN($H773-I773,J773-I773)*INDEX('2018_commission_structure'!$A$11:$I$14,MATCH(Calculations!$E773,'2018_commission_structure'!$A$11:$A$14,0), MATCH(Calculations!P$1,'2018_commission_structure'!$A$11:$I$11,0)),0)</f>
        <v>18750</v>
      </c>
      <c r="Q773" s="7">
        <f>IF($H773&gt;J773,MIN($H773-J773,K773-J773)*INDEX('2018_commission_structure'!$A$11:$I$14,MATCH(Calculations!$E773,'2018_commission_structure'!$A$11:$A$14,0), MATCH(Calculations!Q$1,'2018_commission_structure'!$A$11:$I$11,0)),0)</f>
        <v>16454.88</v>
      </c>
      <c r="R773" s="7">
        <f>IF($H773&gt;K773,MIN($H773-K773,L773-K773)*INDEX('2018_commission_structure'!$A$11:$I$14,MATCH(Calculations!$E773,'2018_commission_structure'!$A$11:$A$14,0), MATCH(Calculations!R$1,'2018_commission_structure'!$A$11:$I$11,0)),0)</f>
        <v>0</v>
      </c>
      <c r="S773" s="7">
        <f>IF(H773&gt;L773,(H773-L773)*INDEX('2018_commission_structure'!$A$11:$I$14,MATCH(Calculations!$E773,'2018_commission_structure'!$A$11:$A$14,0),MATCH(Calculations!S$1,'2018_commission_structure'!$A$11:$I$11,0)),0)</f>
        <v>0</v>
      </c>
      <c r="T773" s="7">
        <f t="shared" si="113"/>
        <v>85204.88</v>
      </c>
      <c r="U773" s="7">
        <f t="shared" si="114"/>
        <v>138084.88</v>
      </c>
      <c r="V773" s="7">
        <f>MIN(H773,I773)*INDEX('2018_commission_structure'!$A$5:$J$8,MATCH(Calculations!$E773,'2018_commission_structure'!$A$5:$A$8,0),MATCH(Calculations!V$1,'2018_commission_structure'!$A$5:$J$5,0))</f>
        <v>60000</v>
      </c>
      <c r="W773" s="2">
        <f>IF($H773&gt;I773,MIN($H773-I773,J773-I773)*INDEX('2018_commission_structure'!$A$5:$J$8,MATCH(Calculations!$E773,'2018_commission_structure'!$A$5:$A$8,0),MATCH(Calculations!W$1,'2018_commission_structure'!$A$5:$J$5,0)),0)</f>
        <v>21250</v>
      </c>
      <c r="X773" s="2">
        <f>IF($H773&gt;J773,MIN($H773-J773,K773-J773)*INDEX('2018_commission_structure'!$A$5:$J$8,MATCH(Calculations!$E773,'2018_commission_structure'!$A$5:$A$8,0),MATCH(Calculations!X$1,'2018_commission_structure'!$A$5:$J$5,0)),0)</f>
        <v>18283.2</v>
      </c>
      <c r="Y773" s="2">
        <f>IF($H773&gt;K773,MIN($H773-K773,L773-K773)*INDEX('2018_commission_structure'!$A$5:$J$8,MATCH(Calculations!$E773,'2018_commission_structure'!$A$5:$A$8,0),MATCH(Calculations!Y$1,'2018_commission_structure'!$A$5:$J$5,0)),0)</f>
        <v>0</v>
      </c>
      <c r="Z773" s="2">
        <f xml:space="preserve"> IF(H773&gt;L773,(H773-L773)*INDEX('2018_commission_structure'!$A$11:$I$14,MATCH(Calculations!$E773,'2018_commission_structure'!$A$11:$A$14,0),MATCH(Calculations!Z$1,'2018_commission_structure'!$A$11:$I$11,0)),0)</f>
        <v>0</v>
      </c>
      <c r="AA773" s="7">
        <f t="shared" si="115"/>
        <v>99533.2</v>
      </c>
      <c r="AB773" s="7">
        <f t="shared" si="116"/>
        <v>152413.20000000001</v>
      </c>
    </row>
    <row r="774" spans="1:28" x14ac:dyDescent="0.25">
      <c r="A774">
        <v>3211170715</v>
      </c>
      <c r="B774" t="s">
        <v>919</v>
      </c>
      <c r="C774" t="s">
        <v>920</v>
      </c>
      <c r="D774" t="str">
        <f>B774&amp;" "&amp;C774</f>
        <v>Mercy Richemont</v>
      </c>
      <c r="E774" t="s">
        <v>7</v>
      </c>
      <c r="F774">
        <v>57666</v>
      </c>
      <c r="G774">
        <f>COUNTIF(deals_closed!D:D,Calculations!A774)</f>
        <v>24</v>
      </c>
      <c r="H774" s="2">
        <f>SUMIF(deals_closed!D:D,Calculations!A774,deals_closed!C:C)</f>
        <v>846426</v>
      </c>
      <c r="I774" s="2">
        <f>VLOOKUP(E774,'2018_commission_structure'!$A$11:$I$14,9,FALSE)</f>
        <v>500000</v>
      </c>
      <c r="J774" s="2">
        <f t="shared" si="108"/>
        <v>625000</v>
      </c>
      <c r="K774" s="2">
        <f t="shared" si="109"/>
        <v>750000</v>
      </c>
      <c r="L774" s="2">
        <f t="shared" si="110"/>
        <v>1000000</v>
      </c>
      <c r="M774" s="6">
        <f t="shared" si="111"/>
        <v>1.692852</v>
      </c>
      <c r="N774" t="str">
        <f t="shared" si="112"/>
        <v>150-200%</v>
      </c>
      <c r="O774" s="7">
        <f>MIN(I774,H774)*INDEX('2018_commission_structure'!$A$11:$I$14,MATCH(Calculations!$E774,'2018_commission_structure'!$A$11:$A$14,0),MATCH(Calculations!O$1,'2018_commission_structure'!$A$11:$I$11,0))</f>
        <v>50000</v>
      </c>
      <c r="P774" s="7">
        <f>IF($H774&gt;I774,MIN($H774-I774,J774-I774)*INDEX('2018_commission_structure'!$A$11:$I$14,MATCH(Calculations!$E774,'2018_commission_structure'!$A$11:$A$14,0), MATCH(Calculations!P$1,'2018_commission_structure'!$A$11:$I$11,0)),0)</f>
        <v>18750</v>
      </c>
      <c r="Q774" s="7">
        <f>IF($H774&gt;J774,MIN($H774-J774,K774-J774)*INDEX('2018_commission_structure'!$A$11:$I$14,MATCH(Calculations!$E774,'2018_commission_structure'!$A$11:$A$14,0), MATCH(Calculations!Q$1,'2018_commission_structure'!$A$11:$I$11,0)),0)</f>
        <v>22500</v>
      </c>
      <c r="R774" s="7">
        <f>IF($H774&gt;K774,MIN($H774-K774,L774-K774)*INDEX('2018_commission_structure'!$A$11:$I$14,MATCH(Calculations!$E774,'2018_commission_structure'!$A$11:$A$14,0), MATCH(Calculations!R$1,'2018_commission_structure'!$A$11:$I$11,0)),0)</f>
        <v>21213.72</v>
      </c>
      <c r="S774" s="7">
        <f>IF(H774&gt;L774,(H774-L774)*INDEX('2018_commission_structure'!$A$11:$I$14,MATCH(Calculations!$E774,'2018_commission_structure'!$A$11:$A$14,0),MATCH(Calculations!S$1,'2018_commission_structure'!$A$11:$I$11,0)),0)</f>
        <v>0</v>
      </c>
      <c r="T774" s="7">
        <f t="shared" si="113"/>
        <v>112463.72</v>
      </c>
      <c r="U774" s="7">
        <f t="shared" si="114"/>
        <v>170129.72</v>
      </c>
      <c r="V774" s="7">
        <f>MIN(H774,I774)*INDEX('2018_commission_structure'!$A$5:$J$8,MATCH(Calculations!$E774,'2018_commission_structure'!$A$5:$A$8,0),MATCH(Calculations!V$1,'2018_commission_structure'!$A$5:$J$5,0))</f>
        <v>60000</v>
      </c>
      <c r="W774" s="2">
        <f>IF($H774&gt;I774,MIN($H774-I774,J774-I774)*INDEX('2018_commission_structure'!$A$5:$J$8,MATCH(Calculations!$E774,'2018_commission_structure'!$A$5:$A$8,0),MATCH(Calculations!W$1,'2018_commission_structure'!$A$5:$J$5,0)),0)</f>
        <v>21250</v>
      </c>
      <c r="X774" s="2">
        <f>IF($H774&gt;J774,MIN($H774-J774,K774-J774)*INDEX('2018_commission_structure'!$A$5:$J$8,MATCH(Calculations!$E774,'2018_commission_structure'!$A$5:$A$8,0),MATCH(Calculations!X$1,'2018_commission_structure'!$A$5:$J$5,0)),0)</f>
        <v>25000</v>
      </c>
      <c r="Y774" s="2">
        <f>IF($H774&gt;K774,MIN($H774-K774,L774-K774)*INDEX('2018_commission_structure'!$A$5:$J$8,MATCH(Calculations!$E774,'2018_commission_structure'!$A$5:$A$8,0),MATCH(Calculations!Y$1,'2018_commission_structure'!$A$5:$J$5,0)),0)</f>
        <v>21213.72</v>
      </c>
      <c r="Z774" s="2">
        <f xml:space="preserve"> IF(H774&gt;L774,(H774-L774)*INDEX('2018_commission_structure'!$A$11:$I$14,MATCH(Calculations!$E774,'2018_commission_structure'!$A$11:$A$14,0),MATCH(Calculations!Z$1,'2018_commission_structure'!$A$11:$I$11,0)),0)</f>
        <v>0</v>
      </c>
      <c r="AA774" s="7">
        <f t="shared" si="115"/>
        <v>127463.72</v>
      </c>
      <c r="AB774" s="7">
        <f t="shared" si="116"/>
        <v>185129.72</v>
      </c>
    </row>
    <row r="775" spans="1:28" x14ac:dyDescent="0.25">
      <c r="A775">
        <v>2421688019</v>
      </c>
      <c r="B775" t="s">
        <v>1371</v>
      </c>
      <c r="C775" t="s">
        <v>1617</v>
      </c>
      <c r="D775" t="str">
        <f>B775&amp;" "&amp;C775</f>
        <v>May Richings</v>
      </c>
      <c r="E775" t="s">
        <v>10</v>
      </c>
      <c r="F775">
        <v>92591</v>
      </c>
      <c r="G775">
        <f>COUNTIF(deals_closed!D:D,Calculations!A775)</f>
        <v>21</v>
      </c>
      <c r="H775" s="2">
        <f>SUMIF(deals_closed!D:D,Calculations!A775,deals_closed!C:C)</f>
        <v>610003</v>
      </c>
      <c r="I775" s="2">
        <f>VLOOKUP(E775,'2018_commission_structure'!$A$11:$I$14,9,FALSE)</f>
        <v>750000</v>
      </c>
      <c r="J775" s="2">
        <f t="shared" si="108"/>
        <v>937500</v>
      </c>
      <c r="K775" s="2">
        <f t="shared" si="109"/>
        <v>1125000</v>
      </c>
      <c r="L775" s="2">
        <f t="shared" si="110"/>
        <v>1500000</v>
      </c>
      <c r="M775" s="6">
        <f t="shared" si="111"/>
        <v>0.81333733333333336</v>
      </c>
      <c r="N775" t="str">
        <f t="shared" si="112"/>
        <v>0-100%</v>
      </c>
      <c r="O775" s="7">
        <f>MIN(I775,H775)*INDEX('2018_commission_structure'!$A$11:$I$14,MATCH(Calculations!$E775,'2018_commission_structure'!$A$11:$A$14,0),MATCH(Calculations!O$1,'2018_commission_structure'!$A$11:$I$11,0))</f>
        <v>91500.45</v>
      </c>
      <c r="P775" s="7">
        <f>IF($H775&gt;I775,MIN($H775-I775,J775-I775)*INDEX('2018_commission_structure'!$A$11:$I$14,MATCH(Calculations!$E775,'2018_commission_structure'!$A$11:$A$14,0), MATCH(Calculations!P$1,'2018_commission_structure'!$A$11:$I$11,0)),0)</f>
        <v>0</v>
      </c>
      <c r="Q775" s="7">
        <f>IF($H775&gt;J775,MIN($H775-J775,K775-J775)*INDEX('2018_commission_structure'!$A$11:$I$14,MATCH(Calculations!$E775,'2018_commission_structure'!$A$11:$A$14,0), MATCH(Calculations!Q$1,'2018_commission_structure'!$A$11:$I$11,0)),0)</f>
        <v>0</v>
      </c>
      <c r="R775" s="7">
        <f>IF($H775&gt;K775,MIN($H775-K775,L775-K775)*INDEX('2018_commission_structure'!$A$11:$I$14,MATCH(Calculations!$E775,'2018_commission_structure'!$A$11:$A$14,0), MATCH(Calculations!R$1,'2018_commission_structure'!$A$11:$I$11,0)),0)</f>
        <v>0</v>
      </c>
      <c r="S775" s="7">
        <f>IF(H775&gt;L775,(H775-L775)*INDEX('2018_commission_structure'!$A$11:$I$14,MATCH(Calculations!$E775,'2018_commission_structure'!$A$11:$A$14,0),MATCH(Calculations!S$1,'2018_commission_structure'!$A$11:$I$11,0)),0)</f>
        <v>0</v>
      </c>
      <c r="T775" s="7">
        <f t="shared" si="113"/>
        <v>91500.45</v>
      </c>
      <c r="U775" s="7">
        <f t="shared" si="114"/>
        <v>184091.45</v>
      </c>
      <c r="V775" s="7">
        <f>MIN(H775,I775)*INDEX('2018_commission_structure'!$A$5:$J$8,MATCH(Calculations!$E775,'2018_commission_structure'!$A$5:$A$8,0),MATCH(Calculations!V$1,'2018_commission_structure'!$A$5:$J$5,0))</f>
        <v>91500.45</v>
      </c>
      <c r="W775" s="2">
        <f>IF($H775&gt;I775,MIN($H775-I775,J775-I775)*INDEX('2018_commission_structure'!$A$5:$J$8,MATCH(Calculations!$E775,'2018_commission_structure'!$A$5:$A$8,0),MATCH(Calculations!W$1,'2018_commission_structure'!$A$5:$J$5,0)),0)</f>
        <v>0</v>
      </c>
      <c r="X775" s="2">
        <f>IF($H775&gt;J775,MIN($H775-J775,K775-J775)*INDEX('2018_commission_structure'!$A$5:$J$8,MATCH(Calculations!$E775,'2018_commission_structure'!$A$5:$A$8,0),MATCH(Calculations!X$1,'2018_commission_structure'!$A$5:$J$5,0)),0)</f>
        <v>0</v>
      </c>
      <c r="Y775" s="2">
        <f>IF($H775&gt;K775,MIN($H775-K775,L775-K775)*INDEX('2018_commission_structure'!$A$5:$J$8,MATCH(Calculations!$E775,'2018_commission_structure'!$A$5:$A$8,0),MATCH(Calculations!Y$1,'2018_commission_structure'!$A$5:$J$5,0)),0)</f>
        <v>0</v>
      </c>
      <c r="Z775" s="2">
        <f xml:space="preserve"> IF(H775&gt;L775,(H775-L775)*INDEX('2018_commission_structure'!$A$11:$I$14,MATCH(Calculations!$E775,'2018_commission_structure'!$A$11:$A$14,0),MATCH(Calculations!Z$1,'2018_commission_structure'!$A$11:$I$11,0)),0)</f>
        <v>0</v>
      </c>
      <c r="AA775" s="7">
        <f t="shared" si="115"/>
        <v>91500.45</v>
      </c>
      <c r="AB775" s="7">
        <f t="shared" si="116"/>
        <v>184091.45</v>
      </c>
    </row>
    <row r="776" spans="1:28" x14ac:dyDescent="0.25">
      <c r="A776">
        <v>62571575</v>
      </c>
      <c r="B776" t="s">
        <v>608</v>
      </c>
      <c r="C776" t="s">
        <v>609</v>
      </c>
      <c r="D776" t="str">
        <f>B776&amp;" "&amp;C776</f>
        <v>Evvy Riedel</v>
      </c>
      <c r="E776" t="s">
        <v>10</v>
      </c>
      <c r="F776">
        <v>121308</v>
      </c>
      <c r="G776">
        <f>COUNTIF(deals_closed!D:D,Calculations!A776)</f>
        <v>27</v>
      </c>
      <c r="H776" s="2">
        <f>SUMIF(deals_closed!D:D,Calculations!A776,deals_closed!C:C)</f>
        <v>948935</v>
      </c>
      <c r="I776" s="2">
        <f>VLOOKUP(E776,'2018_commission_structure'!$A$11:$I$14,9,FALSE)</f>
        <v>750000</v>
      </c>
      <c r="J776" s="2">
        <f t="shared" si="108"/>
        <v>937500</v>
      </c>
      <c r="K776" s="2">
        <f t="shared" si="109"/>
        <v>1125000</v>
      </c>
      <c r="L776" s="2">
        <f t="shared" si="110"/>
        <v>1500000</v>
      </c>
      <c r="M776" s="6">
        <f t="shared" si="111"/>
        <v>1.2652466666666666</v>
      </c>
      <c r="N776" t="str">
        <f t="shared" si="112"/>
        <v>125-150%</v>
      </c>
      <c r="O776" s="7">
        <f>MIN(I776,H776)*INDEX('2018_commission_structure'!$A$11:$I$14,MATCH(Calculations!$E776,'2018_commission_structure'!$A$11:$A$14,0),MATCH(Calculations!O$1,'2018_commission_structure'!$A$11:$I$11,0))</f>
        <v>112500</v>
      </c>
      <c r="P776" s="7">
        <f>IF($H776&gt;I776,MIN($H776-I776,J776-I776)*INDEX('2018_commission_structure'!$A$11:$I$14,MATCH(Calculations!$E776,'2018_commission_structure'!$A$11:$A$14,0), MATCH(Calculations!P$1,'2018_commission_structure'!$A$11:$I$11,0)),0)</f>
        <v>35625</v>
      </c>
      <c r="Q776" s="7">
        <f>IF($H776&gt;J776,MIN($H776-J776,K776-J776)*INDEX('2018_commission_structure'!$A$11:$I$14,MATCH(Calculations!$E776,'2018_commission_structure'!$A$11:$A$14,0), MATCH(Calculations!Q$1,'2018_commission_structure'!$A$11:$I$11,0)),0)</f>
        <v>2630.05</v>
      </c>
      <c r="R776" s="7">
        <f>IF($H776&gt;K776,MIN($H776-K776,L776-K776)*INDEX('2018_commission_structure'!$A$11:$I$14,MATCH(Calculations!$E776,'2018_commission_structure'!$A$11:$A$14,0), MATCH(Calculations!R$1,'2018_commission_structure'!$A$11:$I$11,0)),0)</f>
        <v>0</v>
      </c>
      <c r="S776" s="7">
        <f>IF(H776&gt;L776,(H776-L776)*INDEX('2018_commission_structure'!$A$11:$I$14,MATCH(Calculations!$E776,'2018_commission_structure'!$A$11:$A$14,0),MATCH(Calculations!S$1,'2018_commission_structure'!$A$11:$I$11,0)),0)</f>
        <v>0</v>
      </c>
      <c r="T776" s="7">
        <f t="shared" si="113"/>
        <v>150755.04999999999</v>
      </c>
      <c r="U776" s="7">
        <f t="shared" si="114"/>
        <v>272063.05</v>
      </c>
      <c r="V776" s="7">
        <f>MIN(H776,I776)*INDEX('2018_commission_structure'!$A$5:$J$8,MATCH(Calculations!$E776,'2018_commission_structure'!$A$5:$A$8,0),MATCH(Calculations!V$1,'2018_commission_structure'!$A$5:$J$5,0))</f>
        <v>112500</v>
      </c>
      <c r="W776" s="2">
        <f>IF($H776&gt;I776,MIN($H776-I776,J776-I776)*INDEX('2018_commission_structure'!$A$5:$J$8,MATCH(Calculations!$E776,'2018_commission_structure'!$A$5:$A$8,0),MATCH(Calculations!W$1,'2018_commission_structure'!$A$5:$J$5,0)),0)</f>
        <v>41250</v>
      </c>
      <c r="X776" s="2">
        <f>IF($H776&gt;J776,MIN($H776-J776,K776-J776)*INDEX('2018_commission_structure'!$A$5:$J$8,MATCH(Calculations!$E776,'2018_commission_structure'!$A$5:$A$8,0),MATCH(Calculations!X$1,'2018_commission_structure'!$A$5:$J$5,0)),0)</f>
        <v>2858.75</v>
      </c>
      <c r="Y776" s="2">
        <f>IF($H776&gt;K776,MIN($H776-K776,L776-K776)*INDEX('2018_commission_structure'!$A$5:$J$8,MATCH(Calculations!$E776,'2018_commission_structure'!$A$5:$A$8,0),MATCH(Calculations!Y$1,'2018_commission_structure'!$A$5:$J$5,0)),0)</f>
        <v>0</v>
      </c>
      <c r="Z776" s="2">
        <f xml:space="preserve"> IF(H776&gt;L776,(H776-L776)*INDEX('2018_commission_structure'!$A$11:$I$14,MATCH(Calculations!$E776,'2018_commission_structure'!$A$11:$A$14,0),MATCH(Calculations!Z$1,'2018_commission_structure'!$A$11:$I$11,0)),0)</f>
        <v>0</v>
      </c>
      <c r="AA776" s="7">
        <f t="shared" si="115"/>
        <v>156608.75</v>
      </c>
      <c r="AB776" s="7">
        <f t="shared" si="116"/>
        <v>277916.75</v>
      </c>
    </row>
    <row r="777" spans="1:28" x14ac:dyDescent="0.25">
      <c r="A777">
        <v>9457151267</v>
      </c>
      <c r="B777" t="s">
        <v>1389</v>
      </c>
      <c r="C777" t="s">
        <v>1390</v>
      </c>
      <c r="D777" t="str">
        <f>B777&amp;" "&amp;C777</f>
        <v>Engracia Rigolle</v>
      </c>
      <c r="E777" t="s">
        <v>7</v>
      </c>
      <c r="F777">
        <v>59083</v>
      </c>
      <c r="G777">
        <f>COUNTIF(deals_closed!D:D,Calculations!A777)</f>
        <v>18</v>
      </c>
      <c r="H777" s="2">
        <f>SUMIF(deals_closed!D:D,Calculations!A777,deals_closed!C:C)</f>
        <v>696346</v>
      </c>
      <c r="I777" s="2">
        <f>VLOOKUP(E777,'2018_commission_structure'!$A$11:$I$14,9,FALSE)</f>
        <v>500000</v>
      </c>
      <c r="J777" s="2">
        <f t="shared" si="108"/>
        <v>625000</v>
      </c>
      <c r="K777" s="2">
        <f t="shared" si="109"/>
        <v>750000</v>
      </c>
      <c r="L777" s="2">
        <f t="shared" si="110"/>
        <v>1000000</v>
      </c>
      <c r="M777" s="6">
        <f t="shared" si="111"/>
        <v>1.392692</v>
      </c>
      <c r="N777" t="str">
        <f t="shared" si="112"/>
        <v>125-150%</v>
      </c>
      <c r="O777" s="7">
        <f>MIN(I777,H777)*INDEX('2018_commission_structure'!$A$11:$I$14,MATCH(Calculations!$E777,'2018_commission_structure'!$A$11:$A$14,0),MATCH(Calculations!O$1,'2018_commission_structure'!$A$11:$I$11,0))</f>
        <v>50000</v>
      </c>
      <c r="P777" s="7">
        <f>IF($H777&gt;I777,MIN($H777-I777,J777-I777)*INDEX('2018_commission_structure'!$A$11:$I$14,MATCH(Calculations!$E777,'2018_commission_structure'!$A$11:$A$14,0), MATCH(Calculations!P$1,'2018_commission_structure'!$A$11:$I$11,0)),0)</f>
        <v>18750</v>
      </c>
      <c r="Q777" s="7">
        <f>IF($H777&gt;J777,MIN($H777-J777,K777-J777)*INDEX('2018_commission_structure'!$A$11:$I$14,MATCH(Calculations!$E777,'2018_commission_structure'!$A$11:$A$14,0), MATCH(Calculations!Q$1,'2018_commission_structure'!$A$11:$I$11,0)),0)</f>
        <v>12842.279999999999</v>
      </c>
      <c r="R777" s="7">
        <f>IF($H777&gt;K777,MIN($H777-K777,L777-K777)*INDEX('2018_commission_structure'!$A$11:$I$14,MATCH(Calculations!$E777,'2018_commission_structure'!$A$11:$A$14,0), MATCH(Calculations!R$1,'2018_commission_structure'!$A$11:$I$11,0)),0)</f>
        <v>0</v>
      </c>
      <c r="S777" s="7">
        <f>IF(H777&gt;L777,(H777-L777)*INDEX('2018_commission_structure'!$A$11:$I$14,MATCH(Calculations!$E777,'2018_commission_structure'!$A$11:$A$14,0),MATCH(Calculations!S$1,'2018_commission_structure'!$A$11:$I$11,0)),0)</f>
        <v>0</v>
      </c>
      <c r="T777" s="7">
        <f t="shared" si="113"/>
        <v>81592.28</v>
      </c>
      <c r="U777" s="7">
        <f t="shared" si="114"/>
        <v>140675.28</v>
      </c>
      <c r="V777" s="7">
        <f>MIN(H777,I777)*INDEX('2018_commission_structure'!$A$5:$J$8,MATCH(Calculations!$E777,'2018_commission_structure'!$A$5:$A$8,0),MATCH(Calculations!V$1,'2018_commission_structure'!$A$5:$J$5,0))</f>
        <v>60000</v>
      </c>
      <c r="W777" s="2">
        <f>IF($H777&gt;I777,MIN($H777-I777,J777-I777)*INDEX('2018_commission_structure'!$A$5:$J$8,MATCH(Calculations!$E777,'2018_commission_structure'!$A$5:$A$8,0),MATCH(Calculations!W$1,'2018_commission_structure'!$A$5:$J$5,0)),0)</f>
        <v>21250</v>
      </c>
      <c r="X777" s="2">
        <f>IF($H777&gt;J777,MIN($H777-J777,K777-J777)*INDEX('2018_commission_structure'!$A$5:$J$8,MATCH(Calculations!$E777,'2018_commission_structure'!$A$5:$A$8,0),MATCH(Calculations!X$1,'2018_commission_structure'!$A$5:$J$5,0)),0)</f>
        <v>14269.2</v>
      </c>
      <c r="Y777" s="2">
        <f>IF($H777&gt;K777,MIN($H777-K777,L777-K777)*INDEX('2018_commission_structure'!$A$5:$J$8,MATCH(Calculations!$E777,'2018_commission_structure'!$A$5:$A$8,0),MATCH(Calculations!Y$1,'2018_commission_structure'!$A$5:$J$5,0)),0)</f>
        <v>0</v>
      </c>
      <c r="Z777" s="2">
        <f xml:space="preserve"> IF(H777&gt;L777,(H777-L777)*INDEX('2018_commission_structure'!$A$11:$I$14,MATCH(Calculations!$E777,'2018_commission_structure'!$A$11:$A$14,0),MATCH(Calculations!Z$1,'2018_commission_structure'!$A$11:$I$11,0)),0)</f>
        <v>0</v>
      </c>
      <c r="AA777" s="7">
        <f t="shared" si="115"/>
        <v>95519.2</v>
      </c>
      <c r="AB777" s="7">
        <f t="shared" si="116"/>
        <v>154602.20000000001</v>
      </c>
    </row>
    <row r="778" spans="1:28" x14ac:dyDescent="0.25">
      <c r="A778">
        <v>6713405010</v>
      </c>
      <c r="B778" t="s">
        <v>783</v>
      </c>
      <c r="C778" t="s">
        <v>784</v>
      </c>
      <c r="D778" t="str">
        <f>B778&amp;" "&amp;C778</f>
        <v>Wallas Riolfi</v>
      </c>
      <c r="E778" t="s">
        <v>7</v>
      </c>
      <c r="F778">
        <v>49505</v>
      </c>
      <c r="G778">
        <f>COUNTIF(deals_closed!D:D,Calculations!A778)</f>
        <v>23</v>
      </c>
      <c r="H778" s="2">
        <f>SUMIF(deals_closed!D:D,Calculations!A778,deals_closed!C:C)</f>
        <v>868569</v>
      </c>
      <c r="I778" s="2">
        <f>VLOOKUP(E778,'2018_commission_structure'!$A$11:$I$14,9,FALSE)</f>
        <v>500000</v>
      </c>
      <c r="J778" s="2">
        <f t="shared" si="108"/>
        <v>625000</v>
      </c>
      <c r="K778" s="2">
        <f t="shared" si="109"/>
        <v>750000</v>
      </c>
      <c r="L778" s="2">
        <f t="shared" si="110"/>
        <v>1000000</v>
      </c>
      <c r="M778" s="6">
        <f t="shared" si="111"/>
        <v>1.7371380000000001</v>
      </c>
      <c r="N778" t="str">
        <f t="shared" si="112"/>
        <v>150-200%</v>
      </c>
      <c r="O778" s="7">
        <f>MIN(I778,H778)*INDEX('2018_commission_structure'!$A$11:$I$14,MATCH(Calculations!$E778,'2018_commission_structure'!$A$11:$A$14,0),MATCH(Calculations!O$1,'2018_commission_structure'!$A$11:$I$11,0))</f>
        <v>50000</v>
      </c>
      <c r="P778" s="7">
        <f>IF($H778&gt;I778,MIN($H778-I778,J778-I778)*INDEX('2018_commission_structure'!$A$11:$I$14,MATCH(Calculations!$E778,'2018_commission_structure'!$A$11:$A$14,0), MATCH(Calculations!P$1,'2018_commission_structure'!$A$11:$I$11,0)),0)</f>
        <v>18750</v>
      </c>
      <c r="Q778" s="7">
        <f>IF($H778&gt;J778,MIN($H778-J778,K778-J778)*INDEX('2018_commission_structure'!$A$11:$I$14,MATCH(Calculations!$E778,'2018_commission_structure'!$A$11:$A$14,0), MATCH(Calculations!Q$1,'2018_commission_structure'!$A$11:$I$11,0)),0)</f>
        <v>22500</v>
      </c>
      <c r="R778" s="7">
        <f>IF($H778&gt;K778,MIN($H778-K778,L778-K778)*INDEX('2018_commission_structure'!$A$11:$I$14,MATCH(Calculations!$E778,'2018_commission_structure'!$A$11:$A$14,0), MATCH(Calculations!R$1,'2018_commission_structure'!$A$11:$I$11,0)),0)</f>
        <v>26085.18</v>
      </c>
      <c r="S778" s="7">
        <f>IF(H778&gt;L778,(H778-L778)*INDEX('2018_commission_structure'!$A$11:$I$14,MATCH(Calculations!$E778,'2018_commission_structure'!$A$11:$A$14,0),MATCH(Calculations!S$1,'2018_commission_structure'!$A$11:$I$11,0)),0)</f>
        <v>0</v>
      </c>
      <c r="T778" s="7">
        <f t="shared" si="113"/>
        <v>117335.18</v>
      </c>
      <c r="U778" s="7">
        <f t="shared" si="114"/>
        <v>166840.18</v>
      </c>
      <c r="V778" s="7">
        <f>MIN(H778,I778)*INDEX('2018_commission_structure'!$A$5:$J$8,MATCH(Calculations!$E778,'2018_commission_structure'!$A$5:$A$8,0),MATCH(Calculations!V$1,'2018_commission_structure'!$A$5:$J$5,0))</f>
        <v>60000</v>
      </c>
      <c r="W778" s="2">
        <f>IF($H778&gt;I778,MIN($H778-I778,J778-I778)*INDEX('2018_commission_structure'!$A$5:$J$8,MATCH(Calculations!$E778,'2018_commission_structure'!$A$5:$A$8,0),MATCH(Calculations!W$1,'2018_commission_structure'!$A$5:$J$5,0)),0)</f>
        <v>21250</v>
      </c>
      <c r="X778" s="2">
        <f>IF($H778&gt;J778,MIN($H778-J778,K778-J778)*INDEX('2018_commission_structure'!$A$5:$J$8,MATCH(Calculations!$E778,'2018_commission_structure'!$A$5:$A$8,0),MATCH(Calculations!X$1,'2018_commission_structure'!$A$5:$J$5,0)),0)</f>
        <v>25000</v>
      </c>
      <c r="Y778" s="2">
        <f>IF($H778&gt;K778,MIN($H778-K778,L778-K778)*INDEX('2018_commission_structure'!$A$5:$J$8,MATCH(Calculations!$E778,'2018_commission_structure'!$A$5:$A$8,0),MATCH(Calculations!Y$1,'2018_commission_structure'!$A$5:$J$5,0)),0)</f>
        <v>26085.18</v>
      </c>
      <c r="Z778" s="2">
        <f xml:space="preserve"> IF(H778&gt;L778,(H778-L778)*INDEX('2018_commission_structure'!$A$11:$I$14,MATCH(Calculations!$E778,'2018_commission_structure'!$A$11:$A$14,0),MATCH(Calculations!Z$1,'2018_commission_structure'!$A$11:$I$11,0)),0)</f>
        <v>0</v>
      </c>
      <c r="AA778" s="7">
        <f t="shared" si="115"/>
        <v>132335.18</v>
      </c>
      <c r="AB778" s="7">
        <f t="shared" si="116"/>
        <v>181840.18</v>
      </c>
    </row>
    <row r="779" spans="1:28" x14ac:dyDescent="0.25">
      <c r="A779">
        <v>25254650</v>
      </c>
      <c r="B779" t="s">
        <v>169</v>
      </c>
      <c r="C779" t="s">
        <v>170</v>
      </c>
      <c r="D779" t="str">
        <f>B779&amp;" "&amp;C779</f>
        <v>Dyane Rival</v>
      </c>
      <c r="E779" t="s">
        <v>10</v>
      </c>
      <c r="F779">
        <v>90630</v>
      </c>
      <c r="G779">
        <f>COUNTIF(deals_closed!D:D,Calculations!A779)</f>
        <v>18</v>
      </c>
      <c r="H779" s="2">
        <f>SUMIF(deals_closed!D:D,Calculations!A779,deals_closed!C:C)</f>
        <v>614970</v>
      </c>
      <c r="I779" s="2">
        <f>VLOOKUP(E779,'2018_commission_structure'!$A$11:$I$14,9,FALSE)</f>
        <v>750000</v>
      </c>
      <c r="J779" s="2">
        <f t="shared" si="108"/>
        <v>937500</v>
      </c>
      <c r="K779" s="2">
        <f t="shared" si="109"/>
        <v>1125000</v>
      </c>
      <c r="L779" s="2">
        <f t="shared" si="110"/>
        <v>1500000</v>
      </c>
      <c r="M779" s="6">
        <f t="shared" si="111"/>
        <v>0.81996000000000002</v>
      </c>
      <c r="N779" t="str">
        <f t="shared" si="112"/>
        <v>0-100%</v>
      </c>
      <c r="O779" s="7">
        <f>MIN(I779,H779)*INDEX('2018_commission_structure'!$A$11:$I$14,MATCH(Calculations!$E779,'2018_commission_structure'!$A$11:$A$14,0),MATCH(Calculations!O$1,'2018_commission_structure'!$A$11:$I$11,0))</f>
        <v>92245.5</v>
      </c>
      <c r="P779" s="7">
        <f>IF($H779&gt;I779,MIN($H779-I779,J779-I779)*INDEX('2018_commission_structure'!$A$11:$I$14,MATCH(Calculations!$E779,'2018_commission_structure'!$A$11:$A$14,0), MATCH(Calculations!P$1,'2018_commission_structure'!$A$11:$I$11,0)),0)</f>
        <v>0</v>
      </c>
      <c r="Q779" s="7">
        <f>IF($H779&gt;J779,MIN($H779-J779,K779-J779)*INDEX('2018_commission_structure'!$A$11:$I$14,MATCH(Calculations!$E779,'2018_commission_structure'!$A$11:$A$14,0), MATCH(Calculations!Q$1,'2018_commission_structure'!$A$11:$I$11,0)),0)</f>
        <v>0</v>
      </c>
      <c r="R779" s="7">
        <f>IF($H779&gt;K779,MIN($H779-K779,L779-K779)*INDEX('2018_commission_structure'!$A$11:$I$14,MATCH(Calculations!$E779,'2018_commission_structure'!$A$11:$A$14,0), MATCH(Calculations!R$1,'2018_commission_structure'!$A$11:$I$11,0)),0)</f>
        <v>0</v>
      </c>
      <c r="S779" s="7">
        <f>IF(H779&gt;L779,(H779-L779)*INDEX('2018_commission_structure'!$A$11:$I$14,MATCH(Calculations!$E779,'2018_commission_structure'!$A$11:$A$14,0),MATCH(Calculations!S$1,'2018_commission_structure'!$A$11:$I$11,0)),0)</f>
        <v>0</v>
      </c>
      <c r="T779" s="7">
        <f t="shared" si="113"/>
        <v>92245.5</v>
      </c>
      <c r="U779" s="7">
        <f t="shared" si="114"/>
        <v>182875.5</v>
      </c>
      <c r="V779" s="7">
        <f>MIN(H779,I779)*INDEX('2018_commission_structure'!$A$5:$J$8,MATCH(Calculations!$E779,'2018_commission_structure'!$A$5:$A$8,0),MATCH(Calculations!V$1,'2018_commission_structure'!$A$5:$J$5,0))</f>
        <v>92245.5</v>
      </c>
      <c r="W779" s="2">
        <f>IF($H779&gt;I779,MIN($H779-I779,J779-I779)*INDEX('2018_commission_structure'!$A$5:$J$8,MATCH(Calculations!$E779,'2018_commission_structure'!$A$5:$A$8,0),MATCH(Calculations!W$1,'2018_commission_structure'!$A$5:$J$5,0)),0)</f>
        <v>0</v>
      </c>
      <c r="X779" s="2">
        <f>IF($H779&gt;J779,MIN($H779-J779,K779-J779)*INDEX('2018_commission_structure'!$A$5:$J$8,MATCH(Calculations!$E779,'2018_commission_structure'!$A$5:$A$8,0),MATCH(Calculations!X$1,'2018_commission_structure'!$A$5:$J$5,0)),0)</f>
        <v>0</v>
      </c>
      <c r="Y779" s="2">
        <f>IF($H779&gt;K779,MIN($H779-K779,L779-K779)*INDEX('2018_commission_structure'!$A$5:$J$8,MATCH(Calculations!$E779,'2018_commission_structure'!$A$5:$A$8,0),MATCH(Calculations!Y$1,'2018_commission_structure'!$A$5:$J$5,0)),0)</f>
        <v>0</v>
      </c>
      <c r="Z779" s="2">
        <f xml:space="preserve"> IF(H779&gt;L779,(H779-L779)*INDEX('2018_commission_structure'!$A$11:$I$14,MATCH(Calculations!$E779,'2018_commission_structure'!$A$11:$A$14,0),MATCH(Calculations!Z$1,'2018_commission_structure'!$A$11:$I$11,0)),0)</f>
        <v>0</v>
      </c>
      <c r="AA779" s="7">
        <f t="shared" si="115"/>
        <v>92245.5</v>
      </c>
      <c r="AB779" s="7">
        <f t="shared" si="116"/>
        <v>182875.5</v>
      </c>
    </row>
    <row r="780" spans="1:28" x14ac:dyDescent="0.25">
      <c r="A780">
        <v>8302317314</v>
      </c>
      <c r="B780" t="s">
        <v>741</v>
      </c>
      <c r="C780" t="s">
        <v>742</v>
      </c>
      <c r="D780" t="str">
        <f>B780&amp;" "&amp;C780</f>
        <v>Orion Robak</v>
      </c>
      <c r="E780" t="s">
        <v>10</v>
      </c>
      <c r="F780">
        <v>75594</v>
      </c>
      <c r="G780">
        <f>COUNTIF(deals_closed!D:D,Calculations!A780)</f>
        <v>22</v>
      </c>
      <c r="H780" s="2">
        <f>SUMIF(deals_closed!D:D,Calculations!A780,deals_closed!C:C)</f>
        <v>661330</v>
      </c>
      <c r="I780" s="2">
        <f>VLOOKUP(E780,'2018_commission_structure'!$A$11:$I$14,9,FALSE)</f>
        <v>750000</v>
      </c>
      <c r="J780" s="2">
        <f t="shared" si="108"/>
        <v>937500</v>
      </c>
      <c r="K780" s="2">
        <f t="shared" si="109"/>
        <v>1125000</v>
      </c>
      <c r="L780" s="2">
        <f t="shared" si="110"/>
        <v>1500000</v>
      </c>
      <c r="M780" s="6">
        <f t="shared" si="111"/>
        <v>0.8817733333333333</v>
      </c>
      <c r="N780" t="str">
        <f t="shared" si="112"/>
        <v>0-100%</v>
      </c>
      <c r="O780" s="7">
        <f>MIN(I780,H780)*INDEX('2018_commission_structure'!$A$11:$I$14,MATCH(Calculations!$E780,'2018_commission_structure'!$A$11:$A$14,0),MATCH(Calculations!O$1,'2018_commission_structure'!$A$11:$I$11,0))</f>
        <v>99199.5</v>
      </c>
      <c r="P780" s="7">
        <f>IF($H780&gt;I780,MIN($H780-I780,J780-I780)*INDEX('2018_commission_structure'!$A$11:$I$14,MATCH(Calculations!$E780,'2018_commission_structure'!$A$11:$A$14,0), MATCH(Calculations!P$1,'2018_commission_structure'!$A$11:$I$11,0)),0)</f>
        <v>0</v>
      </c>
      <c r="Q780" s="7">
        <f>IF($H780&gt;J780,MIN($H780-J780,K780-J780)*INDEX('2018_commission_structure'!$A$11:$I$14,MATCH(Calculations!$E780,'2018_commission_structure'!$A$11:$A$14,0), MATCH(Calculations!Q$1,'2018_commission_structure'!$A$11:$I$11,0)),0)</f>
        <v>0</v>
      </c>
      <c r="R780" s="7">
        <f>IF($H780&gt;K780,MIN($H780-K780,L780-K780)*INDEX('2018_commission_structure'!$A$11:$I$14,MATCH(Calculations!$E780,'2018_commission_structure'!$A$11:$A$14,0), MATCH(Calculations!R$1,'2018_commission_structure'!$A$11:$I$11,0)),0)</f>
        <v>0</v>
      </c>
      <c r="S780" s="7">
        <f>IF(H780&gt;L780,(H780-L780)*INDEX('2018_commission_structure'!$A$11:$I$14,MATCH(Calculations!$E780,'2018_commission_structure'!$A$11:$A$14,0),MATCH(Calculations!S$1,'2018_commission_structure'!$A$11:$I$11,0)),0)</f>
        <v>0</v>
      </c>
      <c r="T780" s="7">
        <f t="shared" si="113"/>
        <v>99199.5</v>
      </c>
      <c r="U780" s="7">
        <f t="shared" si="114"/>
        <v>174793.5</v>
      </c>
      <c r="V780" s="7">
        <f>MIN(H780,I780)*INDEX('2018_commission_structure'!$A$5:$J$8,MATCH(Calculations!$E780,'2018_commission_structure'!$A$5:$A$8,0),MATCH(Calculations!V$1,'2018_commission_structure'!$A$5:$J$5,0))</f>
        <v>99199.5</v>
      </c>
      <c r="W780" s="2">
        <f>IF($H780&gt;I780,MIN($H780-I780,J780-I780)*INDEX('2018_commission_structure'!$A$5:$J$8,MATCH(Calculations!$E780,'2018_commission_structure'!$A$5:$A$8,0),MATCH(Calculations!W$1,'2018_commission_structure'!$A$5:$J$5,0)),0)</f>
        <v>0</v>
      </c>
      <c r="X780" s="2">
        <f>IF($H780&gt;J780,MIN($H780-J780,K780-J780)*INDEX('2018_commission_structure'!$A$5:$J$8,MATCH(Calculations!$E780,'2018_commission_structure'!$A$5:$A$8,0),MATCH(Calculations!X$1,'2018_commission_structure'!$A$5:$J$5,0)),0)</f>
        <v>0</v>
      </c>
      <c r="Y780" s="2">
        <f>IF($H780&gt;K780,MIN($H780-K780,L780-K780)*INDEX('2018_commission_structure'!$A$5:$J$8,MATCH(Calculations!$E780,'2018_commission_structure'!$A$5:$A$8,0),MATCH(Calculations!Y$1,'2018_commission_structure'!$A$5:$J$5,0)),0)</f>
        <v>0</v>
      </c>
      <c r="Z780" s="2">
        <f xml:space="preserve"> IF(H780&gt;L780,(H780-L780)*INDEX('2018_commission_structure'!$A$11:$I$14,MATCH(Calculations!$E780,'2018_commission_structure'!$A$11:$A$14,0),MATCH(Calculations!Z$1,'2018_commission_structure'!$A$11:$I$11,0)),0)</f>
        <v>0</v>
      </c>
      <c r="AA780" s="7">
        <f t="shared" si="115"/>
        <v>99199.5</v>
      </c>
      <c r="AB780" s="7">
        <f t="shared" si="116"/>
        <v>174793.5</v>
      </c>
    </row>
    <row r="781" spans="1:28" x14ac:dyDescent="0.25">
      <c r="A781">
        <v>8467388188</v>
      </c>
      <c r="B781" t="s">
        <v>1520</v>
      </c>
      <c r="C781" t="s">
        <v>1521</v>
      </c>
      <c r="D781" t="str">
        <f>B781&amp;" "&amp;C781</f>
        <v>Juditha Robe</v>
      </c>
      <c r="E781" t="s">
        <v>29</v>
      </c>
      <c r="F781">
        <v>60837</v>
      </c>
      <c r="G781">
        <f>COUNTIF(deals_closed!D:D,Calculations!A781)</f>
        <v>14</v>
      </c>
      <c r="H781" s="2">
        <f>SUMIF(deals_closed!D:D,Calculations!A781,deals_closed!C:C)</f>
        <v>564088</v>
      </c>
      <c r="I781" s="2">
        <f>VLOOKUP(E781,'2018_commission_structure'!$A$11:$I$14,9,FALSE)</f>
        <v>600000</v>
      </c>
      <c r="J781" s="2">
        <f t="shared" si="108"/>
        <v>750000</v>
      </c>
      <c r="K781" s="2">
        <f t="shared" si="109"/>
        <v>900000</v>
      </c>
      <c r="L781" s="2">
        <f t="shared" si="110"/>
        <v>1200000</v>
      </c>
      <c r="M781" s="6">
        <f t="shared" si="111"/>
        <v>0.94014666666666669</v>
      </c>
      <c r="N781" t="str">
        <f t="shared" si="112"/>
        <v>0-100%</v>
      </c>
      <c r="O781" s="7">
        <f>MIN(I781,H781)*INDEX('2018_commission_structure'!$A$11:$I$14,MATCH(Calculations!$E781,'2018_commission_structure'!$A$11:$A$14,0),MATCH(Calculations!O$1,'2018_commission_structure'!$A$11:$I$11,0))</f>
        <v>73331.44</v>
      </c>
      <c r="P781" s="7">
        <f>IF($H781&gt;I781,MIN($H781-I781,J781-I781)*INDEX('2018_commission_structure'!$A$11:$I$14,MATCH(Calculations!$E781,'2018_commission_structure'!$A$11:$A$14,0), MATCH(Calculations!P$1,'2018_commission_structure'!$A$11:$I$11,0)),0)</f>
        <v>0</v>
      </c>
      <c r="Q781" s="7">
        <f>IF($H781&gt;J781,MIN($H781-J781,K781-J781)*INDEX('2018_commission_structure'!$A$11:$I$14,MATCH(Calculations!$E781,'2018_commission_structure'!$A$11:$A$14,0), MATCH(Calculations!Q$1,'2018_commission_structure'!$A$11:$I$11,0)),0)</f>
        <v>0</v>
      </c>
      <c r="R781" s="7">
        <f>IF($H781&gt;K781,MIN($H781-K781,L781-K781)*INDEX('2018_commission_structure'!$A$11:$I$14,MATCH(Calculations!$E781,'2018_commission_structure'!$A$11:$A$14,0), MATCH(Calculations!R$1,'2018_commission_structure'!$A$11:$I$11,0)),0)</f>
        <v>0</v>
      </c>
      <c r="S781" s="7">
        <f>IF(H781&gt;L781,(H781-L781)*INDEX('2018_commission_structure'!$A$11:$I$14,MATCH(Calculations!$E781,'2018_commission_structure'!$A$11:$A$14,0),MATCH(Calculations!S$1,'2018_commission_structure'!$A$11:$I$11,0)),0)</f>
        <v>0</v>
      </c>
      <c r="T781" s="7">
        <f t="shared" si="113"/>
        <v>73331.44</v>
      </c>
      <c r="U781" s="7">
        <f t="shared" si="114"/>
        <v>134168.44</v>
      </c>
      <c r="V781" s="7">
        <f>MIN(H781,I781)*INDEX('2018_commission_structure'!$A$5:$J$8,MATCH(Calculations!$E781,'2018_commission_structure'!$A$5:$A$8,0),MATCH(Calculations!V$1,'2018_commission_structure'!$A$5:$J$5,0))</f>
        <v>84613.2</v>
      </c>
      <c r="W781" s="2">
        <f>IF($H781&gt;I781,MIN($H781-I781,J781-I781)*INDEX('2018_commission_structure'!$A$5:$J$8,MATCH(Calculations!$E781,'2018_commission_structure'!$A$5:$A$8,0),MATCH(Calculations!W$1,'2018_commission_structure'!$A$5:$J$5,0)),0)</f>
        <v>0</v>
      </c>
      <c r="X781" s="2">
        <f>IF($H781&gt;J781,MIN($H781-J781,K781-J781)*INDEX('2018_commission_structure'!$A$5:$J$8,MATCH(Calculations!$E781,'2018_commission_structure'!$A$5:$A$8,0),MATCH(Calculations!X$1,'2018_commission_structure'!$A$5:$J$5,0)),0)</f>
        <v>0</v>
      </c>
      <c r="Y781" s="2">
        <f>IF($H781&gt;K781,MIN($H781-K781,L781-K781)*INDEX('2018_commission_structure'!$A$5:$J$8,MATCH(Calculations!$E781,'2018_commission_structure'!$A$5:$A$8,0),MATCH(Calculations!Y$1,'2018_commission_structure'!$A$5:$J$5,0)),0)</f>
        <v>0</v>
      </c>
      <c r="Z781" s="2">
        <f xml:space="preserve"> IF(H781&gt;L781,(H781-L781)*INDEX('2018_commission_structure'!$A$11:$I$14,MATCH(Calculations!$E781,'2018_commission_structure'!$A$11:$A$14,0),MATCH(Calculations!Z$1,'2018_commission_structure'!$A$11:$I$11,0)),0)</f>
        <v>0</v>
      </c>
      <c r="AA781" s="7">
        <f t="shared" si="115"/>
        <v>84613.2</v>
      </c>
      <c r="AB781" s="7">
        <f t="shared" si="116"/>
        <v>145450.20000000001</v>
      </c>
    </row>
    <row r="782" spans="1:28" x14ac:dyDescent="0.25">
      <c r="A782">
        <v>939715988</v>
      </c>
      <c r="B782" t="s">
        <v>907</v>
      </c>
      <c r="C782" t="s">
        <v>908</v>
      </c>
      <c r="D782" t="str">
        <f>B782&amp;" "&amp;C782</f>
        <v>Gaelan Robrow</v>
      </c>
      <c r="E782" t="s">
        <v>10</v>
      </c>
      <c r="F782">
        <v>97130</v>
      </c>
      <c r="G782">
        <f>COUNTIF(deals_closed!D:D,Calculations!A782)</f>
        <v>20</v>
      </c>
      <c r="H782" s="2">
        <f>SUMIF(deals_closed!D:D,Calculations!A782,deals_closed!C:C)</f>
        <v>638419</v>
      </c>
      <c r="I782" s="2">
        <f>VLOOKUP(E782,'2018_commission_structure'!$A$11:$I$14,9,FALSE)</f>
        <v>750000</v>
      </c>
      <c r="J782" s="2">
        <f t="shared" si="108"/>
        <v>937500</v>
      </c>
      <c r="K782" s="2">
        <f t="shared" si="109"/>
        <v>1125000</v>
      </c>
      <c r="L782" s="2">
        <f t="shared" si="110"/>
        <v>1500000</v>
      </c>
      <c r="M782" s="6">
        <f t="shared" si="111"/>
        <v>0.85122533333333328</v>
      </c>
      <c r="N782" t="str">
        <f t="shared" si="112"/>
        <v>0-100%</v>
      </c>
      <c r="O782" s="7">
        <f>MIN(I782,H782)*INDEX('2018_commission_structure'!$A$11:$I$14,MATCH(Calculations!$E782,'2018_commission_structure'!$A$11:$A$14,0),MATCH(Calculations!O$1,'2018_commission_structure'!$A$11:$I$11,0))</f>
        <v>95762.849999999991</v>
      </c>
      <c r="P782" s="7">
        <f>IF($H782&gt;I782,MIN($H782-I782,J782-I782)*INDEX('2018_commission_structure'!$A$11:$I$14,MATCH(Calculations!$E782,'2018_commission_structure'!$A$11:$A$14,0), MATCH(Calculations!P$1,'2018_commission_structure'!$A$11:$I$11,0)),0)</f>
        <v>0</v>
      </c>
      <c r="Q782" s="7">
        <f>IF($H782&gt;J782,MIN($H782-J782,K782-J782)*INDEX('2018_commission_structure'!$A$11:$I$14,MATCH(Calculations!$E782,'2018_commission_structure'!$A$11:$A$14,0), MATCH(Calculations!Q$1,'2018_commission_structure'!$A$11:$I$11,0)),0)</f>
        <v>0</v>
      </c>
      <c r="R782" s="7">
        <f>IF($H782&gt;K782,MIN($H782-K782,L782-K782)*INDEX('2018_commission_structure'!$A$11:$I$14,MATCH(Calculations!$E782,'2018_commission_structure'!$A$11:$A$14,0), MATCH(Calculations!R$1,'2018_commission_structure'!$A$11:$I$11,0)),0)</f>
        <v>0</v>
      </c>
      <c r="S782" s="7">
        <f>IF(H782&gt;L782,(H782-L782)*INDEX('2018_commission_structure'!$A$11:$I$14,MATCH(Calculations!$E782,'2018_commission_structure'!$A$11:$A$14,0),MATCH(Calculations!S$1,'2018_commission_structure'!$A$11:$I$11,0)),0)</f>
        <v>0</v>
      </c>
      <c r="T782" s="7">
        <f t="shared" si="113"/>
        <v>95762.849999999991</v>
      </c>
      <c r="U782" s="7">
        <f t="shared" si="114"/>
        <v>192892.84999999998</v>
      </c>
      <c r="V782" s="7">
        <f>MIN(H782,I782)*INDEX('2018_commission_structure'!$A$5:$J$8,MATCH(Calculations!$E782,'2018_commission_structure'!$A$5:$A$8,0),MATCH(Calculations!V$1,'2018_commission_structure'!$A$5:$J$5,0))</f>
        <v>95762.849999999991</v>
      </c>
      <c r="W782" s="2">
        <f>IF($H782&gt;I782,MIN($H782-I782,J782-I782)*INDEX('2018_commission_structure'!$A$5:$J$8,MATCH(Calculations!$E782,'2018_commission_structure'!$A$5:$A$8,0),MATCH(Calculations!W$1,'2018_commission_structure'!$A$5:$J$5,0)),0)</f>
        <v>0</v>
      </c>
      <c r="X782" s="2">
        <f>IF($H782&gt;J782,MIN($H782-J782,K782-J782)*INDEX('2018_commission_structure'!$A$5:$J$8,MATCH(Calculations!$E782,'2018_commission_structure'!$A$5:$A$8,0),MATCH(Calculations!X$1,'2018_commission_structure'!$A$5:$J$5,0)),0)</f>
        <v>0</v>
      </c>
      <c r="Y782" s="2">
        <f>IF($H782&gt;K782,MIN($H782-K782,L782-K782)*INDEX('2018_commission_structure'!$A$5:$J$8,MATCH(Calculations!$E782,'2018_commission_structure'!$A$5:$A$8,0),MATCH(Calculations!Y$1,'2018_commission_structure'!$A$5:$J$5,0)),0)</f>
        <v>0</v>
      </c>
      <c r="Z782" s="2">
        <f xml:space="preserve"> IF(H782&gt;L782,(H782-L782)*INDEX('2018_commission_structure'!$A$11:$I$14,MATCH(Calculations!$E782,'2018_commission_structure'!$A$11:$A$14,0),MATCH(Calculations!Z$1,'2018_commission_structure'!$A$11:$I$11,0)),0)</f>
        <v>0</v>
      </c>
      <c r="AA782" s="7">
        <f t="shared" si="115"/>
        <v>95762.849999999991</v>
      </c>
      <c r="AB782" s="7">
        <f t="shared" si="116"/>
        <v>192892.84999999998</v>
      </c>
    </row>
    <row r="783" spans="1:28" x14ac:dyDescent="0.25">
      <c r="A783">
        <v>76572129</v>
      </c>
      <c r="B783" t="s">
        <v>1472</v>
      </c>
      <c r="C783" t="s">
        <v>1473</v>
      </c>
      <c r="D783" t="str">
        <f>B783&amp;" "&amp;C783</f>
        <v>Doralia Robshaw</v>
      </c>
      <c r="E783" t="s">
        <v>10</v>
      </c>
      <c r="F783">
        <v>85993</v>
      </c>
      <c r="G783">
        <f>COUNTIF(deals_closed!D:D,Calculations!A783)</f>
        <v>25</v>
      </c>
      <c r="H783" s="2">
        <f>SUMIF(deals_closed!D:D,Calculations!A783,deals_closed!C:C)</f>
        <v>848660</v>
      </c>
      <c r="I783" s="2">
        <f>VLOOKUP(E783,'2018_commission_structure'!$A$11:$I$14,9,FALSE)</f>
        <v>750000</v>
      </c>
      <c r="J783" s="2">
        <f t="shared" si="108"/>
        <v>937500</v>
      </c>
      <c r="K783" s="2">
        <f t="shared" si="109"/>
        <v>1125000</v>
      </c>
      <c r="L783" s="2">
        <f t="shared" si="110"/>
        <v>1500000</v>
      </c>
      <c r="M783" s="6">
        <f t="shared" si="111"/>
        <v>1.1315466666666667</v>
      </c>
      <c r="N783" t="str">
        <f t="shared" si="112"/>
        <v>100-125%</v>
      </c>
      <c r="O783" s="7">
        <f>MIN(I783,H783)*INDEX('2018_commission_structure'!$A$11:$I$14,MATCH(Calculations!$E783,'2018_commission_structure'!$A$11:$A$14,0),MATCH(Calculations!O$1,'2018_commission_structure'!$A$11:$I$11,0))</f>
        <v>112500</v>
      </c>
      <c r="P783" s="7">
        <f>IF($H783&gt;I783,MIN($H783-I783,J783-I783)*INDEX('2018_commission_structure'!$A$11:$I$14,MATCH(Calculations!$E783,'2018_commission_structure'!$A$11:$A$14,0), MATCH(Calculations!P$1,'2018_commission_structure'!$A$11:$I$11,0)),0)</f>
        <v>18745.400000000001</v>
      </c>
      <c r="Q783" s="7">
        <f>IF($H783&gt;J783,MIN($H783-J783,K783-J783)*INDEX('2018_commission_structure'!$A$11:$I$14,MATCH(Calculations!$E783,'2018_commission_structure'!$A$11:$A$14,0), MATCH(Calculations!Q$1,'2018_commission_structure'!$A$11:$I$11,0)),0)</f>
        <v>0</v>
      </c>
      <c r="R783" s="7">
        <f>IF($H783&gt;K783,MIN($H783-K783,L783-K783)*INDEX('2018_commission_structure'!$A$11:$I$14,MATCH(Calculations!$E783,'2018_commission_structure'!$A$11:$A$14,0), MATCH(Calculations!R$1,'2018_commission_structure'!$A$11:$I$11,0)),0)</f>
        <v>0</v>
      </c>
      <c r="S783" s="7">
        <f>IF(H783&gt;L783,(H783-L783)*INDEX('2018_commission_structure'!$A$11:$I$14,MATCH(Calculations!$E783,'2018_commission_structure'!$A$11:$A$14,0),MATCH(Calculations!S$1,'2018_commission_structure'!$A$11:$I$11,0)),0)</f>
        <v>0</v>
      </c>
      <c r="T783" s="7">
        <f t="shared" si="113"/>
        <v>131245.4</v>
      </c>
      <c r="U783" s="7">
        <f t="shared" si="114"/>
        <v>217238.39999999999</v>
      </c>
      <c r="V783" s="7">
        <f>MIN(H783,I783)*INDEX('2018_commission_structure'!$A$5:$J$8,MATCH(Calculations!$E783,'2018_commission_structure'!$A$5:$A$8,0),MATCH(Calculations!V$1,'2018_commission_structure'!$A$5:$J$5,0))</f>
        <v>112500</v>
      </c>
      <c r="W783" s="2">
        <f>IF($H783&gt;I783,MIN($H783-I783,J783-I783)*INDEX('2018_commission_structure'!$A$5:$J$8,MATCH(Calculations!$E783,'2018_commission_structure'!$A$5:$A$8,0),MATCH(Calculations!W$1,'2018_commission_structure'!$A$5:$J$5,0)),0)</f>
        <v>21705.200000000001</v>
      </c>
      <c r="X783" s="2">
        <f>IF($H783&gt;J783,MIN($H783-J783,K783-J783)*INDEX('2018_commission_structure'!$A$5:$J$8,MATCH(Calculations!$E783,'2018_commission_structure'!$A$5:$A$8,0),MATCH(Calculations!X$1,'2018_commission_structure'!$A$5:$J$5,0)),0)</f>
        <v>0</v>
      </c>
      <c r="Y783" s="2">
        <f>IF($H783&gt;K783,MIN($H783-K783,L783-K783)*INDEX('2018_commission_structure'!$A$5:$J$8,MATCH(Calculations!$E783,'2018_commission_structure'!$A$5:$A$8,0),MATCH(Calculations!Y$1,'2018_commission_structure'!$A$5:$J$5,0)),0)</f>
        <v>0</v>
      </c>
      <c r="Z783" s="2">
        <f xml:space="preserve"> IF(H783&gt;L783,(H783-L783)*INDEX('2018_commission_structure'!$A$11:$I$14,MATCH(Calculations!$E783,'2018_commission_structure'!$A$11:$A$14,0),MATCH(Calculations!Z$1,'2018_commission_structure'!$A$11:$I$11,0)),0)</f>
        <v>0</v>
      </c>
      <c r="AA783" s="7">
        <f t="shared" si="115"/>
        <v>134205.20000000001</v>
      </c>
      <c r="AB783" s="7">
        <f t="shared" si="116"/>
        <v>220198.2</v>
      </c>
    </row>
    <row r="784" spans="1:28" x14ac:dyDescent="0.25">
      <c r="A784">
        <v>4808886316</v>
      </c>
      <c r="B784" t="s">
        <v>1411</v>
      </c>
      <c r="C784" t="s">
        <v>1412</v>
      </c>
      <c r="D784" t="str">
        <f>B784&amp;" "&amp;C784</f>
        <v>Tiebout Roby</v>
      </c>
      <c r="E784" t="s">
        <v>10</v>
      </c>
      <c r="F784">
        <v>89443</v>
      </c>
      <c r="G784">
        <f>COUNTIF(deals_closed!D:D,Calculations!A784)</f>
        <v>23</v>
      </c>
      <c r="H784" s="2">
        <f>SUMIF(deals_closed!D:D,Calculations!A784,deals_closed!C:C)</f>
        <v>857724</v>
      </c>
      <c r="I784" s="2">
        <f>VLOOKUP(E784,'2018_commission_structure'!$A$11:$I$14,9,FALSE)</f>
        <v>750000</v>
      </c>
      <c r="J784" s="2">
        <f t="shared" si="108"/>
        <v>937500</v>
      </c>
      <c r="K784" s="2">
        <f t="shared" si="109"/>
        <v>1125000</v>
      </c>
      <c r="L784" s="2">
        <f t="shared" si="110"/>
        <v>1500000</v>
      </c>
      <c r="M784" s="6">
        <f t="shared" si="111"/>
        <v>1.143632</v>
      </c>
      <c r="N784" t="str">
        <f t="shared" si="112"/>
        <v>100-125%</v>
      </c>
      <c r="O784" s="7">
        <f>MIN(I784,H784)*INDEX('2018_commission_structure'!$A$11:$I$14,MATCH(Calculations!$E784,'2018_commission_structure'!$A$11:$A$14,0),MATCH(Calculations!O$1,'2018_commission_structure'!$A$11:$I$11,0))</f>
        <v>112500</v>
      </c>
      <c r="P784" s="7">
        <f>IF($H784&gt;I784,MIN($H784-I784,J784-I784)*INDEX('2018_commission_structure'!$A$11:$I$14,MATCH(Calculations!$E784,'2018_commission_structure'!$A$11:$A$14,0), MATCH(Calculations!P$1,'2018_commission_structure'!$A$11:$I$11,0)),0)</f>
        <v>20467.560000000001</v>
      </c>
      <c r="Q784" s="7">
        <f>IF($H784&gt;J784,MIN($H784-J784,K784-J784)*INDEX('2018_commission_structure'!$A$11:$I$14,MATCH(Calculations!$E784,'2018_commission_structure'!$A$11:$A$14,0), MATCH(Calculations!Q$1,'2018_commission_structure'!$A$11:$I$11,0)),0)</f>
        <v>0</v>
      </c>
      <c r="R784" s="7">
        <f>IF($H784&gt;K784,MIN($H784-K784,L784-K784)*INDEX('2018_commission_structure'!$A$11:$I$14,MATCH(Calculations!$E784,'2018_commission_structure'!$A$11:$A$14,0), MATCH(Calculations!R$1,'2018_commission_structure'!$A$11:$I$11,0)),0)</f>
        <v>0</v>
      </c>
      <c r="S784" s="7">
        <f>IF(H784&gt;L784,(H784-L784)*INDEX('2018_commission_structure'!$A$11:$I$14,MATCH(Calculations!$E784,'2018_commission_structure'!$A$11:$A$14,0),MATCH(Calculations!S$1,'2018_commission_structure'!$A$11:$I$11,0)),0)</f>
        <v>0</v>
      </c>
      <c r="T784" s="7">
        <f t="shared" si="113"/>
        <v>132967.56</v>
      </c>
      <c r="U784" s="7">
        <f t="shared" si="114"/>
        <v>222410.56</v>
      </c>
      <c r="V784" s="7">
        <f>MIN(H784,I784)*INDEX('2018_commission_structure'!$A$5:$J$8,MATCH(Calculations!$E784,'2018_commission_structure'!$A$5:$A$8,0),MATCH(Calculations!V$1,'2018_commission_structure'!$A$5:$J$5,0))</f>
        <v>112500</v>
      </c>
      <c r="W784" s="2">
        <f>IF($H784&gt;I784,MIN($H784-I784,J784-I784)*INDEX('2018_commission_structure'!$A$5:$J$8,MATCH(Calculations!$E784,'2018_commission_structure'!$A$5:$A$8,0),MATCH(Calculations!W$1,'2018_commission_structure'!$A$5:$J$5,0)),0)</f>
        <v>23699.279999999999</v>
      </c>
      <c r="X784" s="2">
        <f>IF($H784&gt;J784,MIN($H784-J784,K784-J784)*INDEX('2018_commission_structure'!$A$5:$J$8,MATCH(Calculations!$E784,'2018_commission_structure'!$A$5:$A$8,0),MATCH(Calculations!X$1,'2018_commission_structure'!$A$5:$J$5,0)),0)</f>
        <v>0</v>
      </c>
      <c r="Y784" s="2">
        <f>IF($H784&gt;K784,MIN($H784-K784,L784-K784)*INDEX('2018_commission_structure'!$A$5:$J$8,MATCH(Calculations!$E784,'2018_commission_structure'!$A$5:$A$8,0),MATCH(Calculations!Y$1,'2018_commission_structure'!$A$5:$J$5,0)),0)</f>
        <v>0</v>
      </c>
      <c r="Z784" s="2">
        <f xml:space="preserve"> IF(H784&gt;L784,(H784-L784)*INDEX('2018_commission_structure'!$A$11:$I$14,MATCH(Calculations!$E784,'2018_commission_structure'!$A$11:$A$14,0),MATCH(Calculations!Z$1,'2018_commission_structure'!$A$11:$I$11,0)),0)</f>
        <v>0</v>
      </c>
      <c r="AA784" s="7">
        <f t="shared" si="115"/>
        <v>136199.28</v>
      </c>
      <c r="AB784" s="7">
        <f t="shared" si="116"/>
        <v>225642.28</v>
      </c>
    </row>
    <row r="785" spans="1:28" x14ac:dyDescent="0.25">
      <c r="A785">
        <v>1351073265</v>
      </c>
      <c r="B785" t="s">
        <v>1526</v>
      </c>
      <c r="C785" t="s">
        <v>1527</v>
      </c>
      <c r="D785" t="str">
        <f>B785&amp;" "&amp;C785</f>
        <v>Emelyne Rochford</v>
      </c>
      <c r="E785" t="s">
        <v>10</v>
      </c>
      <c r="F785">
        <v>80670</v>
      </c>
      <c r="G785">
        <f>COUNTIF(deals_closed!D:D,Calculations!A785)</f>
        <v>22</v>
      </c>
      <c r="H785" s="2">
        <f>SUMIF(deals_closed!D:D,Calculations!A785,deals_closed!C:C)</f>
        <v>744781</v>
      </c>
      <c r="I785" s="2">
        <f>VLOOKUP(E785,'2018_commission_structure'!$A$11:$I$14,9,FALSE)</f>
        <v>750000</v>
      </c>
      <c r="J785" s="2">
        <f t="shared" si="108"/>
        <v>937500</v>
      </c>
      <c r="K785" s="2">
        <f t="shared" si="109"/>
        <v>1125000</v>
      </c>
      <c r="L785" s="2">
        <f t="shared" si="110"/>
        <v>1500000</v>
      </c>
      <c r="M785" s="6">
        <f t="shared" si="111"/>
        <v>0.99304133333333333</v>
      </c>
      <c r="N785" t="str">
        <f t="shared" si="112"/>
        <v>0-100%</v>
      </c>
      <c r="O785" s="7">
        <f>MIN(I785,H785)*INDEX('2018_commission_structure'!$A$11:$I$14,MATCH(Calculations!$E785,'2018_commission_structure'!$A$11:$A$14,0),MATCH(Calculations!O$1,'2018_commission_structure'!$A$11:$I$11,0))</f>
        <v>111717.15</v>
      </c>
      <c r="P785" s="7">
        <f>IF($H785&gt;I785,MIN($H785-I785,J785-I785)*INDEX('2018_commission_structure'!$A$11:$I$14,MATCH(Calculations!$E785,'2018_commission_structure'!$A$11:$A$14,0), MATCH(Calculations!P$1,'2018_commission_structure'!$A$11:$I$11,0)),0)</f>
        <v>0</v>
      </c>
      <c r="Q785" s="7">
        <f>IF($H785&gt;J785,MIN($H785-J785,K785-J785)*INDEX('2018_commission_structure'!$A$11:$I$14,MATCH(Calculations!$E785,'2018_commission_structure'!$A$11:$A$14,0), MATCH(Calculations!Q$1,'2018_commission_structure'!$A$11:$I$11,0)),0)</f>
        <v>0</v>
      </c>
      <c r="R785" s="7">
        <f>IF($H785&gt;K785,MIN($H785-K785,L785-K785)*INDEX('2018_commission_structure'!$A$11:$I$14,MATCH(Calculations!$E785,'2018_commission_structure'!$A$11:$A$14,0), MATCH(Calculations!R$1,'2018_commission_structure'!$A$11:$I$11,0)),0)</f>
        <v>0</v>
      </c>
      <c r="S785" s="7">
        <f>IF(H785&gt;L785,(H785-L785)*INDEX('2018_commission_structure'!$A$11:$I$14,MATCH(Calculations!$E785,'2018_commission_structure'!$A$11:$A$14,0),MATCH(Calculations!S$1,'2018_commission_structure'!$A$11:$I$11,0)),0)</f>
        <v>0</v>
      </c>
      <c r="T785" s="7">
        <f t="shared" si="113"/>
        <v>111717.15</v>
      </c>
      <c r="U785" s="7">
        <f t="shared" si="114"/>
        <v>192387.15</v>
      </c>
      <c r="V785" s="7">
        <f>MIN(H785,I785)*INDEX('2018_commission_structure'!$A$5:$J$8,MATCH(Calculations!$E785,'2018_commission_structure'!$A$5:$A$8,0),MATCH(Calculations!V$1,'2018_commission_structure'!$A$5:$J$5,0))</f>
        <v>111717.15</v>
      </c>
      <c r="W785" s="2">
        <f>IF($H785&gt;I785,MIN($H785-I785,J785-I785)*INDEX('2018_commission_structure'!$A$5:$J$8,MATCH(Calculations!$E785,'2018_commission_structure'!$A$5:$A$8,0),MATCH(Calculations!W$1,'2018_commission_structure'!$A$5:$J$5,0)),0)</f>
        <v>0</v>
      </c>
      <c r="X785" s="2">
        <f>IF($H785&gt;J785,MIN($H785-J785,K785-J785)*INDEX('2018_commission_structure'!$A$5:$J$8,MATCH(Calculations!$E785,'2018_commission_structure'!$A$5:$A$8,0),MATCH(Calculations!X$1,'2018_commission_structure'!$A$5:$J$5,0)),0)</f>
        <v>0</v>
      </c>
      <c r="Y785" s="2">
        <f>IF($H785&gt;K785,MIN($H785-K785,L785-K785)*INDEX('2018_commission_structure'!$A$5:$J$8,MATCH(Calculations!$E785,'2018_commission_structure'!$A$5:$A$8,0),MATCH(Calculations!Y$1,'2018_commission_structure'!$A$5:$J$5,0)),0)</f>
        <v>0</v>
      </c>
      <c r="Z785" s="2">
        <f xml:space="preserve"> IF(H785&gt;L785,(H785-L785)*INDEX('2018_commission_structure'!$A$11:$I$14,MATCH(Calculations!$E785,'2018_commission_structure'!$A$11:$A$14,0),MATCH(Calculations!Z$1,'2018_commission_structure'!$A$11:$I$11,0)),0)</f>
        <v>0</v>
      </c>
      <c r="AA785" s="7">
        <f t="shared" si="115"/>
        <v>111717.15</v>
      </c>
      <c r="AB785" s="7">
        <f t="shared" si="116"/>
        <v>192387.15</v>
      </c>
    </row>
    <row r="786" spans="1:28" x14ac:dyDescent="0.25">
      <c r="A786">
        <v>6471464479</v>
      </c>
      <c r="B786" t="s">
        <v>1548</v>
      </c>
      <c r="C786" t="s">
        <v>1549</v>
      </c>
      <c r="D786" t="str">
        <f>B786&amp;" "&amp;C786</f>
        <v>Ernesta Rodd</v>
      </c>
      <c r="E786" t="s">
        <v>29</v>
      </c>
      <c r="F786">
        <v>77224</v>
      </c>
      <c r="G786">
        <f>COUNTIF(deals_closed!D:D,Calculations!A786)</f>
        <v>26</v>
      </c>
      <c r="H786" s="2">
        <f>SUMIF(deals_closed!D:D,Calculations!A786,deals_closed!C:C)</f>
        <v>936364</v>
      </c>
      <c r="I786" s="2">
        <f>VLOOKUP(E786,'2018_commission_structure'!$A$11:$I$14,9,FALSE)</f>
        <v>600000</v>
      </c>
      <c r="J786" s="2">
        <f t="shared" si="108"/>
        <v>750000</v>
      </c>
      <c r="K786" s="2">
        <f t="shared" si="109"/>
        <v>900000</v>
      </c>
      <c r="L786" s="2">
        <f t="shared" si="110"/>
        <v>1200000</v>
      </c>
      <c r="M786" s="6">
        <f t="shared" si="111"/>
        <v>1.5606066666666667</v>
      </c>
      <c r="N786" t="str">
        <f t="shared" si="112"/>
        <v>150-200%</v>
      </c>
      <c r="O786" s="7">
        <f>MIN(I786,H786)*INDEX('2018_commission_structure'!$A$11:$I$14,MATCH(Calculations!$E786,'2018_commission_structure'!$A$11:$A$14,0),MATCH(Calculations!O$1,'2018_commission_structure'!$A$11:$I$11,0))</f>
        <v>78000</v>
      </c>
      <c r="P786" s="7">
        <f>IF($H786&gt;I786,MIN($H786-I786,J786-I786)*INDEX('2018_commission_structure'!$A$11:$I$14,MATCH(Calculations!$E786,'2018_commission_structure'!$A$11:$A$14,0), MATCH(Calculations!P$1,'2018_commission_structure'!$A$11:$I$11,0)),0)</f>
        <v>25500.000000000004</v>
      </c>
      <c r="Q786" s="7">
        <f>IF($H786&gt;J786,MIN($H786-J786,K786-J786)*INDEX('2018_commission_structure'!$A$11:$I$14,MATCH(Calculations!$E786,'2018_commission_structure'!$A$11:$A$14,0), MATCH(Calculations!Q$1,'2018_commission_structure'!$A$11:$I$11,0)),0)</f>
        <v>31500</v>
      </c>
      <c r="R786" s="7">
        <f>IF($H786&gt;K786,MIN($H786-K786,L786-K786)*INDEX('2018_commission_structure'!$A$11:$I$14,MATCH(Calculations!$E786,'2018_commission_structure'!$A$11:$A$14,0), MATCH(Calculations!R$1,'2018_commission_structure'!$A$11:$I$11,0)),0)</f>
        <v>9454.64</v>
      </c>
      <c r="S786" s="7">
        <f>IF(H786&gt;L786,(H786-L786)*INDEX('2018_commission_structure'!$A$11:$I$14,MATCH(Calculations!$E786,'2018_commission_structure'!$A$11:$A$14,0),MATCH(Calculations!S$1,'2018_commission_structure'!$A$11:$I$11,0)),0)</f>
        <v>0</v>
      </c>
      <c r="T786" s="7">
        <f t="shared" si="113"/>
        <v>144454.64000000001</v>
      </c>
      <c r="U786" s="7">
        <f t="shared" si="114"/>
        <v>221678.64</v>
      </c>
      <c r="V786" s="7">
        <f>MIN(H786,I786)*INDEX('2018_commission_structure'!$A$5:$J$8,MATCH(Calculations!$E786,'2018_commission_structure'!$A$5:$A$8,0),MATCH(Calculations!V$1,'2018_commission_structure'!$A$5:$J$5,0))</f>
        <v>90000</v>
      </c>
      <c r="W786" s="2">
        <f>IF($H786&gt;I786,MIN($H786-I786,J786-I786)*INDEX('2018_commission_structure'!$A$5:$J$8,MATCH(Calculations!$E786,'2018_commission_structure'!$A$5:$A$8,0),MATCH(Calculations!W$1,'2018_commission_structure'!$A$5:$J$5,0)),0)</f>
        <v>27000</v>
      </c>
      <c r="X786" s="2">
        <f>IF($H786&gt;J786,MIN($H786-J786,K786-J786)*INDEX('2018_commission_structure'!$A$5:$J$8,MATCH(Calculations!$E786,'2018_commission_structure'!$A$5:$A$8,0),MATCH(Calculations!X$1,'2018_commission_structure'!$A$5:$J$5,0)),0)</f>
        <v>37500</v>
      </c>
      <c r="Y786" s="2">
        <f>IF($H786&gt;K786,MIN($H786-K786,L786-K786)*INDEX('2018_commission_structure'!$A$5:$J$8,MATCH(Calculations!$E786,'2018_commission_structure'!$A$5:$A$8,0),MATCH(Calculations!Y$1,'2018_commission_structure'!$A$5:$J$5,0)),0)</f>
        <v>10909.199999999999</v>
      </c>
      <c r="Z786" s="2">
        <f xml:space="preserve"> IF(H786&gt;L786,(H786-L786)*INDEX('2018_commission_structure'!$A$11:$I$14,MATCH(Calculations!$E786,'2018_commission_structure'!$A$11:$A$14,0),MATCH(Calculations!Z$1,'2018_commission_structure'!$A$11:$I$11,0)),0)</f>
        <v>0</v>
      </c>
      <c r="AA786" s="7">
        <f t="shared" si="115"/>
        <v>165409.20000000001</v>
      </c>
      <c r="AB786" s="7">
        <f t="shared" si="116"/>
        <v>242633.2</v>
      </c>
    </row>
    <row r="787" spans="1:28" x14ac:dyDescent="0.25">
      <c r="A787">
        <v>8887868026</v>
      </c>
      <c r="B787" t="s">
        <v>765</v>
      </c>
      <c r="C787" t="s">
        <v>766</v>
      </c>
      <c r="D787" t="str">
        <f>B787&amp;" "&amp;C787</f>
        <v>Ahmed Roizn</v>
      </c>
      <c r="E787" t="s">
        <v>10</v>
      </c>
      <c r="F787">
        <v>92800</v>
      </c>
      <c r="G787">
        <f>COUNTIF(deals_closed!D:D,Calculations!A787)</f>
        <v>19</v>
      </c>
      <c r="H787" s="2">
        <f>SUMIF(deals_closed!D:D,Calculations!A787,deals_closed!C:C)</f>
        <v>694951</v>
      </c>
      <c r="I787" s="2">
        <f>VLOOKUP(E787,'2018_commission_structure'!$A$11:$I$14,9,FALSE)</f>
        <v>750000</v>
      </c>
      <c r="J787" s="2">
        <f t="shared" si="108"/>
        <v>937500</v>
      </c>
      <c r="K787" s="2">
        <f t="shared" si="109"/>
        <v>1125000</v>
      </c>
      <c r="L787" s="2">
        <f t="shared" si="110"/>
        <v>1500000</v>
      </c>
      <c r="M787" s="6">
        <f t="shared" si="111"/>
        <v>0.92660133333333339</v>
      </c>
      <c r="N787" t="str">
        <f t="shared" si="112"/>
        <v>0-100%</v>
      </c>
      <c r="O787" s="7">
        <f>MIN(I787,H787)*INDEX('2018_commission_structure'!$A$11:$I$14,MATCH(Calculations!$E787,'2018_commission_structure'!$A$11:$A$14,0),MATCH(Calculations!O$1,'2018_commission_structure'!$A$11:$I$11,0))</f>
        <v>104242.65</v>
      </c>
      <c r="P787" s="7">
        <f>IF($H787&gt;I787,MIN($H787-I787,J787-I787)*INDEX('2018_commission_structure'!$A$11:$I$14,MATCH(Calculations!$E787,'2018_commission_structure'!$A$11:$A$14,0), MATCH(Calculations!P$1,'2018_commission_structure'!$A$11:$I$11,0)),0)</f>
        <v>0</v>
      </c>
      <c r="Q787" s="7">
        <f>IF($H787&gt;J787,MIN($H787-J787,K787-J787)*INDEX('2018_commission_structure'!$A$11:$I$14,MATCH(Calculations!$E787,'2018_commission_structure'!$A$11:$A$14,0), MATCH(Calculations!Q$1,'2018_commission_structure'!$A$11:$I$11,0)),0)</f>
        <v>0</v>
      </c>
      <c r="R787" s="7">
        <f>IF($H787&gt;K787,MIN($H787-K787,L787-K787)*INDEX('2018_commission_structure'!$A$11:$I$14,MATCH(Calculations!$E787,'2018_commission_structure'!$A$11:$A$14,0), MATCH(Calculations!R$1,'2018_commission_structure'!$A$11:$I$11,0)),0)</f>
        <v>0</v>
      </c>
      <c r="S787" s="7">
        <f>IF(H787&gt;L787,(H787-L787)*INDEX('2018_commission_structure'!$A$11:$I$14,MATCH(Calculations!$E787,'2018_commission_structure'!$A$11:$A$14,0),MATCH(Calculations!S$1,'2018_commission_structure'!$A$11:$I$11,0)),0)</f>
        <v>0</v>
      </c>
      <c r="T787" s="7">
        <f t="shared" si="113"/>
        <v>104242.65</v>
      </c>
      <c r="U787" s="7">
        <f t="shared" si="114"/>
        <v>197042.65</v>
      </c>
      <c r="V787" s="7">
        <f>MIN(H787,I787)*INDEX('2018_commission_structure'!$A$5:$J$8,MATCH(Calculations!$E787,'2018_commission_structure'!$A$5:$A$8,0),MATCH(Calculations!V$1,'2018_commission_structure'!$A$5:$J$5,0))</f>
        <v>104242.65</v>
      </c>
      <c r="W787" s="2">
        <f>IF($H787&gt;I787,MIN($H787-I787,J787-I787)*INDEX('2018_commission_structure'!$A$5:$J$8,MATCH(Calculations!$E787,'2018_commission_structure'!$A$5:$A$8,0),MATCH(Calculations!W$1,'2018_commission_structure'!$A$5:$J$5,0)),0)</f>
        <v>0</v>
      </c>
      <c r="X787" s="2">
        <f>IF($H787&gt;J787,MIN($H787-J787,K787-J787)*INDEX('2018_commission_structure'!$A$5:$J$8,MATCH(Calculations!$E787,'2018_commission_structure'!$A$5:$A$8,0),MATCH(Calculations!X$1,'2018_commission_structure'!$A$5:$J$5,0)),0)</f>
        <v>0</v>
      </c>
      <c r="Y787" s="2">
        <f>IF($H787&gt;K787,MIN($H787-K787,L787-K787)*INDEX('2018_commission_structure'!$A$5:$J$8,MATCH(Calculations!$E787,'2018_commission_structure'!$A$5:$A$8,0),MATCH(Calculations!Y$1,'2018_commission_structure'!$A$5:$J$5,0)),0)</f>
        <v>0</v>
      </c>
      <c r="Z787" s="2">
        <f xml:space="preserve"> IF(H787&gt;L787,(H787-L787)*INDEX('2018_commission_structure'!$A$11:$I$14,MATCH(Calculations!$E787,'2018_commission_structure'!$A$11:$A$14,0),MATCH(Calculations!Z$1,'2018_commission_structure'!$A$11:$I$11,0)),0)</f>
        <v>0</v>
      </c>
      <c r="AA787" s="7">
        <f t="shared" si="115"/>
        <v>104242.65</v>
      </c>
      <c r="AB787" s="7">
        <f t="shared" si="116"/>
        <v>197042.65</v>
      </c>
    </row>
    <row r="788" spans="1:28" x14ac:dyDescent="0.25">
      <c r="A788">
        <v>7469392467</v>
      </c>
      <c r="B788" t="s">
        <v>842</v>
      </c>
      <c r="C788" t="s">
        <v>843</v>
      </c>
      <c r="D788" t="str">
        <f>B788&amp;" "&amp;C788</f>
        <v>Arel Rolland</v>
      </c>
      <c r="E788" t="s">
        <v>7</v>
      </c>
      <c r="F788">
        <v>51545</v>
      </c>
      <c r="G788">
        <f>COUNTIF(deals_closed!D:D,Calculations!A788)</f>
        <v>20</v>
      </c>
      <c r="H788" s="2">
        <f>SUMIF(deals_closed!D:D,Calculations!A788,deals_closed!C:C)</f>
        <v>691612</v>
      </c>
      <c r="I788" s="2">
        <f>VLOOKUP(E788,'2018_commission_structure'!$A$11:$I$14,9,FALSE)</f>
        <v>500000</v>
      </c>
      <c r="J788" s="2">
        <f t="shared" si="108"/>
        <v>625000</v>
      </c>
      <c r="K788" s="2">
        <f t="shared" si="109"/>
        <v>750000</v>
      </c>
      <c r="L788" s="2">
        <f t="shared" si="110"/>
        <v>1000000</v>
      </c>
      <c r="M788" s="6">
        <f t="shared" si="111"/>
        <v>1.383224</v>
      </c>
      <c r="N788" t="str">
        <f t="shared" si="112"/>
        <v>125-150%</v>
      </c>
      <c r="O788" s="7">
        <f>MIN(I788,H788)*INDEX('2018_commission_structure'!$A$11:$I$14,MATCH(Calculations!$E788,'2018_commission_structure'!$A$11:$A$14,0),MATCH(Calculations!O$1,'2018_commission_structure'!$A$11:$I$11,0))</f>
        <v>50000</v>
      </c>
      <c r="P788" s="7">
        <f>IF($H788&gt;I788,MIN($H788-I788,J788-I788)*INDEX('2018_commission_structure'!$A$11:$I$14,MATCH(Calculations!$E788,'2018_commission_structure'!$A$11:$A$14,0), MATCH(Calculations!P$1,'2018_commission_structure'!$A$11:$I$11,0)),0)</f>
        <v>18750</v>
      </c>
      <c r="Q788" s="7">
        <f>IF($H788&gt;J788,MIN($H788-J788,K788-J788)*INDEX('2018_commission_structure'!$A$11:$I$14,MATCH(Calculations!$E788,'2018_commission_structure'!$A$11:$A$14,0), MATCH(Calculations!Q$1,'2018_commission_structure'!$A$11:$I$11,0)),0)</f>
        <v>11990.16</v>
      </c>
      <c r="R788" s="7">
        <f>IF($H788&gt;K788,MIN($H788-K788,L788-K788)*INDEX('2018_commission_structure'!$A$11:$I$14,MATCH(Calculations!$E788,'2018_commission_structure'!$A$11:$A$14,0), MATCH(Calculations!R$1,'2018_commission_structure'!$A$11:$I$11,0)),0)</f>
        <v>0</v>
      </c>
      <c r="S788" s="7">
        <f>IF(H788&gt;L788,(H788-L788)*INDEX('2018_commission_structure'!$A$11:$I$14,MATCH(Calculations!$E788,'2018_commission_structure'!$A$11:$A$14,0),MATCH(Calculations!S$1,'2018_commission_structure'!$A$11:$I$11,0)),0)</f>
        <v>0</v>
      </c>
      <c r="T788" s="7">
        <f t="shared" si="113"/>
        <v>80740.160000000003</v>
      </c>
      <c r="U788" s="7">
        <f t="shared" si="114"/>
        <v>132285.16</v>
      </c>
      <c r="V788" s="7">
        <f>MIN(H788,I788)*INDEX('2018_commission_structure'!$A$5:$J$8,MATCH(Calculations!$E788,'2018_commission_structure'!$A$5:$A$8,0),MATCH(Calculations!V$1,'2018_commission_structure'!$A$5:$J$5,0))</f>
        <v>60000</v>
      </c>
      <c r="W788" s="2">
        <f>IF($H788&gt;I788,MIN($H788-I788,J788-I788)*INDEX('2018_commission_structure'!$A$5:$J$8,MATCH(Calculations!$E788,'2018_commission_structure'!$A$5:$A$8,0),MATCH(Calculations!W$1,'2018_commission_structure'!$A$5:$J$5,0)),0)</f>
        <v>21250</v>
      </c>
      <c r="X788" s="2">
        <f>IF($H788&gt;J788,MIN($H788-J788,K788-J788)*INDEX('2018_commission_structure'!$A$5:$J$8,MATCH(Calculations!$E788,'2018_commission_structure'!$A$5:$A$8,0),MATCH(Calculations!X$1,'2018_commission_structure'!$A$5:$J$5,0)),0)</f>
        <v>13322.400000000001</v>
      </c>
      <c r="Y788" s="2">
        <f>IF($H788&gt;K788,MIN($H788-K788,L788-K788)*INDEX('2018_commission_structure'!$A$5:$J$8,MATCH(Calculations!$E788,'2018_commission_structure'!$A$5:$A$8,0),MATCH(Calculations!Y$1,'2018_commission_structure'!$A$5:$J$5,0)),0)</f>
        <v>0</v>
      </c>
      <c r="Z788" s="2">
        <f xml:space="preserve"> IF(H788&gt;L788,(H788-L788)*INDEX('2018_commission_structure'!$A$11:$I$14,MATCH(Calculations!$E788,'2018_commission_structure'!$A$11:$A$14,0),MATCH(Calculations!Z$1,'2018_commission_structure'!$A$11:$I$11,0)),0)</f>
        <v>0</v>
      </c>
      <c r="AA788" s="7">
        <f t="shared" si="115"/>
        <v>94572.4</v>
      </c>
      <c r="AB788" s="7">
        <f t="shared" si="116"/>
        <v>146117.4</v>
      </c>
    </row>
    <row r="789" spans="1:28" x14ac:dyDescent="0.25">
      <c r="A789">
        <v>5603330430</v>
      </c>
      <c r="B789" t="s">
        <v>701</v>
      </c>
      <c r="C789" t="s">
        <v>702</v>
      </c>
      <c r="D789" t="str">
        <f>B789&amp;" "&amp;C789</f>
        <v>Cassius Roseaman</v>
      </c>
      <c r="E789" t="s">
        <v>29</v>
      </c>
      <c r="F789">
        <v>57267</v>
      </c>
      <c r="G789">
        <f>COUNTIF(deals_closed!D:D,Calculations!A789)</f>
        <v>23</v>
      </c>
      <c r="H789" s="2">
        <f>SUMIF(deals_closed!D:D,Calculations!A789,deals_closed!C:C)</f>
        <v>778322</v>
      </c>
      <c r="I789" s="2">
        <f>VLOOKUP(E789,'2018_commission_structure'!$A$11:$I$14,9,FALSE)</f>
        <v>600000</v>
      </c>
      <c r="J789" s="2">
        <f t="shared" si="108"/>
        <v>750000</v>
      </c>
      <c r="K789" s="2">
        <f t="shared" si="109"/>
        <v>900000</v>
      </c>
      <c r="L789" s="2">
        <f t="shared" si="110"/>
        <v>1200000</v>
      </c>
      <c r="M789" s="6">
        <f t="shared" si="111"/>
        <v>1.2972033333333333</v>
      </c>
      <c r="N789" t="str">
        <f t="shared" si="112"/>
        <v>125-150%</v>
      </c>
      <c r="O789" s="7">
        <f>MIN(I789,H789)*INDEX('2018_commission_structure'!$A$11:$I$14,MATCH(Calculations!$E789,'2018_commission_structure'!$A$11:$A$14,0),MATCH(Calculations!O$1,'2018_commission_structure'!$A$11:$I$11,0))</f>
        <v>78000</v>
      </c>
      <c r="P789" s="7">
        <f>IF($H789&gt;I789,MIN($H789-I789,J789-I789)*INDEX('2018_commission_structure'!$A$11:$I$14,MATCH(Calculations!$E789,'2018_commission_structure'!$A$11:$A$14,0), MATCH(Calculations!P$1,'2018_commission_structure'!$A$11:$I$11,0)),0)</f>
        <v>25500.000000000004</v>
      </c>
      <c r="Q789" s="7">
        <f>IF($H789&gt;J789,MIN($H789-J789,K789-J789)*INDEX('2018_commission_structure'!$A$11:$I$14,MATCH(Calculations!$E789,'2018_commission_structure'!$A$11:$A$14,0), MATCH(Calculations!Q$1,'2018_commission_structure'!$A$11:$I$11,0)),0)</f>
        <v>5947.62</v>
      </c>
      <c r="R789" s="7">
        <f>IF($H789&gt;K789,MIN($H789-K789,L789-K789)*INDEX('2018_commission_structure'!$A$11:$I$14,MATCH(Calculations!$E789,'2018_commission_structure'!$A$11:$A$14,0), MATCH(Calculations!R$1,'2018_commission_structure'!$A$11:$I$11,0)),0)</f>
        <v>0</v>
      </c>
      <c r="S789" s="7">
        <f>IF(H789&gt;L789,(H789-L789)*INDEX('2018_commission_structure'!$A$11:$I$14,MATCH(Calculations!$E789,'2018_commission_structure'!$A$11:$A$14,0),MATCH(Calculations!S$1,'2018_commission_structure'!$A$11:$I$11,0)),0)</f>
        <v>0</v>
      </c>
      <c r="T789" s="7">
        <f t="shared" si="113"/>
        <v>109447.62</v>
      </c>
      <c r="U789" s="7">
        <f t="shared" si="114"/>
        <v>166714.62</v>
      </c>
      <c r="V789" s="7">
        <f>MIN(H789,I789)*INDEX('2018_commission_structure'!$A$5:$J$8,MATCH(Calculations!$E789,'2018_commission_structure'!$A$5:$A$8,0),MATCH(Calculations!V$1,'2018_commission_structure'!$A$5:$J$5,0))</f>
        <v>90000</v>
      </c>
      <c r="W789" s="2">
        <f>IF($H789&gt;I789,MIN($H789-I789,J789-I789)*INDEX('2018_commission_structure'!$A$5:$J$8,MATCH(Calculations!$E789,'2018_commission_structure'!$A$5:$A$8,0),MATCH(Calculations!W$1,'2018_commission_structure'!$A$5:$J$5,0)),0)</f>
        <v>27000</v>
      </c>
      <c r="X789" s="2">
        <f>IF($H789&gt;J789,MIN($H789-J789,K789-J789)*INDEX('2018_commission_structure'!$A$5:$J$8,MATCH(Calculations!$E789,'2018_commission_structure'!$A$5:$A$8,0),MATCH(Calculations!X$1,'2018_commission_structure'!$A$5:$J$5,0)),0)</f>
        <v>7080.5</v>
      </c>
      <c r="Y789" s="2">
        <f>IF($H789&gt;K789,MIN($H789-K789,L789-K789)*INDEX('2018_commission_structure'!$A$5:$J$8,MATCH(Calculations!$E789,'2018_commission_structure'!$A$5:$A$8,0),MATCH(Calculations!Y$1,'2018_commission_structure'!$A$5:$J$5,0)),0)</f>
        <v>0</v>
      </c>
      <c r="Z789" s="2">
        <f xml:space="preserve"> IF(H789&gt;L789,(H789-L789)*INDEX('2018_commission_structure'!$A$11:$I$14,MATCH(Calculations!$E789,'2018_commission_structure'!$A$11:$A$14,0),MATCH(Calculations!Z$1,'2018_commission_structure'!$A$11:$I$11,0)),0)</f>
        <v>0</v>
      </c>
      <c r="AA789" s="7">
        <f t="shared" si="115"/>
        <v>124080.5</v>
      </c>
      <c r="AB789" s="7">
        <f t="shared" si="116"/>
        <v>181347.5</v>
      </c>
    </row>
    <row r="790" spans="1:28" x14ac:dyDescent="0.25">
      <c r="A790">
        <v>7007279686</v>
      </c>
      <c r="B790" t="s">
        <v>773</v>
      </c>
      <c r="C790" t="s">
        <v>774</v>
      </c>
      <c r="D790" t="str">
        <f>B790&amp;" "&amp;C790</f>
        <v>Wait Rosenbaum</v>
      </c>
      <c r="E790" t="s">
        <v>7</v>
      </c>
      <c r="F790">
        <v>48212</v>
      </c>
      <c r="G790">
        <f>COUNTIF(deals_closed!D:D,Calculations!A790)</f>
        <v>19</v>
      </c>
      <c r="H790" s="2">
        <f>SUMIF(deals_closed!D:D,Calculations!A790,deals_closed!C:C)</f>
        <v>696630</v>
      </c>
      <c r="I790" s="2">
        <f>VLOOKUP(E790,'2018_commission_structure'!$A$11:$I$14,9,FALSE)</f>
        <v>500000</v>
      </c>
      <c r="J790" s="2">
        <f t="shared" si="108"/>
        <v>625000</v>
      </c>
      <c r="K790" s="2">
        <f t="shared" si="109"/>
        <v>750000</v>
      </c>
      <c r="L790" s="2">
        <f t="shared" si="110"/>
        <v>1000000</v>
      </c>
      <c r="M790" s="6">
        <f t="shared" si="111"/>
        <v>1.3932599999999999</v>
      </c>
      <c r="N790" t="str">
        <f t="shared" si="112"/>
        <v>125-150%</v>
      </c>
      <c r="O790" s="7">
        <f>MIN(I790,H790)*INDEX('2018_commission_structure'!$A$11:$I$14,MATCH(Calculations!$E790,'2018_commission_structure'!$A$11:$A$14,0),MATCH(Calculations!O$1,'2018_commission_structure'!$A$11:$I$11,0))</f>
        <v>50000</v>
      </c>
      <c r="P790" s="7">
        <f>IF($H790&gt;I790,MIN($H790-I790,J790-I790)*INDEX('2018_commission_structure'!$A$11:$I$14,MATCH(Calculations!$E790,'2018_commission_structure'!$A$11:$A$14,0), MATCH(Calculations!P$1,'2018_commission_structure'!$A$11:$I$11,0)),0)</f>
        <v>18750</v>
      </c>
      <c r="Q790" s="7">
        <f>IF($H790&gt;J790,MIN($H790-J790,K790-J790)*INDEX('2018_commission_structure'!$A$11:$I$14,MATCH(Calculations!$E790,'2018_commission_structure'!$A$11:$A$14,0), MATCH(Calculations!Q$1,'2018_commission_structure'!$A$11:$I$11,0)),0)</f>
        <v>12893.4</v>
      </c>
      <c r="R790" s="7">
        <f>IF($H790&gt;K790,MIN($H790-K790,L790-K790)*INDEX('2018_commission_structure'!$A$11:$I$14,MATCH(Calculations!$E790,'2018_commission_structure'!$A$11:$A$14,0), MATCH(Calculations!R$1,'2018_commission_structure'!$A$11:$I$11,0)),0)</f>
        <v>0</v>
      </c>
      <c r="S790" s="7">
        <f>IF(H790&gt;L790,(H790-L790)*INDEX('2018_commission_structure'!$A$11:$I$14,MATCH(Calculations!$E790,'2018_commission_structure'!$A$11:$A$14,0),MATCH(Calculations!S$1,'2018_commission_structure'!$A$11:$I$11,0)),0)</f>
        <v>0</v>
      </c>
      <c r="T790" s="7">
        <f t="shared" si="113"/>
        <v>81643.399999999994</v>
      </c>
      <c r="U790" s="7">
        <f t="shared" si="114"/>
        <v>129855.4</v>
      </c>
      <c r="V790" s="7">
        <f>MIN(H790,I790)*INDEX('2018_commission_structure'!$A$5:$J$8,MATCH(Calculations!$E790,'2018_commission_structure'!$A$5:$A$8,0),MATCH(Calculations!V$1,'2018_commission_structure'!$A$5:$J$5,0))</f>
        <v>60000</v>
      </c>
      <c r="W790" s="2">
        <f>IF($H790&gt;I790,MIN($H790-I790,J790-I790)*INDEX('2018_commission_structure'!$A$5:$J$8,MATCH(Calculations!$E790,'2018_commission_structure'!$A$5:$A$8,0),MATCH(Calculations!W$1,'2018_commission_structure'!$A$5:$J$5,0)),0)</f>
        <v>21250</v>
      </c>
      <c r="X790" s="2">
        <f>IF($H790&gt;J790,MIN($H790-J790,K790-J790)*INDEX('2018_commission_structure'!$A$5:$J$8,MATCH(Calculations!$E790,'2018_commission_structure'!$A$5:$A$8,0),MATCH(Calculations!X$1,'2018_commission_structure'!$A$5:$J$5,0)),0)</f>
        <v>14326</v>
      </c>
      <c r="Y790" s="2">
        <f>IF($H790&gt;K790,MIN($H790-K790,L790-K790)*INDEX('2018_commission_structure'!$A$5:$J$8,MATCH(Calculations!$E790,'2018_commission_structure'!$A$5:$A$8,0),MATCH(Calculations!Y$1,'2018_commission_structure'!$A$5:$J$5,0)),0)</f>
        <v>0</v>
      </c>
      <c r="Z790" s="2">
        <f xml:space="preserve"> IF(H790&gt;L790,(H790-L790)*INDEX('2018_commission_structure'!$A$11:$I$14,MATCH(Calculations!$E790,'2018_commission_structure'!$A$11:$A$14,0),MATCH(Calculations!Z$1,'2018_commission_structure'!$A$11:$I$11,0)),0)</f>
        <v>0</v>
      </c>
      <c r="AA790" s="7">
        <f t="shared" si="115"/>
        <v>95576</v>
      </c>
      <c r="AB790" s="7">
        <f t="shared" si="116"/>
        <v>143788</v>
      </c>
    </row>
    <row r="791" spans="1:28" x14ac:dyDescent="0.25">
      <c r="A791">
        <v>7178607831</v>
      </c>
      <c r="B791" t="s">
        <v>21</v>
      </c>
      <c r="C791" t="s">
        <v>22</v>
      </c>
      <c r="D791" t="str">
        <f>B791&amp;" "&amp;C791</f>
        <v>Salomi Rosenhaus</v>
      </c>
      <c r="E791" t="s">
        <v>10</v>
      </c>
      <c r="F791">
        <v>93727</v>
      </c>
      <c r="G791">
        <f>COUNTIF(deals_closed!D:D,Calculations!A791)</f>
        <v>22</v>
      </c>
      <c r="H791" s="2">
        <f>SUMIF(deals_closed!D:D,Calculations!A791,deals_closed!C:C)</f>
        <v>777660</v>
      </c>
      <c r="I791" s="2">
        <f>VLOOKUP(E791,'2018_commission_structure'!$A$11:$I$14,9,FALSE)</f>
        <v>750000</v>
      </c>
      <c r="J791" s="2">
        <f t="shared" si="108"/>
        <v>937500</v>
      </c>
      <c r="K791" s="2">
        <f t="shared" si="109"/>
        <v>1125000</v>
      </c>
      <c r="L791" s="2">
        <f t="shared" si="110"/>
        <v>1500000</v>
      </c>
      <c r="M791" s="6">
        <f t="shared" si="111"/>
        <v>1.03688</v>
      </c>
      <c r="N791" t="str">
        <f t="shared" si="112"/>
        <v>100-125%</v>
      </c>
      <c r="O791" s="7">
        <f>MIN(I791,H791)*INDEX('2018_commission_structure'!$A$11:$I$14,MATCH(Calculations!$E791,'2018_commission_structure'!$A$11:$A$14,0),MATCH(Calculations!O$1,'2018_commission_structure'!$A$11:$I$11,0))</f>
        <v>112500</v>
      </c>
      <c r="P791" s="7">
        <f>IF($H791&gt;I791,MIN($H791-I791,J791-I791)*INDEX('2018_commission_structure'!$A$11:$I$14,MATCH(Calculations!$E791,'2018_commission_structure'!$A$11:$A$14,0), MATCH(Calculations!P$1,'2018_commission_structure'!$A$11:$I$11,0)),0)</f>
        <v>5255.4</v>
      </c>
      <c r="Q791" s="7">
        <f>IF($H791&gt;J791,MIN($H791-J791,K791-J791)*INDEX('2018_commission_structure'!$A$11:$I$14,MATCH(Calculations!$E791,'2018_commission_structure'!$A$11:$A$14,0), MATCH(Calculations!Q$1,'2018_commission_structure'!$A$11:$I$11,0)),0)</f>
        <v>0</v>
      </c>
      <c r="R791" s="7">
        <f>IF($H791&gt;K791,MIN($H791-K791,L791-K791)*INDEX('2018_commission_structure'!$A$11:$I$14,MATCH(Calculations!$E791,'2018_commission_structure'!$A$11:$A$14,0), MATCH(Calculations!R$1,'2018_commission_structure'!$A$11:$I$11,0)),0)</f>
        <v>0</v>
      </c>
      <c r="S791" s="7">
        <f>IF(H791&gt;L791,(H791-L791)*INDEX('2018_commission_structure'!$A$11:$I$14,MATCH(Calculations!$E791,'2018_commission_structure'!$A$11:$A$14,0),MATCH(Calculations!S$1,'2018_commission_structure'!$A$11:$I$11,0)),0)</f>
        <v>0</v>
      </c>
      <c r="T791" s="7">
        <f t="shared" si="113"/>
        <v>117755.4</v>
      </c>
      <c r="U791" s="7">
        <f t="shared" si="114"/>
        <v>211482.4</v>
      </c>
      <c r="V791" s="7">
        <f>MIN(H791,I791)*INDEX('2018_commission_structure'!$A$5:$J$8,MATCH(Calculations!$E791,'2018_commission_structure'!$A$5:$A$8,0),MATCH(Calculations!V$1,'2018_commission_structure'!$A$5:$J$5,0))</f>
        <v>112500</v>
      </c>
      <c r="W791" s="2">
        <f>IF($H791&gt;I791,MIN($H791-I791,J791-I791)*INDEX('2018_commission_structure'!$A$5:$J$8,MATCH(Calculations!$E791,'2018_commission_structure'!$A$5:$A$8,0),MATCH(Calculations!W$1,'2018_commission_structure'!$A$5:$J$5,0)),0)</f>
        <v>6085.2</v>
      </c>
      <c r="X791" s="2">
        <f>IF($H791&gt;J791,MIN($H791-J791,K791-J791)*INDEX('2018_commission_structure'!$A$5:$J$8,MATCH(Calculations!$E791,'2018_commission_structure'!$A$5:$A$8,0),MATCH(Calculations!X$1,'2018_commission_structure'!$A$5:$J$5,0)),0)</f>
        <v>0</v>
      </c>
      <c r="Y791" s="2">
        <f>IF($H791&gt;K791,MIN($H791-K791,L791-K791)*INDEX('2018_commission_structure'!$A$5:$J$8,MATCH(Calculations!$E791,'2018_commission_structure'!$A$5:$A$8,0),MATCH(Calculations!Y$1,'2018_commission_structure'!$A$5:$J$5,0)),0)</f>
        <v>0</v>
      </c>
      <c r="Z791" s="2">
        <f xml:space="preserve"> IF(H791&gt;L791,(H791-L791)*INDEX('2018_commission_structure'!$A$11:$I$14,MATCH(Calculations!$E791,'2018_commission_structure'!$A$11:$A$14,0),MATCH(Calculations!Z$1,'2018_commission_structure'!$A$11:$I$11,0)),0)</f>
        <v>0</v>
      </c>
      <c r="AA791" s="7">
        <f t="shared" si="115"/>
        <v>118585.2</v>
      </c>
      <c r="AB791" s="7">
        <f t="shared" si="116"/>
        <v>212312.2</v>
      </c>
    </row>
    <row r="792" spans="1:28" x14ac:dyDescent="0.25">
      <c r="A792">
        <v>4278470843</v>
      </c>
      <c r="B792" t="s">
        <v>1595</v>
      </c>
      <c r="C792" t="s">
        <v>1596</v>
      </c>
      <c r="D792" t="str">
        <f>B792&amp;" "&amp;C792</f>
        <v>Trey Rosenthal</v>
      </c>
      <c r="E792" t="s">
        <v>7</v>
      </c>
      <c r="F792">
        <v>61463</v>
      </c>
      <c r="G792">
        <f>COUNTIF(deals_closed!D:D,Calculations!A792)</f>
        <v>14</v>
      </c>
      <c r="H792" s="2">
        <f>SUMIF(deals_closed!D:D,Calculations!A792,deals_closed!C:C)</f>
        <v>413843</v>
      </c>
      <c r="I792" s="2">
        <f>VLOOKUP(E792,'2018_commission_structure'!$A$11:$I$14,9,FALSE)</f>
        <v>500000</v>
      </c>
      <c r="J792" s="2">
        <f t="shared" si="108"/>
        <v>625000</v>
      </c>
      <c r="K792" s="2">
        <f t="shared" si="109"/>
        <v>750000</v>
      </c>
      <c r="L792" s="2">
        <f t="shared" si="110"/>
        <v>1000000</v>
      </c>
      <c r="M792" s="6">
        <f t="shared" si="111"/>
        <v>0.82768600000000003</v>
      </c>
      <c r="N792" t="str">
        <f t="shared" si="112"/>
        <v>0-100%</v>
      </c>
      <c r="O792" s="7">
        <f>MIN(I792,H792)*INDEX('2018_commission_structure'!$A$11:$I$14,MATCH(Calculations!$E792,'2018_commission_structure'!$A$11:$A$14,0),MATCH(Calculations!O$1,'2018_commission_structure'!$A$11:$I$11,0))</f>
        <v>41384.300000000003</v>
      </c>
      <c r="P792" s="7">
        <f>IF($H792&gt;I792,MIN($H792-I792,J792-I792)*INDEX('2018_commission_structure'!$A$11:$I$14,MATCH(Calculations!$E792,'2018_commission_structure'!$A$11:$A$14,0), MATCH(Calculations!P$1,'2018_commission_structure'!$A$11:$I$11,0)),0)</f>
        <v>0</v>
      </c>
      <c r="Q792" s="7">
        <f>IF($H792&gt;J792,MIN($H792-J792,K792-J792)*INDEX('2018_commission_structure'!$A$11:$I$14,MATCH(Calculations!$E792,'2018_commission_structure'!$A$11:$A$14,0), MATCH(Calculations!Q$1,'2018_commission_structure'!$A$11:$I$11,0)),0)</f>
        <v>0</v>
      </c>
      <c r="R792" s="7">
        <f>IF($H792&gt;K792,MIN($H792-K792,L792-K792)*INDEX('2018_commission_structure'!$A$11:$I$14,MATCH(Calculations!$E792,'2018_commission_structure'!$A$11:$A$14,0), MATCH(Calculations!R$1,'2018_commission_structure'!$A$11:$I$11,0)),0)</f>
        <v>0</v>
      </c>
      <c r="S792" s="7">
        <f>IF(H792&gt;L792,(H792-L792)*INDEX('2018_commission_structure'!$A$11:$I$14,MATCH(Calculations!$E792,'2018_commission_structure'!$A$11:$A$14,0),MATCH(Calculations!S$1,'2018_commission_structure'!$A$11:$I$11,0)),0)</f>
        <v>0</v>
      </c>
      <c r="T792" s="7">
        <f t="shared" si="113"/>
        <v>41384.300000000003</v>
      </c>
      <c r="U792" s="7">
        <f t="shared" si="114"/>
        <v>102847.3</v>
      </c>
      <c r="V792" s="7">
        <f>MIN(H792,I792)*INDEX('2018_commission_structure'!$A$5:$J$8,MATCH(Calculations!$E792,'2018_commission_structure'!$A$5:$A$8,0),MATCH(Calculations!V$1,'2018_commission_structure'!$A$5:$J$5,0))</f>
        <v>49661.159999999996</v>
      </c>
      <c r="W792" s="2">
        <f>IF($H792&gt;I792,MIN($H792-I792,J792-I792)*INDEX('2018_commission_structure'!$A$5:$J$8,MATCH(Calculations!$E792,'2018_commission_structure'!$A$5:$A$8,0),MATCH(Calculations!W$1,'2018_commission_structure'!$A$5:$J$5,0)),0)</f>
        <v>0</v>
      </c>
      <c r="X792" s="2">
        <f>IF($H792&gt;J792,MIN($H792-J792,K792-J792)*INDEX('2018_commission_structure'!$A$5:$J$8,MATCH(Calculations!$E792,'2018_commission_structure'!$A$5:$A$8,0),MATCH(Calculations!X$1,'2018_commission_structure'!$A$5:$J$5,0)),0)</f>
        <v>0</v>
      </c>
      <c r="Y792" s="2">
        <f>IF($H792&gt;K792,MIN($H792-K792,L792-K792)*INDEX('2018_commission_structure'!$A$5:$J$8,MATCH(Calculations!$E792,'2018_commission_structure'!$A$5:$A$8,0),MATCH(Calculations!Y$1,'2018_commission_structure'!$A$5:$J$5,0)),0)</f>
        <v>0</v>
      </c>
      <c r="Z792" s="2">
        <f xml:space="preserve"> IF(H792&gt;L792,(H792-L792)*INDEX('2018_commission_structure'!$A$11:$I$14,MATCH(Calculations!$E792,'2018_commission_structure'!$A$11:$A$14,0),MATCH(Calculations!Z$1,'2018_commission_structure'!$A$11:$I$11,0)),0)</f>
        <v>0</v>
      </c>
      <c r="AA792" s="7">
        <f t="shared" si="115"/>
        <v>49661.159999999996</v>
      </c>
      <c r="AB792" s="7">
        <f t="shared" si="116"/>
        <v>111124.16</v>
      </c>
    </row>
    <row r="793" spans="1:28" x14ac:dyDescent="0.25">
      <c r="A793">
        <v>8908432159</v>
      </c>
      <c r="B793" t="s">
        <v>1381</v>
      </c>
      <c r="C793" t="s">
        <v>1382</v>
      </c>
      <c r="D793" t="str">
        <f>B793&amp;" "&amp;C793</f>
        <v>Consolata Rosier</v>
      </c>
      <c r="E793" t="s">
        <v>7</v>
      </c>
      <c r="F793">
        <v>57930</v>
      </c>
      <c r="G793">
        <f>COUNTIF(deals_closed!D:D,Calculations!A793)</f>
        <v>17</v>
      </c>
      <c r="H793" s="2">
        <f>SUMIF(deals_closed!D:D,Calculations!A793,deals_closed!C:C)</f>
        <v>721837</v>
      </c>
      <c r="I793" s="2">
        <f>VLOOKUP(E793,'2018_commission_structure'!$A$11:$I$14,9,FALSE)</f>
        <v>500000</v>
      </c>
      <c r="J793" s="2">
        <f t="shared" si="108"/>
        <v>625000</v>
      </c>
      <c r="K793" s="2">
        <f t="shared" si="109"/>
        <v>750000</v>
      </c>
      <c r="L793" s="2">
        <f t="shared" si="110"/>
        <v>1000000</v>
      </c>
      <c r="M793" s="6">
        <f t="shared" si="111"/>
        <v>1.4436739999999999</v>
      </c>
      <c r="N793" t="str">
        <f t="shared" si="112"/>
        <v>125-150%</v>
      </c>
      <c r="O793" s="7">
        <f>MIN(I793,H793)*INDEX('2018_commission_structure'!$A$11:$I$14,MATCH(Calculations!$E793,'2018_commission_structure'!$A$11:$A$14,0),MATCH(Calculations!O$1,'2018_commission_structure'!$A$11:$I$11,0))</f>
        <v>50000</v>
      </c>
      <c r="P793" s="7">
        <f>IF($H793&gt;I793,MIN($H793-I793,J793-I793)*INDEX('2018_commission_structure'!$A$11:$I$14,MATCH(Calculations!$E793,'2018_commission_structure'!$A$11:$A$14,0), MATCH(Calculations!P$1,'2018_commission_structure'!$A$11:$I$11,0)),0)</f>
        <v>18750</v>
      </c>
      <c r="Q793" s="7">
        <f>IF($H793&gt;J793,MIN($H793-J793,K793-J793)*INDEX('2018_commission_structure'!$A$11:$I$14,MATCH(Calculations!$E793,'2018_commission_structure'!$A$11:$A$14,0), MATCH(Calculations!Q$1,'2018_commission_structure'!$A$11:$I$11,0)),0)</f>
        <v>17430.66</v>
      </c>
      <c r="R793" s="7">
        <f>IF($H793&gt;K793,MIN($H793-K793,L793-K793)*INDEX('2018_commission_structure'!$A$11:$I$14,MATCH(Calculations!$E793,'2018_commission_structure'!$A$11:$A$14,0), MATCH(Calculations!R$1,'2018_commission_structure'!$A$11:$I$11,0)),0)</f>
        <v>0</v>
      </c>
      <c r="S793" s="7">
        <f>IF(H793&gt;L793,(H793-L793)*INDEX('2018_commission_structure'!$A$11:$I$14,MATCH(Calculations!$E793,'2018_commission_structure'!$A$11:$A$14,0),MATCH(Calculations!S$1,'2018_commission_structure'!$A$11:$I$11,0)),0)</f>
        <v>0</v>
      </c>
      <c r="T793" s="7">
        <f t="shared" si="113"/>
        <v>86180.66</v>
      </c>
      <c r="U793" s="7">
        <f t="shared" si="114"/>
        <v>144110.66</v>
      </c>
      <c r="V793" s="7">
        <f>MIN(H793,I793)*INDEX('2018_commission_structure'!$A$5:$J$8,MATCH(Calculations!$E793,'2018_commission_structure'!$A$5:$A$8,0),MATCH(Calculations!V$1,'2018_commission_structure'!$A$5:$J$5,0))</f>
        <v>60000</v>
      </c>
      <c r="W793" s="2">
        <f>IF($H793&gt;I793,MIN($H793-I793,J793-I793)*INDEX('2018_commission_structure'!$A$5:$J$8,MATCH(Calculations!$E793,'2018_commission_structure'!$A$5:$A$8,0),MATCH(Calculations!W$1,'2018_commission_structure'!$A$5:$J$5,0)),0)</f>
        <v>21250</v>
      </c>
      <c r="X793" s="2">
        <f>IF($H793&gt;J793,MIN($H793-J793,K793-J793)*INDEX('2018_commission_structure'!$A$5:$J$8,MATCH(Calculations!$E793,'2018_commission_structure'!$A$5:$A$8,0),MATCH(Calculations!X$1,'2018_commission_structure'!$A$5:$J$5,0)),0)</f>
        <v>19367.400000000001</v>
      </c>
      <c r="Y793" s="2">
        <f>IF($H793&gt;K793,MIN($H793-K793,L793-K793)*INDEX('2018_commission_structure'!$A$5:$J$8,MATCH(Calculations!$E793,'2018_commission_structure'!$A$5:$A$8,0),MATCH(Calculations!Y$1,'2018_commission_structure'!$A$5:$J$5,0)),0)</f>
        <v>0</v>
      </c>
      <c r="Z793" s="2">
        <f xml:space="preserve"> IF(H793&gt;L793,(H793-L793)*INDEX('2018_commission_structure'!$A$11:$I$14,MATCH(Calculations!$E793,'2018_commission_structure'!$A$11:$A$14,0),MATCH(Calculations!Z$1,'2018_commission_structure'!$A$11:$I$11,0)),0)</f>
        <v>0</v>
      </c>
      <c r="AA793" s="7">
        <f t="shared" si="115"/>
        <v>100617.4</v>
      </c>
      <c r="AB793" s="7">
        <f t="shared" si="116"/>
        <v>158547.4</v>
      </c>
    </row>
    <row r="794" spans="1:28" x14ac:dyDescent="0.25">
      <c r="A794">
        <v>2561690342</v>
      </c>
      <c r="B794" t="s">
        <v>1120</v>
      </c>
      <c r="C794" t="s">
        <v>1121</v>
      </c>
      <c r="D794" t="str">
        <f>B794&amp;" "&amp;C794</f>
        <v>Krisha Rotherham</v>
      </c>
      <c r="E794" t="s">
        <v>10</v>
      </c>
      <c r="F794">
        <v>121022</v>
      </c>
      <c r="G794">
        <f>COUNTIF(deals_closed!D:D,Calculations!A794)</f>
        <v>25</v>
      </c>
      <c r="H794" s="2">
        <f>SUMIF(deals_closed!D:D,Calculations!A794,deals_closed!C:C)</f>
        <v>858349</v>
      </c>
      <c r="I794" s="2">
        <f>VLOOKUP(E794,'2018_commission_structure'!$A$11:$I$14,9,FALSE)</f>
        <v>750000</v>
      </c>
      <c r="J794" s="2">
        <f t="shared" si="108"/>
        <v>937500</v>
      </c>
      <c r="K794" s="2">
        <f t="shared" si="109"/>
        <v>1125000</v>
      </c>
      <c r="L794" s="2">
        <f t="shared" si="110"/>
        <v>1500000</v>
      </c>
      <c r="M794" s="6">
        <f t="shared" si="111"/>
        <v>1.1444653333333332</v>
      </c>
      <c r="N794" t="str">
        <f t="shared" si="112"/>
        <v>100-125%</v>
      </c>
      <c r="O794" s="7">
        <f>MIN(I794,H794)*INDEX('2018_commission_structure'!$A$11:$I$14,MATCH(Calculations!$E794,'2018_commission_structure'!$A$11:$A$14,0),MATCH(Calculations!O$1,'2018_commission_structure'!$A$11:$I$11,0))</f>
        <v>112500</v>
      </c>
      <c r="P794" s="7">
        <f>IF($H794&gt;I794,MIN($H794-I794,J794-I794)*INDEX('2018_commission_structure'!$A$11:$I$14,MATCH(Calculations!$E794,'2018_commission_structure'!$A$11:$A$14,0), MATCH(Calculations!P$1,'2018_commission_structure'!$A$11:$I$11,0)),0)</f>
        <v>20586.310000000001</v>
      </c>
      <c r="Q794" s="7">
        <f>IF($H794&gt;J794,MIN($H794-J794,K794-J794)*INDEX('2018_commission_structure'!$A$11:$I$14,MATCH(Calculations!$E794,'2018_commission_structure'!$A$11:$A$14,0), MATCH(Calculations!Q$1,'2018_commission_structure'!$A$11:$I$11,0)),0)</f>
        <v>0</v>
      </c>
      <c r="R794" s="7">
        <f>IF($H794&gt;K794,MIN($H794-K794,L794-K794)*INDEX('2018_commission_structure'!$A$11:$I$14,MATCH(Calculations!$E794,'2018_commission_structure'!$A$11:$A$14,0), MATCH(Calculations!R$1,'2018_commission_structure'!$A$11:$I$11,0)),0)</f>
        <v>0</v>
      </c>
      <c r="S794" s="7">
        <f>IF(H794&gt;L794,(H794-L794)*INDEX('2018_commission_structure'!$A$11:$I$14,MATCH(Calculations!$E794,'2018_commission_structure'!$A$11:$A$14,0),MATCH(Calculations!S$1,'2018_commission_structure'!$A$11:$I$11,0)),0)</f>
        <v>0</v>
      </c>
      <c r="T794" s="7">
        <f t="shared" si="113"/>
        <v>133086.31</v>
      </c>
      <c r="U794" s="7">
        <f t="shared" si="114"/>
        <v>254108.31</v>
      </c>
      <c r="V794" s="7">
        <f>MIN(H794,I794)*INDEX('2018_commission_structure'!$A$5:$J$8,MATCH(Calculations!$E794,'2018_commission_structure'!$A$5:$A$8,0),MATCH(Calculations!V$1,'2018_commission_structure'!$A$5:$J$5,0))</f>
        <v>112500</v>
      </c>
      <c r="W794" s="2">
        <f>IF($H794&gt;I794,MIN($H794-I794,J794-I794)*INDEX('2018_commission_structure'!$A$5:$J$8,MATCH(Calculations!$E794,'2018_commission_structure'!$A$5:$A$8,0),MATCH(Calculations!W$1,'2018_commission_structure'!$A$5:$J$5,0)),0)</f>
        <v>23836.78</v>
      </c>
      <c r="X794" s="2">
        <f>IF($H794&gt;J794,MIN($H794-J794,K794-J794)*INDEX('2018_commission_structure'!$A$5:$J$8,MATCH(Calculations!$E794,'2018_commission_structure'!$A$5:$A$8,0),MATCH(Calculations!X$1,'2018_commission_structure'!$A$5:$J$5,0)),0)</f>
        <v>0</v>
      </c>
      <c r="Y794" s="2">
        <f>IF($H794&gt;K794,MIN($H794-K794,L794-K794)*INDEX('2018_commission_structure'!$A$5:$J$8,MATCH(Calculations!$E794,'2018_commission_structure'!$A$5:$A$8,0),MATCH(Calculations!Y$1,'2018_commission_structure'!$A$5:$J$5,0)),0)</f>
        <v>0</v>
      </c>
      <c r="Z794" s="2">
        <f xml:space="preserve"> IF(H794&gt;L794,(H794-L794)*INDEX('2018_commission_structure'!$A$11:$I$14,MATCH(Calculations!$E794,'2018_commission_structure'!$A$11:$A$14,0),MATCH(Calculations!Z$1,'2018_commission_structure'!$A$11:$I$11,0)),0)</f>
        <v>0</v>
      </c>
      <c r="AA794" s="7">
        <f t="shared" si="115"/>
        <v>136336.78</v>
      </c>
      <c r="AB794" s="7">
        <f t="shared" si="116"/>
        <v>257358.78</v>
      </c>
    </row>
    <row r="795" spans="1:28" x14ac:dyDescent="0.25">
      <c r="A795">
        <v>2259282237</v>
      </c>
      <c r="B795" t="s">
        <v>44</v>
      </c>
      <c r="C795" t="s">
        <v>45</v>
      </c>
      <c r="D795" t="str">
        <f>B795&amp;" "&amp;C795</f>
        <v>Rodrigo Rourke</v>
      </c>
      <c r="E795" t="s">
        <v>7</v>
      </c>
      <c r="F795">
        <v>54632</v>
      </c>
      <c r="G795">
        <f>COUNTIF(deals_closed!D:D,Calculations!A795)</f>
        <v>28</v>
      </c>
      <c r="H795" s="2">
        <f>SUMIF(deals_closed!D:D,Calculations!A795,deals_closed!C:C)</f>
        <v>941481</v>
      </c>
      <c r="I795" s="2">
        <f>VLOOKUP(E795,'2018_commission_structure'!$A$11:$I$14,9,FALSE)</f>
        <v>500000</v>
      </c>
      <c r="J795" s="2">
        <f t="shared" si="108"/>
        <v>625000</v>
      </c>
      <c r="K795" s="2">
        <f t="shared" si="109"/>
        <v>750000</v>
      </c>
      <c r="L795" s="2">
        <f t="shared" si="110"/>
        <v>1000000</v>
      </c>
      <c r="M795" s="6">
        <f t="shared" si="111"/>
        <v>1.882962</v>
      </c>
      <c r="N795" t="str">
        <f t="shared" si="112"/>
        <v>150-200%</v>
      </c>
      <c r="O795" s="7">
        <f>MIN(I795,H795)*INDEX('2018_commission_structure'!$A$11:$I$14,MATCH(Calculations!$E795,'2018_commission_structure'!$A$11:$A$14,0),MATCH(Calculations!O$1,'2018_commission_structure'!$A$11:$I$11,0))</f>
        <v>50000</v>
      </c>
      <c r="P795" s="7">
        <f>IF($H795&gt;I795,MIN($H795-I795,J795-I795)*INDEX('2018_commission_structure'!$A$11:$I$14,MATCH(Calculations!$E795,'2018_commission_structure'!$A$11:$A$14,0), MATCH(Calculations!P$1,'2018_commission_structure'!$A$11:$I$11,0)),0)</f>
        <v>18750</v>
      </c>
      <c r="Q795" s="7">
        <f>IF($H795&gt;J795,MIN($H795-J795,K795-J795)*INDEX('2018_commission_structure'!$A$11:$I$14,MATCH(Calculations!$E795,'2018_commission_structure'!$A$11:$A$14,0), MATCH(Calculations!Q$1,'2018_commission_structure'!$A$11:$I$11,0)),0)</f>
        <v>22500</v>
      </c>
      <c r="R795" s="7">
        <f>IF($H795&gt;K795,MIN($H795-K795,L795-K795)*INDEX('2018_commission_structure'!$A$11:$I$14,MATCH(Calculations!$E795,'2018_commission_structure'!$A$11:$A$14,0), MATCH(Calculations!R$1,'2018_commission_structure'!$A$11:$I$11,0)),0)</f>
        <v>42125.82</v>
      </c>
      <c r="S795" s="7">
        <f>IF(H795&gt;L795,(H795-L795)*INDEX('2018_commission_structure'!$A$11:$I$14,MATCH(Calculations!$E795,'2018_commission_structure'!$A$11:$A$14,0),MATCH(Calculations!S$1,'2018_commission_structure'!$A$11:$I$11,0)),0)</f>
        <v>0</v>
      </c>
      <c r="T795" s="7">
        <f t="shared" si="113"/>
        <v>133375.82</v>
      </c>
      <c r="U795" s="7">
        <f t="shared" si="114"/>
        <v>188007.82</v>
      </c>
      <c r="V795" s="7">
        <f>MIN(H795,I795)*INDEX('2018_commission_structure'!$A$5:$J$8,MATCH(Calculations!$E795,'2018_commission_structure'!$A$5:$A$8,0),MATCH(Calculations!V$1,'2018_commission_structure'!$A$5:$J$5,0))</f>
        <v>60000</v>
      </c>
      <c r="W795" s="2">
        <f>IF($H795&gt;I795,MIN($H795-I795,J795-I795)*INDEX('2018_commission_structure'!$A$5:$J$8,MATCH(Calculations!$E795,'2018_commission_structure'!$A$5:$A$8,0),MATCH(Calculations!W$1,'2018_commission_structure'!$A$5:$J$5,0)),0)</f>
        <v>21250</v>
      </c>
      <c r="X795" s="2">
        <f>IF($H795&gt;J795,MIN($H795-J795,K795-J795)*INDEX('2018_commission_structure'!$A$5:$J$8,MATCH(Calculations!$E795,'2018_commission_structure'!$A$5:$A$8,0),MATCH(Calculations!X$1,'2018_commission_structure'!$A$5:$J$5,0)),0)</f>
        <v>25000</v>
      </c>
      <c r="Y795" s="2">
        <f>IF($H795&gt;K795,MIN($H795-K795,L795-K795)*INDEX('2018_commission_structure'!$A$5:$J$8,MATCH(Calculations!$E795,'2018_commission_structure'!$A$5:$A$8,0),MATCH(Calculations!Y$1,'2018_commission_structure'!$A$5:$J$5,0)),0)</f>
        <v>42125.82</v>
      </c>
      <c r="Z795" s="2">
        <f xml:space="preserve"> IF(H795&gt;L795,(H795-L795)*INDEX('2018_commission_structure'!$A$11:$I$14,MATCH(Calculations!$E795,'2018_commission_structure'!$A$11:$A$14,0),MATCH(Calculations!Z$1,'2018_commission_structure'!$A$11:$I$11,0)),0)</f>
        <v>0</v>
      </c>
      <c r="AA795" s="7">
        <f t="shared" si="115"/>
        <v>148375.82</v>
      </c>
      <c r="AB795" s="7">
        <f t="shared" si="116"/>
        <v>203007.82</v>
      </c>
    </row>
    <row r="796" spans="1:28" x14ac:dyDescent="0.25">
      <c r="A796">
        <v>8322342209</v>
      </c>
      <c r="B796" t="s">
        <v>179</v>
      </c>
      <c r="C796" t="s">
        <v>180</v>
      </c>
      <c r="D796" t="str">
        <f>B796&amp;" "&amp;C796</f>
        <v>Giordano Rubie</v>
      </c>
      <c r="E796" t="s">
        <v>7</v>
      </c>
      <c r="F796">
        <v>42322</v>
      </c>
      <c r="G796">
        <f>COUNTIF(deals_closed!D:D,Calculations!A796)</f>
        <v>21</v>
      </c>
      <c r="H796" s="2">
        <f>SUMIF(deals_closed!D:D,Calculations!A796,deals_closed!C:C)</f>
        <v>807637</v>
      </c>
      <c r="I796" s="2">
        <f>VLOOKUP(E796,'2018_commission_structure'!$A$11:$I$14,9,FALSE)</f>
        <v>500000</v>
      </c>
      <c r="J796" s="2">
        <f t="shared" si="108"/>
        <v>625000</v>
      </c>
      <c r="K796" s="2">
        <f t="shared" si="109"/>
        <v>750000</v>
      </c>
      <c r="L796" s="2">
        <f t="shared" si="110"/>
        <v>1000000</v>
      </c>
      <c r="M796" s="6">
        <f t="shared" si="111"/>
        <v>1.6152740000000001</v>
      </c>
      <c r="N796" t="str">
        <f t="shared" si="112"/>
        <v>150-200%</v>
      </c>
      <c r="O796" s="7">
        <f>MIN(I796,H796)*INDEX('2018_commission_structure'!$A$11:$I$14,MATCH(Calculations!$E796,'2018_commission_structure'!$A$11:$A$14,0),MATCH(Calculations!O$1,'2018_commission_structure'!$A$11:$I$11,0))</f>
        <v>50000</v>
      </c>
      <c r="P796" s="7">
        <f>IF($H796&gt;I796,MIN($H796-I796,J796-I796)*INDEX('2018_commission_structure'!$A$11:$I$14,MATCH(Calculations!$E796,'2018_commission_structure'!$A$11:$A$14,0), MATCH(Calculations!P$1,'2018_commission_structure'!$A$11:$I$11,0)),0)</f>
        <v>18750</v>
      </c>
      <c r="Q796" s="7">
        <f>IF($H796&gt;J796,MIN($H796-J796,K796-J796)*INDEX('2018_commission_structure'!$A$11:$I$14,MATCH(Calculations!$E796,'2018_commission_structure'!$A$11:$A$14,0), MATCH(Calculations!Q$1,'2018_commission_structure'!$A$11:$I$11,0)),0)</f>
        <v>22500</v>
      </c>
      <c r="R796" s="7">
        <f>IF($H796&gt;K796,MIN($H796-K796,L796-K796)*INDEX('2018_commission_structure'!$A$11:$I$14,MATCH(Calculations!$E796,'2018_commission_structure'!$A$11:$A$14,0), MATCH(Calculations!R$1,'2018_commission_structure'!$A$11:$I$11,0)),0)</f>
        <v>12680.14</v>
      </c>
      <c r="S796" s="7">
        <f>IF(H796&gt;L796,(H796-L796)*INDEX('2018_commission_structure'!$A$11:$I$14,MATCH(Calculations!$E796,'2018_commission_structure'!$A$11:$A$14,0),MATCH(Calculations!S$1,'2018_commission_structure'!$A$11:$I$11,0)),0)</f>
        <v>0</v>
      </c>
      <c r="T796" s="7">
        <f t="shared" si="113"/>
        <v>103930.14</v>
      </c>
      <c r="U796" s="7">
        <f t="shared" si="114"/>
        <v>146252.14000000001</v>
      </c>
      <c r="V796" s="7">
        <f>MIN(H796,I796)*INDEX('2018_commission_structure'!$A$5:$J$8,MATCH(Calculations!$E796,'2018_commission_structure'!$A$5:$A$8,0),MATCH(Calculations!V$1,'2018_commission_structure'!$A$5:$J$5,0))</f>
        <v>60000</v>
      </c>
      <c r="W796" s="2">
        <f>IF($H796&gt;I796,MIN($H796-I796,J796-I796)*INDEX('2018_commission_structure'!$A$5:$J$8,MATCH(Calculations!$E796,'2018_commission_structure'!$A$5:$A$8,0),MATCH(Calculations!W$1,'2018_commission_structure'!$A$5:$J$5,0)),0)</f>
        <v>21250</v>
      </c>
      <c r="X796" s="2">
        <f>IF($H796&gt;J796,MIN($H796-J796,K796-J796)*INDEX('2018_commission_structure'!$A$5:$J$8,MATCH(Calculations!$E796,'2018_commission_structure'!$A$5:$A$8,0),MATCH(Calculations!X$1,'2018_commission_structure'!$A$5:$J$5,0)),0)</f>
        <v>25000</v>
      </c>
      <c r="Y796" s="2">
        <f>IF($H796&gt;K796,MIN($H796-K796,L796-K796)*INDEX('2018_commission_structure'!$A$5:$J$8,MATCH(Calculations!$E796,'2018_commission_structure'!$A$5:$A$8,0),MATCH(Calculations!Y$1,'2018_commission_structure'!$A$5:$J$5,0)),0)</f>
        <v>12680.14</v>
      </c>
      <c r="Z796" s="2">
        <f xml:space="preserve"> IF(H796&gt;L796,(H796-L796)*INDEX('2018_commission_structure'!$A$11:$I$14,MATCH(Calculations!$E796,'2018_commission_structure'!$A$11:$A$14,0),MATCH(Calculations!Z$1,'2018_commission_structure'!$A$11:$I$11,0)),0)</f>
        <v>0</v>
      </c>
      <c r="AA796" s="7">
        <f t="shared" si="115"/>
        <v>118930.14</v>
      </c>
      <c r="AB796" s="7">
        <f t="shared" si="116"/>
        <v>161252.14000000001</v>
      </c>
    </row>
    <row r="797" spans="1:28" x14ac:dyDescent="0.25">
      <c r="A797">
        <v>6462250968</v>
      </c>
      <c r="B797" t="s">
        <v>527</v>
      </c>
      <c r="C797" t="s">
        <v>528</v>
      </c>
      <c r="D797" t="str">
        <f>B797&amp;" "&amp;C797</f>
        <v>Jayson Rugg</v>
      </c>
      <c r="E797" t="s">
        <v>29</v>
      </c>
      <c r="F797">
        <v>73996</v>
      </c>
      <c r="G797">
        <f>COUNTIF(deals_closed!D:D,Calculations!A797)</f>
        <v>17</v>
      </c>
      <c r="H797" s="2">
        <f>SUMIF(deals_closed!D:D,Calculations!A797,deals_closed!C:C)</f>
        <v>573111</v>
      </c>
      <c r="I797" s="2">
        <f>VLOOKUP(E797,'2018_commission_structure'!$A$11:$I$14,9,FALSE)</f>
        <v>600000</v>
      </c>
      <c r="J797" s="2">
        <f t="shared" si="108"/>
        <v>750000</v>
      </c>
      <c r="K797" s="2">
        <f t="shared" si="109"/>
        <v>900000</v>
      </c>
      <c r="L797" s="2">
        <f t="shared" si="110"/>
        <v>1200000</v>
      </c>
      <c r="M797" s="6">
        <f t="shared" si="111"/>
        <v>0.95518499999999995</v>
      </c>
      <c r="N797" t="str">
        <f t="shared" si="112"/>
        <v>0-100%</v>
      </c>
      <c r="O797" s="7">
        <f>MIN(I797,H797)*INDEX('2018_commission_structure'!$A$11:$I$14,MATCH(Calculations!$E797,'2018_commission_structure'!$A$11:$A$14,0),MATCH(Calculations!O$1,'2018_commission_structure'!$A$11:$I$11,0))</f>
        <v>74504.430000000008</v>
      </c>
      <c r="P797" s="7">
        <f>IF($H797&gt;I797,MIN($H797-I797,J797-I797)*INDEX('2018_commission_structure'!$A$11:$I$14,MATCH(Calculations!$E797,'2018_commission_structure'!$A$11:$A$14,0), MATCH(Calculations!P$1,'2018_commission_structure'!$A$11:$I$11,0)),0)</f>
        <v>0</v>
      </c>
      <c r="Q797" s="7">
        <f>IF($H797&gt;J797,MIN($H797-J797,K797-J797)*INDEX('2018_commission_structure'!$A$11:$I$14,MATCH(Calculations!$E797,'2018_commission_structure'!$A$11:$A$14,0), MATCH(Calculations!Q$1,'2018_commission_structure'!$A$11:$I$11,0)),0)</f>
        <v>0</v>
      </c>
      <c r="R797" s="7">
        <f>IF($H797&gt;K797,MIN($H797-K797,L797-K797)*INDEX('2018_commission_structure'!$A$11:$I$14,MATCH(Calculations!$E797,'2018_commission_structure'!$A$11:$A$14,0), MATCH(Calculations!R$1,'2018_commission_structure'!$A$11:$I$11,0)),0)</f>
        <v>0</v>
      </c>
      <c r="S797" s="7">
        <f>IF(H797&gt;L797,(H797-L797)*INDEX('2018_commission_structure'!$A$11:$I$14,MATCH(Calculations!$E797,'2018_commission_structure'!$A$11:$A$14,0),MATCH(Calculations!S$1,'2018_commission_structure'!$A$11:$I$11,0)),0)</f>
        <v>0</v>
      </c>
      <c r="T797" s="7">
        <f t="shared" si="113"/>
        <v>74504.430000000008</v>
      </c>
      <c r="U797" s="7">
        <f t="shared" si="114"/>
        <v>148500.43</v>
      </c>
      <c r="V797" s="7">
        <f>MIN(H797,I797)*INDEX('2018_commission_structure'!$A$5:$J$8,MATCH(Calculations!$E797,'2018_commission_structure'!$A$5:$A$8,0),MATCH(Calculations!V$1,'2018_commission_structure'!$A$5:$J$5,0))</f>
        <v>85966.65</v>
      </c>
      <c r="W797" s="2">
        <f>IF($H797&gt;I797,MIN($H797-I797,J797-I797)*INDEX('2018_commission_structure'!$A$5:$J$8,MATCH(Calculations!$E797,'2018_commission_structure'!$A$5:$A$8,0),MATCH(Calculations!W$1,'2018_commission_structure'!$A$5:$J$5,0)),0)</f>
        <v>0</v>
      </c>
      <c r="X797" s="2">
        <f>IF($H797&gt;J797,MIN($H797-J797,K797-J797)*INDEX('2018_commission_structure'!$A$5:$J$8,MATCH(Calculations!$E797,'2018_commission_structure'!$A$5:$A$8,0),MATCH(Calculations!X$1,'2018_commission_structure'!$A$5:$J$5,0)),0)</f>
        <v>0</v>
      </c>
      <c r="Y797" s="2">
        <f>IF($H797&gt;K797,MIN($H797-K797,L797-K797)*INDEX('2018_commission_structure'!$A$5:$J$8,MATCH(Calculations!$E797,'2018_commission_structure'!$A$5:$A$8,0),MATCH(Calculations!Y$1,'2018_commission_structure'!$A$5:$J$5,0)),0)</f>
        <v>0</v>
      </c>
      <c r="Z797" s="2">
        <f xml:space="preserve"> IF(H797&gt;L797,(H797-L797)*INDEX('2018_commission_structure'!$A$11:$I$14,MATCH(Calculations!$E797,'2018_commission_structure'!$A$11:$A$14,0),MATCH(Calculations!Z$1,'2018_commission_structure'!$A$11:$I$11,0)),0)</f>
        <v>0</v>
      </c>
      <c r="AA797" s="7">
        <f t="shared" si="115"/>
        <v>85966.65</v>
      </c>
      <c r="AB797" s="7">
        <f t="shared" si="116"/>
        <v>159962.65</v>
      </c>
    </row>
    <row r="798" spans="1:28" x14ac:dyDescent="0.25">
      <c r="A798">
        <v>140020098</v>
      </c>
      <c r="B798" t="s">
        <v>1898</v>
      </c>
      <c r="C798" t="s">
        <v>1899</v>
      </c>
      <c r="D798" t="str">
        <f>B798&amp;" "&amp;C798</f>
        <v>Artair Runcie</v>
      </c>
      <c r="E798" t="s">
        <v>10</v>
      </c>
      <c r="F798">
        <v>114711</v>
      </c>
      <c r="G798">
        <f>COUNTIF(deals_closed!D:D,Calculations!A798)</f>
        <v>22</v>
      </c>
      <c r="H798" s="2">
        <f>SUMIF(deals_closed!D:D,Calculations!A798,deals_closed!C:C)</f>
        <v>828299</v>
      </c>
      <c r="I798" s="2">
        <f>VLOOKUP(E798,'2018_commission_structure'!$A$11:$I$14,9,FALSE)</f>
        <v>750000</v>
      </c>
      <c r="J798" s="2">
        <f t="shared" si="108"/>
        <v>937500</v>
      </c>
      <c r="K798" s="2">
        <f t="shared" si="109"/>
        <v>1125000</v>
      </c>
      <c r="L798" s="2">
        <f t="shared" si="110"/>
        <v>1500000</v>
      </c>
      <c r="M798" s="6">
        <f t="shared" si="111"/>
        <v>1.1043986666666668</v>
      </c>
      <c r="N798" t="str">
        <f t="shared" si="112"/>
        <v>100-125%</v>
      </c>
      <c r="O798" s="7">
        <f>MIN(I798,H798)*INDEX('2018_commission_structure'!$A$11:$I$14,MATCH(Calculations!$E798,'2018_commission_structure'!$A$11:$A$14,0),MATCH(Calculations!O$1,'2018_commission_structure'!$A$11:$I$11,0))</f>
        <v>112500</v>
      </c>
      <c r="P798" s="7">
        <f>IF($H798&gt;I798,MIN($H798-I798,J798-I798)*INDEX('2018_commission_structure'!$A$11:$I$14,MATCH(Calculations!$E798,'2018_commission_structure'!$A$11:$A$14,0), MATCH(Calculations!P$1,'2018_commission_structure'!$A$11:$I$11,0)),0)</f>
        <v>14876.81</v>
      </c>
      <c r="Q798" s="7">
        <f>IF($H798&gt;J798,MIN($H798-J798,K798-J798)*INDEX('2018_commission_structure'!$A$11:$I$14,MATCH(Calculations!$E798,'2018_commission_structure'!$A$11:$A$14,0), MATCH(Calculations!Q$1,'2018_commission_structure'!$A$11:$I$11,0)),0)</f>
        <v>0</v>
      </c>
      <c r="R798" s="7">
        <f>IF($H798&gt;K798,MIN($H798-K798,L798-K798)*INDEX('2018_commission_structure'!$A$11:$I$14,MATCH(Calculations!$E798,'2018_commission_structure'!$A$11:$A$14,0), MATCH(Calculations!R$1,'2018_commission_structure'!$A$11:$I$11,0)),0)</f>
        <v>0</v>
      </c>
      <c r="S798" s="7">
        <f>IF(H798&gt;L798,(H798-L798)*INDEX('2018_commission_structure'!$A$11:$I$14,MATCH(Calculations!$E798,'2018_commission_structure'!$A$11:$A$14,0),MATCH(Calculations!S$1,'2018_commission_structure'!$A$11:$I$11,0)),0)</f>
        <v>0</v>
      </c>
      <c r="T798" s="7">
        <f t="shared" si="113"/>
        <v>127376.81</v>
      </c>
      <c r="U798" s="7">
        <f t="shared" si="114"/>
        <v>242087.81</v>
      </c>
      <c r="V798" s="7">
        <f>MIN(H798,I798)*INDEX('2018_commission_structure'!$A$5:$J$8,MATCH(Calculations!$E798,'2018_commission_structure'!$A$5:$A$8,0),MATCH(Calculations!V$1,'2018_commission_structure'!$A$5:$J$5,0))</f>
        <v>112500</v>
      </c>
      <c r="W798" s="2">
        <f>IF($H798&gt;I798,MIN($H798-I798,J798-I798)*INDEX('2018_commission_structure'!$A$5:$J$8,MATCH(Calculations!$E798,'2018_commission_structure'!$A$5:$A$8,0),MATCH(Calculations!W$1,'2018_commission_structure'!$A$5:$J$5,0)),0)</f>
        <v>17225.78</v>
      </c>
      <c r="X798" s="2">
        <f>IF($H798&gt;J798,MIN($H798-J798,K798-J798)*INDEX('2018_commission_structure'!$A$5:$J$8,MATCH(Calculations!$E798,'2018_commission_structure'!$A$5:$A$8,0),MATCH(Calculations!X$1,'2018_commission_structure'!$A$5:$J$5,0)),0)</f>
        <v>0</v>
      </c>
      <c r="Y798" s="2">
        <f>IF($H798&gt;K798,MIN($H798-K798,L798-K798)*INDEX('2018_commission_structure'!$A$5:$J$8,MATCH(Calculations!$E798,'2018_commission_structure'!$A$5:$A$8,0),MATCH(Calculations!Y$1,'2018_commission_structure'!$A$5:$J$5,0)),0)</f>
        <v>0</v>
      </c>
      <c r="Z798" s="2">
        <f xml:space="preserve"> IF(H798&gt;L798,(H798-L798)*INDEX('2018_commission_structure'!$A$11:$I$14,MATCH(Calculations!$E798,'2018_commission_structure'!$A$11:$A$14,0),MATCH(Calculations!Z$1,'2018_commission_structure'!$A$11:$I$11,0)),0)</f>
        <v>0</v>
      </c>
      <c r="AA798" s="7">
        <f t="shared" si="115"/>
        <v>129725.78</v>
      </c>
      <c r="AB798" s="7">
        <f t="shared" si="116"/>
        <v>244436.78</v>
      </c>
    </row>
    <row r="799" spans="1:28" x14ac:dyDescent="0.25">
      <c r="A799">
        <v>1231429186</v>
      </c>
      <c r="B799" t="s">
        <v>1246</v>
      </c>
      <c r="C799" t="s">
        <v>1288</v>
      </c>
      <c r="D799" t="str">
        <f>B799&amp;" "&amp;C799</f>
        <v>Nikolos Ruppeli</v>
      </c>
      <c r="E799" t="s">
        <v>7</v>
      </c>
      <c r="F799">
        <v>38588</v>
      </c>
      <c r="G799">
        <f>COUNTIF(deals_closed!D:D,Calculations!A799)</f>
        <v>25</v>
      </c>
      <c r="H799" s="2">
        <f>SUMIF(deals_closed!D:D,Calculations!A799,deals_closed!C:C)</f>
        <v>805047</v>
      </c>
      <c r="I799" s="2">
        <f>VLOOKUP(E799,'2018_commission_structure'!$A$11:$I$14,9,FALSE)</f>
        <v>500000</v>
      </c>
      <c r="J799" s="2">
        <f t="shared" si="108"/>
        <v>625000</v>
      </c>
      <c r="K799" s="2">
        <f t="shared" si="109"/>
        <v>750000</v>
      </c>
      <c r="L799" s="2">
        <f t="shared" si="110"/>
        <v>1000000</v>
      </c>
      <c r="M799" s="6">
        <f t="shared" si="111"/>
        <v>1.6100939999999999</v>
      </c>
      <c r="N799" t="str">
        <f t="shared" si="112"/>
        <v>150-200%</v>
      </c>
      <c r="O799" s="7">
        <f>MIN(I799,H799)*INDEX('2018_commission_structure'!$A$11:$I$14,MATCH(Calculations!$E799,'2018_commission_structure'!$A$11:$A$14,0),MATCH(Calculations!O$1,'2018_commission_structure'!$A$11:$I$11,0))</f>
        <v>50000</v>
      </c>
      <c r="P799" s="7">
        <f>IF($H799&gt;I799,MIN($H799-I799,J799-I799)*INDEX('2018_commission_structure'!$A$11:$I$14,MATCH(Calculations!$E799,'2018_commission_structure'!$A$11:$A$14,0), MATCH(Calculations!P$1,'2018_commission_structure'!$A$11:$I$11,0)),0)</f>
        <v>18750</v>
      </c>
      <c r="Q799" s="7">
        <f>IF($H799&gt;J799,MIN($H799-J799,K799-J799)*INDEX('2018_commission_structure'!$A$11:$I$14,MATCH(Calculations!$E799,'2018_commission_structure'!$A$11:$A$14,0), MATCH(Calculations!Q$1,'2018_commission_structure'!$A$11:$I$11,0)),0)</f>
        <v>22500</v>
      </c>
      <c r="R799" s="7">
        <f>IF($H799&gt;K799,MIN($H799-K799,L799-K799)*INDEX('2018_commission_structure'!$A$11:$I$14,MATCH(Calculations!$E799,'2018_commission_structure'!$A$11:$A$14,0), MATCH(Calculations!R$1,'2018_commission_structure'!$A$11:$I$11,0)),0)</f>
        <v>12110.34</v>
      </c>
      <c r="S799" s="7">
        <f>IF(H799&gt;L799,(H799-L799)*INDEX('2018_commission_structure'!$A$11:$I$14,MATCH(Calculations!$E799,'2018_commission_structure'!$A$11:$A$14,0),MATCH(Calculations!S$1,'2018_commission_structure'!$A$11:$I$11,0)),0)</f>
        <v>0</v>
      </c>
      <c r="T799" s="7">
        <f t="shared" si="113"/>
        <v>103360.34</v>
      </c>
      <c r="U799" s="7">
        <f t="shared" si="114"/>
        <v>141948.34</v>
      </c>
      <c r="V799" s="7">
        <f>MIN(H799,I799)*INDEX('2018_commission_structure'!$A$5:$J$8,MATCH(Calculations!$E799,'2018_commission_structure'!$A$5:$A$8,0),MATCH(Calculations!V$1,'2018_commission_structure'!$A$5:$J$5,0))</f>
        <v>60000</v>
      </c>
      <c r="W799" s="2">
        <f>IF($H799&gt;I799,MIN($H799-I799,J799-I799)*INDEX('2018_commission_structure'!$A$5:$J$8,MATCH(Calculations!$E799,'2018_commission_structure'!$A$5:$A$8,0),MATCH(Calculations!W$1,'2018_commission_structure'!$A$5:$J$5,0)),0)</f>
        <v>21250</v>
      </c>
      <c r="X799" s="2">
        <f>IF($H799&gt;J799,MIN($H799-J799,K799-J799)*INDEX('2018_commission_structure'!$A$5:$J$8,MATCH(Calculations!$E799,'2018_commission_structure'!$A$5:$A$8,0),MATCH(Calculations!X$1,'2018_commission_structure'!$A$5:$J$5,0)),0)</f>
        <v>25000</v>
      </c>
      <c r="Y799" s="2">
        <f>IF($H799&gt;K799,MIN($H799-K799,L799-K799)*INDEX('2018_commission_structure'!$A$5:$J$8,MATCH(Calculations!$E799,'2018_commission_structure'!$A$5:$A$8,0),MATCH(Calculations!Y$1,'2018_commission_structure'!$A$5:$J$5,0)),0)</f>
        <v>12110.34</v>
      </c>
      <c r="Z799" s="2">
        <f xml:space="preserve"> IF(H799&gt;L799,(H799-L799)*INDEX('2018_commission_structure'!$A$11:$I$14,MATCH(Calculations!$E799,'2018_commission_structure'!$A$11:$A$14,0),MATCH(Calculations!Z$1,'2018_commission_structure'!$A$11:$I$11,0)),0)</f>
        <v>0</v>
      </c>
      <c r="AA799" s="7">
        <f t="shared" si="115"/>
        <v>118360.34</v>
      </c>
      <c r="AB799" s="7">
        <f t="shared" si="116"/>
        <v>156948.34</v>
      </c>
    </row>
    <row r="800" spans="1:28" x14ac:dyDescent="0.25">
      <c r="A800">
        <v>1829869566</v>
      </c>
      <c r="B800" t="s">
        <v>365</v>
      </c>
      <c r="C800" t="s">
        <v>366</v>
      </c>
      <c r="D800" t="str">
        <f>B800&amp;" "&amp;C800</f>
        <v>Mathew Russ</v>
      </c>
      <c r="E800" t="s">
        <v>29</v>
      </c>
      <c r="F800">
        <v>55569</v>
      </c>
      <c r="G800">
        <f>COUNTIF(deals_closed!D:D,Calculations!A800)</f>
        <v>12</v>
      </c>
      <c r="H800" s="2">
        <f>SUMIF(deals_closed!D:D,Calculations!A800,deals_closed!C:C)</f>
        <v>336646</v>
      </c>
      <c r="I800" s="2">
        <f>VLOOKUP(E800,'2018_commission_structure'!$A$11:$I$14,9,FALSE)</f>
        <v>600000</v>
      </c>
      <c r="J800" s="2">
        <f t="shared" si="108"/>
        <v>750000</v>
      </c>
      <c r="K800" s="2">
        <f t="shared" si="109"/>
        <v>900000</v>
      </c>
      <c r="L800" s="2">
        <f t="shared" si="110"/>
        <v>1200000</v>
      </c>
      <c r="M800" s="6">
        <f t="shared" si="111"/>
        <v>0.56107666666666667</v>
      </c>
      <c r="N800" t="str">
        <f t="shared" si="112"/>
        <v>0-100%</v>
      </c>
      <c r="O800" s="7">
        <f>MIN(I800,H800)*INDEX('2018_commission_structure'!$A$11:$I$14,MATCH(Calculations!$E800,'2018_commission_structure'!$A$11:$A$14,0),MATCH(Calculations!O$1,'2018_commission_structure'!$A$11:$I$11,0))</f>
        <v>43763.98</v>
      </c>
      <c r="P800" s="7">
        <f>IF($H800&gt;I800,MIN($H800-I800,J800-I800)*INDEX('2018_commission_structure'!$A$11:$I$14,MATCH(Calculations!$E800,'2018_commission_structure'!$A$11:$A$14,0), MATCH(Calculations!P$1,'2018_commission_structure'!$A$11:$I$11,0)),0)</f>
        <v>0</v>
      </c>
      <c r="Q800" s="7">
        <f>IF($H800&gt;J800,MIN($H800-J800,K800-J800)*INDEX('2018_commission_structure'!$A$11:$I$14,MATCH(Calculations!$E800,'2018_commission_structure'!$A$11:$A$14,0), MATCH(Calculations!Q$1,'2018_commission_structure'!$A$11:$I$11,0)),0)</f>
        <v>0</v>
      </c>
      <c r="R800" s="7">
        <f>IF($H800&gt;K800,MIN($H800-K800,L800-K800)*INDEX('2018_commission_structure'!$A$11:$I$14,MATCH(Calculations!$E800,'2018_commission_structure'!$A$11:$A$14,0), MATCH(Calculations!R$1,'2018_commission_structure'!$A$11:$I$11,0)),0)</f>
        <v>0</v>
      </c>
      <c r="S800" s="7">
        <f>IF(H800&gt;L800,(H800-L800)*INDEX('2018_commission_structure'!$A$11:$I$14,MATCH(Calculations!$E800,'2018_commission_structure'!$A$11:$A$14,0),MATCH(Calculations!S$1,'2018_commission_structure'!$A$11:$I$11,0)),0)</f>
        <v>0</v>
      </c>
      <c r="T800" s="7">
        <f t="shared" si="113"/>
        <v>43763.98</v>
      </c>
      <c r="U800" s="7">
        <f t="shared" si="114"/>
        <v>99332.98000000001</v>
      </c>
      <c r="V800" s="7">
        <f>MIN(H800,I800)*INDEX('2018_commission_structure'!$A$5:$J$8,MATCH(Calculations!$E800,'2018_commission_structure'!$A$5:$A$8,0),MATCH(Calculations!V$1,'2018_commission_structure'!$A$5:$J$5,0))</f>
        <v>50496.9</v>
      </c>
      <c r="W800" s="2">
        <f>IF($H800&gt;I800,MIN($H800-I800,J800-I800)*INDEX('2018_commission_structure'!$A$5:$J$8,MATCH(Calculations!$E800,'2018_commission_structure'!$A$5:$A$8,0),MATCH(Calculations!W$1,'2018_commission_structure'!$A$5:$J$5,0)),0)</f>
        <v>0</v>
      </c>
      <c r="X800" s="2">
        <f>IF($H800&gt;J800,MIN($H800-J800,K800-J800)*INDEX('2018_commission_structure'!$A$5:$J$8,MATCH(Calculations!$E800,'2018_commission_structure'!$A$5:$A$8,0),MATCH(Calculations!X$1,'2018_commission_structure'!$A$5:$J$5,0)),0)</f>
        <v>0</v>
      </c>
      <c r="Y800" s="2">
        <f>IF($H800&gt;K800,MIN($H800-K800,L800-K800)*INDEX('2018_commission_structure'!$A$5:$J$8,MATCH(Calculations!$E800,'2018_commission_structure'!$A$5:$A$8,0),MATCH(Calculations!Y$1,'2018_commission_structure'!$A$5:$J$5,0)),0)</f>
        <v>0</v>
      </c>
      <c r="Z800" s="2">
        <f xml:space="preserve"> IF(H800&gt;L800,(H800-L800)*INDEX('2018_commission_structure'!$A$11:$I$14,MATCH(Calculations!$E800,'2018_commission_structure'!$A$11:$A$14,0),MATCH(Calculations!Z$1,'2018_commission_structure'!$A$11:$I$11,0)),0)</f>
        <v>0</v>
      </c>
      <c r="AA800" s="7">
        <f t="shared" si="115"/>
        <v>50496.9</v>
      </c>
      <c r="AB800" s="7">
        <f t="shared" si="116"/>
        <v>106065.9</v>
      </c>
    </row>
    <row r="801" spans="1:28" x14ac:dyDescent="0.25">
      <c r="A801">
        <v>4730395069</v>
      </c>
      <c r="B801" t="s">
        <v>294</v>
      </c>
      <c r="C801" t="s">
        <v>295</v>
      </c>
      <c r="D801" t="str">
        <f>B801&amp;" "&amp;C801</f>
        <v>Jermain Ruthven</v>
      </c>
      <c r="E801" t="s">
        <v>7</v>
      </c>
      <c r="F801">
        <v>44355</v>
      </c>
      <c r="G801">
        <f>COUNTIF(deals_closed!D:D,Calculations!A801)</f>
        <v>18</v>
      </c>
      <c r="H801" s="2">
        <f>SUMIF(deals_closed!D:D,Calculations!A801,deals_closed!C:C)</f>
        <v>644768</v>
      </c>
      <c r="I801" s="2">
        <f>VLOOKUP(E801,'2018_commission_structure'!$A$11:$I$14,9,FALSE)</f>
        <v>500000</v>
      </c>
      <c r="J801" s="2">
        <f t="shared" si="108"/>
        <v>625000</v>
      </c>
      <c r="K801" s="2">
        <f t="shared" si="109"/>
        <v>750000</v>
      </c>
      <c r="L801" s="2">
        <f t="shared" si="110"/>
        <v>1000000</v>
      </c>
      <c r="M801" s="6">
        <f t="shared" si="111"/>
        <v>1.289536</v>
      </c>
      <c r="N801" t="str">
        <f t="shared" si="112"/>
        <v>125-150%</v>
      </c>
      <c r="O801" s="7">
        <f>MIN(I801,H801)*INDEX('2018_commission_structure'!$A$11:$I$14,MATCH(Calculations!$E801,'2018_commission_structure'!$A$11:$A$14,0),MATCH(Calculations!O$1,'2018_commission_structure'!$A$11:$I$11,0))</f>
        <v>50000</v>
      </c>
      <c r="P801" s="7">
        <f>IF($H801&gt;I801,MIN($H801-I801,J801-I801)*INDEX('2018_commission_structure'!$A$11:$I$14,MATCH(Calculations!$E801,'2018_commission_structure'!$A$11:$A$14,0), MATCH(Calculations!P$1,'2018_commission_structure'!$A$11:$I$11,0)),0)</f>
        <v>18750</v>
      </c>
      <c r="Q801" s="7">
        <f>IF($H801&gt;J801,MIN($H801-J801,K801-J801)*INDEX('2018_commission_structure'!$A$11:$I$14,MATCH(Calculations!$E801,'2018_commission_structure'!$A$11:$A$14,0), MATCH(Calculations!Q$1,'2018_commission_structure'!$A$11:$I$11,0)),0)</f>
        <v>3558.24</v>
      </c>
      <c r="R801" s="7">
        <f>IF($H801&gt;K801,MIN($H801-K801,L801-K801)*INDEX('2018_commission_structure'!$A$11:$I$14,MATCH(Calculations!$E801,'2018_commission_structure'!$A$11:$A$14,0), MATCH(Calculations!R$1,'2018_commission_structure'!$A$11:$I$11,0)),0)</f>
        <v>0</v>
      </c>
      <c r="S801" s="7">
        <f>IF(H801&gt;L801,(H801-L801)*INDEX('2018_commission_structure'!$A$11:$I$14,MATCH(Calculations!$E801,'2018_commission_structure'!$A$11:$A$14,0),MATCH(Calculations!S$1,'2018_commission_structure'!$A$11:$I$11,0)),0)</f>
        <v>0</v>
      </c>
      <c r="T801" s="7">
        <f t="shared" si="113"/>
        <v>72308.240000000005</v>
      </c>
      <c r="U801" s="7">
        <f t="shared" si="114"/>
        <v>116663.24</v>
      </c>
      <c r="V801" s="7">
        <f>MIN(H801,I801)*INDEX('2018_commission_structure'!$A$5:$J$8,MATCH(Calculations!$E801,'2018_commission_structure'!$A$5:$A$8,0),MATCH(Calculations!V$1,'2018_commission_structure'!$A$5:$J$5,0))</f>
        <v>60000</v>
      </c>
      <c r="W801" s="2">
        <f>IF($H801&gt;I801,MIN($H801-I801,J801-I801)*INDEX('2018_commission_structure'!$A$5:$J$8,MATCH(Calculations!$E801,'2018_commission_structure'!$A$5:$A$8,0),MATCH(Calculations!W$1,'2018_commission_structure'!$A$5:$J$5,0)),0)</f>
        <v>21250</v>
      </c>
      <c r="X801" s="2">
        <f>IF($H801&gt;J801,MIN($H801-J801,K801-J801)*INDEX('2018_commission_structure'!$A$5:$J$8,MATCH(Calculations!$E801,'2018_commission_structure'!$A$5:$A$8,0),MATCH(Calculations!X$1,'2018_commission_structure'!$A$5:$J$5,0)),0)</f>
        <v>3953.6000000000004</v>
      </c>
      <c r="Y801" s="2">
        <f>IF($H801&gt;K801,MIN($H801-K801,L801-K801)*INDEX('2018_commission_structure'!$A$5:$J$8,MATCH(Calculations!$E801,'2018_commission_structure'!$A$5:$A$8,0),MATCH(Calculations!Y$1,'2018_commission_structure'!$A$5:$J$5,0)),0)</f>
        <v>0</v>
      </c>
      <c r="Z801" s="2">
        <f xml:space="preserve"> IF(H801&gt;L801,(H801-L801)*INDEX('2018_commission_structure'!$A$11:$I$14,MATCH(Calculations!$E801,'2018_commission_structure'!$A$11:$A$14,0),MATCH(Calculations!Z$1,'2018_commission_structure'!$A$11:$I$11,0)),0)</f>
        <v>0</v>
      </c>
      <c r="AA801" s="7">
        <f t="shared" si="115"/>
        <v>85203.6</v>
      </c>
      <c r="AB801" s="7">
        <f t="shared" si="116"/>
        <v>129558.6</v>
      </c>
    </row>
    <row r="802" spans="1:28" x14ac:dyDescent="0.25">
      <c r="A802">
        <v>2083520173</v>
      </c>
      <c r="B802" t="s">
        <v>331</v>
      </c>
      <c r="C802" t="s">
        <v>332</v>
      </c>
      <c r="D802" t="str">
        <f>B802&amp;" "&amp;C802</f>
        <v>Andres Sackett</v>
      </c>
      <c r="E802" t="s">
        <v>7</v>
      </c>
      <c r="F802">
        <v>63812</v>
      </c>
      <c r="G802">
        <f>COUNTIF(deals_closed!D:D,Calculations!A802)</f>
        <v>20</v>
      </c>
      <c r="H802" s="2">
        <f>SUMIF(deals_closed!D:D,Calculations!A802,deals_closed!C:C)</f>
        <v>730595</v>
      </c>
      <c r="I802" s="2">
        <f>VLOOKUP(E802,'2018_commission_structure'!$A$11:$I$14,9,FALSE)</f>
        <v>500000</v>
      </c>
      <c r="J802" s="2">
        <f t="shared" si="108"/>
        <v>625000</v>
      </c>
      <c r="K802" s="2">
        <f t="shared" si="109"/>
        <v>750000</v>
      </c>
      <c r="L802" s="2">
        <f t="shared" si="110"/>
        <v>1000000</v>
      </c>
      <c r="M802" s="6">
        <f t="shared" si="111"/>
        <v>1.46119</v>
      </c>
      <c r="N802" t="str">
        <f t="shared" si="112"/>
        <v>125-150%</v>
      </c>
      <c r="O802" s="7">
        <f>MIN(I802,H802)*INDEX('2018_commission_structure'!$A$11:$I$14,MATCH(Calculations!$E802,'2018_commission_structure'!$A$11:$A$14,0),MATCH(Calculations!O$1,'2018_commission_structure'!$A$11:$I$11,0))</f>
        <v>50000</v>
      </c>
      <c r="P802" s="7">
        <f>IF($H802&gt;I802,MIN($H802-I802,J802-I802)*INDEX('2018_commission_structure'!$A$11:$I$14,MATCH(Calculations!$E802,'2018_commission_structure'!$A$11:$A$14,0), MATCH(Calculations!P$1,'2018_commission_structure'!$A$11:$I$11,0)),0)</f>
        <v>18750</v>
      </c>
      <c r="Q802" s="7">
        <f>IF($H802&gt;J802,MIN($H802-J802,K802-J802)*INDEX('2018_commission_structure'!$A$11:$I$14,MATCH(Calculations!$E802,'2018_commission_structure'!$A$11:$A$14,0), MATCH(Calculations!Q$1,'2018_commission_structure'!$A$11:$I$11,0)),0)</f>
        <v>19007.099999999999</v>
      </c>
      <c r="R802" s="7">
        <f>IF($H802&gt;K802,MIN($H802-K802,L802-K802)*INDEX('2018_commission_structure'!$A$11:$I$14,MATCH(Calculations!$E802,'2018_commission_structure'!$A$11:$A$14,0), MATCH(Calculations!R$1,'2018_commission_structure'!$A$11:$I$11,0)),0)</f>
        <v>0</v>
      </c>
      <c r="S802" s="7">
        <f>IF(H802&gt;L802,(H802-L802)*INDEX('2018_commission_structure'!$A$11:$I$14,MATCH(Calculations!$E802,'2018_commission_structure'!$A$11:$A$14,0),MATCH(Calculations!S$1,'2018_commission_structure'!$A$11:$I$11,0)),0)</f>
        <v>0</v>
      </c>
      <c r="T802" s="7">
        <f t="shared" si="113"/>
        <v>87757.1</v>
      </c>
      <c r="U802" s="7">
        <f t="shared" si="114"/>
        <v>151569.1</v>
      </c>
      <c r="V802" s="7">
        <f>MIN(H802,I802)*INDEX('2018_commission_structure'!$A$5:$J$8,MATCH(Calculations!$E802,'2018_commission_structure'!$A$5:$A$8,0),MATCH(Calculations!V$1,'2018_commission_structure'!$A$5:$J$5,0))</f>
        <v>60000</v>
      </c>
      <c r="W802" s="2">
        <f>IF($H802&gt;I802,MIN($H802-I802,J802-I802)*INDEX('2018_commission_structure'!$A$5:$J$8,MATCH(Calculations!$E802,'2018_commission_structure'!$A$5:$A$8,0),MATCH(Calculations!W$1,'2018_commission_structure'!$A$5:$J$5,0)),0)</f>
        <v>21250</v>
      </c>
      <c r="X802" s="2">
        <f>IF($H802&gt;J802,MIN($H802-J802,K802-J802)*INDEX('2018_commission_structure'!$A$5:$J$8,MATCH(Calculations!$E802,'2018_commission_structure'!$A$5:$A$8,0),MATCH(Calculations!X$1,'2018_commission_structure'!$A$5:$J$5,0)),0)</f>
        <v>21119</v>
      </c>
      <c r="Y802" s="2">
        <f>IF($H802&gt;K802,MIN($H802-K802,L802-K802)*INDEX('2018_commission_structure'!$A$5:$J$8,MATCH(Calculations!$E802,'2018_commission_structure'!$A$5:$A$8,0),MATCH(Calculations!Y$1,'2018_commission_structure'!$A$5:$J$5,0)),0)</f>
        <v>0</v>
      </c>
      <c r="Z802" s="2">
        <f xml:space="preserve"> IF(H802&gt;L802,(H802-L802)*INDEX('2018_commission_structure'!$A$11:$I$14,MATCH(Calculations!$E802,'2018_commission_structure'!$A$11:$A$14,0),MATCH(Calculations!Z$1,'2018_commission_structure'!$A$11:$I$11,0)),0)</f>
        <v>0</v>
      </c>
      <c r="AA802" s="7">
        <f t="shared" si="115"/>
        <v>102369</v>
      </c>
      <c r="AB802" s="7">
        <f t="shared" si="116"/>
        <v>166181</v>
      </c>
    </row>
    <row r="803" spans="1:28" x14ac:dyDescent="0.25">
      <c r="A803">
        <v>3746690722</v>
      </c>
      <c r="B803" t="s">
        <v>305</v>
      </c>
      <c r="C803" t="s">
        <v>306</v>
      </c>
      <c r="D803" t="str">
        <f>B803&amp;" "&amp;C803</f>
        <v>Denni Sadd</v>
      </c>
      <c r="E803" t="s">
        <v>10</v>
      </c>
      <c r="F803">
        <v>118063</v>
      </c>
      <c r="G803">
        <f>COUNTIF(deals_closed!D:D,Calculations!A803)</f>
        <v>20</v>
      </c>
      <c r="H803" s="2">
        <f>SUMIF(deals_closed!D:D,Calculations!A803,deals_closed!C:C)</f>
        <v>745121</v>
      </c>
      <c r="I803" s="2">
        <f>VLOOKUP(E803,'2018_commission_structure'!$A$11:$I$14,9,FALSE)</f>
        <v>750000</v>
      </c>
      <c r="J803" s="2">
        <f t="shared" si="108"/>
        <v>937500</v>
      </c>
      <c r="K803" s="2">
        <f t="shared" si="109"/>
        <v>1125000</v>
      </c>
      <c r="L803" s="2">
        <f t="shared" si="110"/>
        <v>1500000</v>
      </c>
      <c r="M803" s="6">
        <f t="shared" si="111"/>
        <v>0.99349466666666664</v>
      </c>
      <c r="N803" t="str">
        <f t="shared" si="112"/>
        <v>0-100%</v>
      </c>
      <c r="O803" s="7">
        <f>MIN(I803,H803)*INDEX('2018_commission_structure'!$A$11:$I$14,MATCH(Calculations!$E803,'2018_commission_structure'!$A$11:$A$14,0),MATCH(Calculations!O$1,'2018_commission_structure'!$A$11:$I$11,0))</f>
        <v>111768.15</v>
      </c>
      <c r="P803" s="7">
        <f>IF($H803&gt;I803,MIN($H803-I803,J803-I803)*INDEX('2018_commission_structure'!$A$11:$I$14,MATCH(Calculations!$E803,'2018_commission_structure'!$A$11:$A$14,0), MATCH(Calculations!P$1,'2018_commission_structure'!$A$11:$I$11,0)),0)</f>
        <v>0</v>
      </c>
      <c r="Q803" s="7">
        <f>IF($H803&gt;J803,MIN($H803-J803,K803-J803)*INDEX('2018_commission_structure'!$A$11:$I$14,MATCH(Calculations!$E803,'2018_commission_structure'!$A$11:$A$14,0), MATCH(Calculations!Q$1,'2018_commission_structure'!$A$11:$I$11,0)),0)</f>
        <v>0</v>
      </c>
      <c r="R803" s="7">
        <f>IF($H803&gt;K803,MIN($H803-K803,L803-K803)*INDEX('2018_commission_structure'!$A$11:$I$14,MATCH(Calculations!$E803,'2018_commission_structure'!$A$11:$A$14,0), MATCH(Calculations!R$1,'2018_commission_structure'!$A$11:$I$11,0)),0)</f>
        <v>0</v>
      </c>
      <c r="S803" s="7">
        <f>IF(H803&gt;L803,(H803-L803)*INDEX('2018_commission_structure'!$A$11:$I$14,MATCH(Calculations!$E803,'2018_commission_structure'!$A$11:$A$14,0),MATCH(Calculations!S$1,'2018_commission_structure'!$A$11:$I$11,0)),0)</f>
        <v>0</v>
      </c>
      <c r="T803" s="7">
        <f t="shared" si="113"/>
        <v>111768.15</v>
      </c>
      <c r="U803" s="7">
        <f t="shared" si="114"/>
        <v>229831.15</v>
      </c>
      <c r="V803" s="7">
        <f>MIN(H803,I803)*INDEX('2018_commission_structure'!$A$5:$J$8,MATCH(Calculations!$E803,'2018_commission_structure'!$A$5:$A$8,0),MATCH(Calculations!V$1,'2018_commission_structure'!$A$5:$J$5,0))</f>
        <v>111768.15</v>
      </c>
      <c r="W803" s="2">
        <f>IF($H803&gt;I803,MIN($H803-I803,J803-I803)*INDEX('2018_commission_structure'!$A$5:$J$8,MATCH(Calculations!$E803,'2018_commission_structure'!$A$5:$A$8,0),MATCH(Calculations!W$1,'2018_commission_structure'!$A$5:$J$5,0)),0)</f>
        <v>0</v>
      </c>
      <c r="X803" s="2">
        <f>IF($H803&gt;J803,MIN($H803-J803,K803-J803)*INDEX('2018_commission_structure'!$A$5:$J$8,MATCH(Calculations!$E803,'2018_commission_structure'!$A$5:$A$8,0),MATCH(Calculations!X$1,'2018_commission_structure'!$A$5:$J$5,0)),0)</f>
        <v>0</v>
      </c>
      <c r="Y803" s="2">
        <f>IF($H803&gt;K803,MIN($H803-K803,L803-K803)*INDEX('2018_commission_structure'!$A$5:$J$8,MATCH(Calculations!$E803,'2018_commission_structure'!$A$5:$A$8,0),MATCH(Calculations!Y$1,'2018_commission_structure'!$A$5:$J$5,0)),0)</f>
        <v>0</v>
      </c>
      <c r="Z803" s="2">
        <f xml:space="preserve"> IF(H803&gt;L803,(H803-L803)*INDEX('2018_commission_structure'!$A$11:$I$14,MATCH(Calculations!$E803,'2018_commission_structure'!$A$11:$A$14,0),MATCH(Calculations!Z$1,'2018_commission_structure'!$A$11:$I$11,0)),0)</f>
        <v>0</v>
      </c>
      <c r="AA803" s="7">
        <f t="shared" si="115"/>
        <v>111768.15</v>
      </c>
      <c r="AB803" s="7">
        <f t="shared" si="116"/>
        <v>229831.15</v>
      </c>
    </row>
    <row r="804" spans="1:28" x14ac:dyDescent="0.25">
      <c r="A804">
        <v>1592980554</v>
      </c>
      <c r="B804" t="s">
        <v>1263</v>
      </c>
      <c r="C804" t="s">
        <v>1727</v>
      </c>
      <c r="D804" t="str">
        <f>B804&amp;" "&amp;C804</f>
        <v>Josiah Saer</v>
      </c>
      <c r="E804" t="s">
        <v>10</v>
      </c>
      <c r="F804">
        <v>118429</v>
      </c>
      <c r="G804">
        <f>COUNTIF(deals_closed!D:D,Calculations!A804)</f>
        <v>23</v>
      </c>
      <c r="H804" s="2">
        <f>SUMIF(deals_closed!D:D,Calculations!A804,deals_closed!C:C)</f>
        <v>916079</v>
      </c>
      <c r="I804" s="2">
        <f>VLOOKUP(E804,'2018_commission_structure'!$A$11:$I$14,9,FALSE)</f>
        <v>750000</v>
      </c>
      <c r="J804" s="2">
        <f t="shared" si="108"/>
        <v>937500</v>
      </c>
      <c r="K804" s="2">
        <f t="shared" si="109"/>
        <v>1125000</v>
      </c>
      <c r="L804" s="2">
        <f t="shared" si="110"/>
        <v>1500000</v>
      </c>
      <c r="M804" s="6">
        <f t="shared" si="111"/>
        <v>1.2214386666666666</v>
      </c>
      <c r="N804" t="str">
        <f t="shared" si="112"/>
        <v>100-125%</v>
      </c>
      <c r="O804" s="7">
        <f>MIN(I804,H804)*INDEX('2018_commission_structure'!$A$11:$I$14,MATCH(Calculations!$E804,'2018_commission_structure'!$A$11:$A$14,0),MATCH(Calculations!O$1,'2018_commission_structure'!$A$11:$I$11,0))</f>
        <v>112500</v>
      </c>
      <c r="P804" s="7">
        <f>IF($H804&gt;I804,MIN($H804-I804,J804-I804)*INDEX('2018_commission_structure'!$A$11:$I$14,MATCH(Calculations!$E804,'2018_commission_structure'!$A$11:$A$14,0), MATCH(Calculations!P$1,'2018_commission_structure'!$A$11:$I$11,0)),0)</f>
        <v>31555.010000000002</v>
      </c>
      <c r="Q804" s="7">
        <f>IF($H804&gt;J804,MIN($H804-J804,K804-J804)*INDEX('2018_commission_structure'!$A$11:$I$14,MATCH(Calculations!$E804,'2018_commission_structure'!$A$11:$A$14,0), MATCH(Calculations!Q$1,'2018_commission_structure'!$A$11:$I$11,0)),0)</f>
        <v>0</v>
      </c>
      <c r="R804" s="7">
        <f>IF($H804&gt;K804,MIN($H804-K804,L804-K804)*INDEX('2018_commission_structure'!$A$11:$I$14,MATCH(Calculations!$E804,'2018_commission_structure'!$A$11:$A$14,0), MATCH(Calculations!R$1,'2018_commission_structure'!$A$11:$I$11,0)),0)</f>
        <v>0</v>
      </c>
      <c r="S804" s="7">
        <f>IF(H804&gt;L804,(H804-L804)*INDEX('2018_commission_structure'!$A$11:$I$14,MATCH(Calculations!$E804,'2018_commission_structure'!$A$11:$A$14,0),MATCH(Calculations!S$1,'2018_commission_structure'!$A$11:$I$11,0)),0)</f>
        <v>0</v>
      </c>
      <c r="T804" s="7">
        <f t="shared" si="113"/>
        <v>144055.01</v>
      </c>
      <c r="U804" s="7">
        <f t="shared" si="114"/>
        <v>262484.01</v>
      </c>
      <c r="V804" s="7">
        <f>MIN(H804,I804)*INDEX('2018_commission_structure'!$A$5:$J$8,MATCH(Calculations!$E804,'2018_commission_structure'!$A$5:$A$8,0),MATCH(Calculations!V$1,'2018_commission_structure'!$A$5:$J$5,0))</f>
        <v>112500</v>
      </c>
      <c r="W804" s="2">
        <f>IF($H804&gt;I804,MIN($H804-I804,J804-I804)*INDEX('2018_commission_structure'!$A$5:$J$8,MATCH(Calculations!$E804,'2018_commission_structure'!$A$5:$A$8,0),MATCH(Calculations!W$1,'2018_commission_structure'!$A$5:$J$5,0)),0)</f>
        <v>36537.379999999997</v>
      </c>
      <c r="X804" s="2">
        <f>IF($H804&gt;J804,MIN($H804-J804,K804-J804)*INDEX('2018_commission_structure'!$A$5:$J$8,MATCH(Calculations!$E804,'2018_commission_structure'!$A$5:$A$8,0),MATCH(Calculations!X$1,'2018_commission_structure'!$A$5:$J$5,0)),0)</f>
        <v>0</v>
      </c>
      <c r="Y804" s="2">
        <f>IF($H804&gt;K804,MIN($H804-K804,L804-K804)*INDEX('2018_commission_structure'!$A$5:$J$8,MATCH(Calculations!$E804,'2018_commission_structure'!$A$5:$A$8,0),MATCH(Calculations!Y$1,'2018_commission_structure'!$A$5:$J$5,0)),0)</f>
        <v>0</v>
      </c>
      <c r="Z804" s="2">
        <f xml:space="preserve"> IF(H804&gt;L804,(H804-L804)*INDEX('2018_commission_structure'!$A$11:$I$14,MATCH(Calculations!$E804,'2018_commission_structure'!$A$11:$A$14,0),MATCH(Calculations!Z$1,'2018_commission_structure'!$A$11:$I$11,0)),0)</f>
        <v>0</v>
      </c>
      <c r="AA804" s="7">
        <f t="shared" si="115"/>
        <v>149037.38</v>
      </c>
      <c r="AB804" s="7">
        <f t="shared" si="116"/>
        <v>267466.38</v>
      </c>
    </row>
    <row r="805" spans="1:28" x14ac:dyDescent="0.25">
      <c r="A805">
        <v>4978659442</v>
      </c>
      <c r="B805" t="s">
        <v>817</v>
      </c>
      <c r="C805" t="s">
        <v>818</v>
      </c>
      <c r="D805" t="str">
        <f>B805&amp;" "&amp;C805</f>
        <v>Jo Saffen</v>
      </c>
      <c r="E805" t="s">
        <v>10</v>
      </c>
      <c r="F805">
        <v>98894</v>
      </c>
      <c r="G805">
        <f>COUNTIF(deals_closed!D:D,Calculations!A805)</f>
        <v>18</v>
      </c>
      <c r="H805" s="2">
        <f>SUMIF(deals_closed!D:D,Calculations!A805,deals_closed!C:C)</f>
        <v>704891</v>
      </c>
      <c r="I805" s="2">
        <f>VLOOKUP(E805,'2018_commission_structure'!$A$11:$I$14,9,FALSE)</f>
        <v>750000</v>
      </c>
      <c r="J805" s="2">
        <f t="shared" si="108"/>
        <v>937500</v>
      </c>
      <c r="K805" s="2">
        <f t="shared" si="109"/>
        <v>1125000</v>
      </c>
      <c r="L805" s="2">
        <f t="shared" si="110"/>
        <v>1500000</v>
      </c>
      <c r="M805" s="6">
        <f t="shared" si="111"/>
        <v>0.93985466666666662</v>
      </c>
      <c r="N805" t="str">
        <f t="shared" si="112"/>
        <v>0-100%</v>
      </c>
      <c r="O805" s="7">
        <f>MIN(I805,H805)*INDEX('2018_commission_structure'!$A$11:$I$14,MATCH(Calculations!$E805,'2018_commission_structure'!$A$11:$A$14,0),MATCH(Calculations!O$1,'2018_commission_structure'!$A$11:$I$11,0))</f>
        <v>105733.65</v>
      </c>
      <c r="P805" s="7">
        <f>IF($H805&gt;I805,MIN($H805-I805,J805-I805)*INDEX('2018_commission_structure'!$A$11:$I$14,MATCH(Calculations!$E805,'2018_commission_structure'!$A$11:$A$14,0), MATCH(Calculations!P$1,'2018_commission_structure'!$A$11:$I$11,0)),0)</f>
        <v>0</v>
      </c>
      <c r="Q805" s="7">
        <f>IF($H805&gt;J805,MIN($H805-J805,K805-J805)*INDEX('2018_commission_structure'!$A$11:$I$14,MATCH(Calculations!$E805,'2018_commission_structure'!$A$11:$A$14,0), MATCH(Calculations!Q$1,'2018_commission_structure'!$A$11:$I$11,0)),0)</f>
        <v>0</v>
      </c>
      <c r="R805" s="7">
        <f>IF($H805&gt;K805,MIN($H805-K805,L805-K805)*INDEX('2018_commission_structure'!$A$11:$I$14,MATCH(Calculations!$E805,'2018_commission_structure'!$A$11:$A$14,0), MATCH(Calculations!R$1,'2018_commission_structure'!$A$11:$I$11,0)),0)</f>
        <v>0</v>
      </c>
      <c r="S805" s="7">
        <f>IF(H805&gt;L805,(H805-L805)*INDEX('2018_commission_structure'!$A$11:$I$14,MATCH(Calculations!$E805,'2018_commission_structure'!$A$11:$A$14,0),MATCH(Calculations!S$1,'2018_commission_structure'!$A$11:$I$11,0)),0)</f>
        <v>0</v>
      </c>
      <c r="T805" s="7">
        <f t="shared" si="113"/>
        <v>105733.65</v>
      </c>
      <c r="U805" s="7">
        <f t="shared" si="114"/>
        <v>204627.65</v>
      </c>
      <c r="V805" s="7">
        <f>MIN(H805,I805)*INDEX('2018_commission_structure'!$A$5:$J$8,MATCH(Calculations!$E805,'2018_commission_structure'!$A$5:$A$8,0),MATCH(Calculations!V$1,'2018_commission_structure'!$A$5:$J$5,0))</f>
        <v>105733.65</v>
      </c>
      <c r="W805" s="2">
        <f>IF($H805&gt;I805,MIN($H805-I805,J805-I805)*INDEX('2018_commission_structure'!$A$5:$J$8,MATCH(Calculations!$E805,'2018_commission_structure'!$A$5:$A$8,0),MATCH(Calculations!W$1,'2018_commission_structure'!$A$5:$J$5,0)),0)</f>
        <v>0</v>
      </c>
      <c r="X805" s="2">
        <f>IF($H805&gt;J805,MIN($H805-J805,K805-J805)*INDEX('2018_commission_structure'!$A$5:$J$8,MATCH(Calculations!$E805,'2018_commission_structure'!$A$5:$A$8,0),MATCH(Calculations!X$1,'2018_commission_structure'!$A$5:$J$5,0)),0)</f>
        <v>0</v>
      </c>
      <c r="Y805" s="2">
        <f>IF($H805&gt;K805,MIN($H805-K805,L805-K805)*INDEX('2018_commission_structure'!$A$5:$J$8,MATCH(Calculations!$E805,'2018_commission_structure'!$A$5:$A$8,0),MATCH(Calculations!Y$1,'2018_commission_structure'!$A$5:$J$5,0)),0)</f>
        <v>0</v>
      </c>
      <c r="Z805" s="2">
        <f xml:space="preserve"> IF(H805&gt;L805,(H805-L805)*INDEX('2018_commission_structure'!$A$11:$I$14,MATCH(Calculations!$E805,'2018_commission_structure'!$A$11:$A$14,0),MATCH(Calculations!Z$1,'2018_commission_structure'!$A$11:$I$11,0)),0)</f>
        <v>0</v>
      </c>
      <c r="AA805" s="7">
        <f t="shared" si="115"/>
        <v>105733.65</v>
      </c>
      <c r="AB805" s="7">
        <f t="shared" si="116"/>
        <v>204627.65</v>
      </c>
    </row>
    <row r="806" spans="1:28" x14ac:dyDescent="0.25">
      <c r="A806">
        <v>9516781780</v>
      </c>
      <c r="B806" t="s">
        <v>218</v>
      </c>
      <c r="C806" t="s">
        <v>219</v>
      </c>
      <c r="D806" t="str">
        <f>B806&amp;" "&amp;C806</f>
        <v>Meredith Samudio</v>
      </c>
      <c r="E806" t="s">
        <v>29</v>
      </c>
      <c r="F806">
        <v>55345</v>
      </c>
      <c r="G806">
        <f>COUNTIF(deals_closed!D:D,Calculations!A806)</f>
        <v>22</v>
      </c>
      <c r="H806" s="2">
        <f>SUMIF(deals_closed!D:D,Calculations!A806,deals_closed!C:C)</f>
        <v>879851</v>
      </c>
      <c r="I806" s="2">
        <f>VLOOKUP(E806,'2018_commission_structure'!$A$11:$I$14,9,FALSE)</f>
        <v>600000</v>
      </c>
      <c r="J806" s="2">
        <f t="shared" si="108"/>
        <v>750000</v>
      </c>
      <c r="K806" s="2">
        <f t="shared" si="109"/>
        <v>900000</v>
      </c>
      <c r="L806" s="2">
        <f t="shared" si="110"/>
        <v>1200000</v>
      </c>
      <c r="M806" s="6">
        <f t="shared" si="111"/>
        <v>1.4664183333333334</v>
      </c>
      <c r="N806" t="str">
        <f t="shared" si="112"/>
        <v>125-150%</v>
      </c>
      <c r="O806" s="7">
        <f>MIN(I806,H806)*INDEX('2018_commission_structure'!$A$11:$I$14,MATCH(Calculations!$E806,'2018_commission_structure'!$A$11:$A$14,0),MATCH(Calculations!O$1,'2018_commission_structure'!$A$11:$I$11,0))</f>
        <v>78000</v>
      </c>
      <c r="P806" s="7">
        <f>IF($H806&gt;I806,MIN($H806-I806,J806-I806)*INDEX('2018_commission_structure'!$A$11:$I$14,MATCH(Calculations!$E806,'2018_commission_structure'!$A$11:$A$14,0), MATCH(Calculations!P$1,'2018_commission_structure'!$A$11:$I$11,0)),0)</f>
        <v>25500.000000000004</v>
      </c>
      <c r="Q806" s="7">
        <f>IF($H806&gt;J806,MIN($H806-J806,K806-J806)*INDEX('2018_commission_structure'!$A$11:$I$14,MATCH(Calculations!$E806,'2018_commission_structure'!$A$11:$A$14,0), MATCH(Calculations!Q$1,'2018_commission_structure'!$A$11:$I$11,0)),0)</f>
        <v>27268.71</v>
      </c>
      <c r="R806" s="7">
        <f>IF($H806&gt;K806,MIN($H806-K806,L806-K806)*INDEX('2018_commission_structure'!$A$11:$I$14,MATCH(Calculations!$E806,'2018_commission_structure'!$A$11:$A$14,0), MATCH(Calculations!R$1,'2018_commission_structure'!$A$11:$I$11,0)),0)</f>
        <v>0</v>
      </c>
      <c r="S806" s="7">
        <f>IF(H806&gt;L806,(H806-L806)*INDEX('2018_commission_structure'!$A$11:$I$14,MATCH(Calculations!$E806,'2018_commission_structure'!$A$11:$A$14,0),MATCH(Calculations!S$1,'2018_commission_structure'!$A$11:$I$11,0)),0)</f>
        <v>0</v>
      </c>
      <c r="T806" s="7">
        <f t="shared" si="113"/>
        <v>130768.70999999999</v>
      </c>
      <c r="U806" s="7">
        <f t="shared" si="114"/>
        <v>186113.71</v>
      </c>
      <c r="V806" s="7">
        <f>MIN(H806,I806)*INDEX('2018_commission_structure'!$A$5:$J$8,MATCH(Calculations!$E806,'2018_commission_structure'!$A$5:$A$8,0),MATCH(Calculations!V$1,'2018_commission_structure'!$A$5:$J$5,0))</f>
        <v>90000</v>
      </c>
      <c r="W806" s="2">
        <f>IF($H806&gt;I806,MIN($H806-I806,J806-I806)*INDEX('2018_commission_structure'!$A$5:$J$8,MATCH(Calculations!$E806,'2018_commission_structure'!$A$5:$A$8,0),MATCH(Calculations!W$1,'2018_commission_structure'!$A$5:$J$5,0)),0)</f>
        <v>27000</v>
      </c>
      <c r="X806" s="2">
        <f>IF($H806&gt;J806,MIN($H806-J806,K806-J806)*INDEX('2018_commission_structure'!$A$5:$J$8,MATCH(Calculations!$E806,'2018_commission_structure'!$A$5:$A$8,0),MATCH(Calculations!X$1,'2018_commission_structure'!$A$5:$J$5,0)),0)</f>
        <v>32462.75</v>
      </c>
      <c r="Y806" s="2">
        <f>IF($H806&gt;K806,MIN($H806-K806,L806-K806)*INDEX('2018_commission_structure'!$A$5:$J$8,MATCH(Calculations!$E806,'2018_commission_structure'!$A$5:$A$8,0),MATCH(Calculations!Y$1,'2018_commission_structure'!$A$5:$J$5,0)),0)</f>
        <v>0</v>
      </c>
      <c r="Z806" s="2">
        <f xml:space="preserve"> IF(H806&gt;L806,(H806-L806)*INDEX('2018_commission_structure'!$A$11:$I$14,MATCH(Calculations!$E806,'2018_commission_structure'!$A$11:$A$14,0),MATCH(Calculations!Z$1,'2018_commission_structure'!$A$11:$I$11,0)),0)</f>
        <v>0</v>
      </c>
      <c r="AA806" s="7">
        <f t="shared" si="115"/>
        <v>149462.75</v>
      </c>
      <c r="AB806" s="7">
        <f t="shared" si="116"/>
        <v>204807.75</v>
      </c>
    </row>
    <row r="807" spans="1:28" x14ac:dyDescent="0.25">
      <c r="A807">
        <v>6410530811</v>
      </c>
      <c r="B807" t="s">
        <v>402</v>
      </c>
      <c r="C807" t="s">
        <v>403</v>
      </c>
      <c r="D807" t="str">
        <f>B807&amp;" "&amp;C807</f>
        <v>Elsey Sanchez</v>
      </c>
      <c r="E807" t="s">
        <v>7</v>
      </c>
      <c r="F807">
        <v>37671</v>
      </c>
      <c r="G807">
        <f>COUNTIF(deals_closed!D:D,Calculations!A807)</f>
        <v>22</v>
      </c>
      <c r="H807" s="2">
        <f>SUMIF(deals_closed!D:D,Calculations!A807,deals_closed!C:C)</f>
        <v>810883</v>
      </c>
      <c r="I807" s="2">
        <f>VLOOKUP(E807,'2018_commission_structure'!$A$11:$I$14,9,FALSE)</f>
        <v>500000</v>
      </c>
      <c r="J807" s="2">
        <f t="shared" si="108"/>
        <v>625000</v>
      </c>
      <c r="K807" s="2">
        <f t="shared" si="109"/>
        <v>750000</v>
      </c>
      <c r="L807" s="2">
        <f t="shared" si="110"/>
        <v>1000000</v>
      </c>
      <c r="M807" s="6">
        <f t="shared" si="111"/>
        <v>1.621766</v>
      </c>
      <c r="N807" t="str">
        <f t="shared" si="112"/>
        <v>150-200%</v>
      </c>
      <c r="O807" s="7">
        <f>MIN(I807,H807)*INDEX('2018_commission_structure'!$A$11:$I$14,MATCH(Calculations!$E807,'2018_commission_structure'!$A$11:$A$14,0),MATCH(Calculations!O$1,'2018_commission_structure'!$A$11:$I$11,0))</f>
        <v>50000</v>
      </c>
      <c r="P807" s="7">
        <f>IF($H807&gt;I807,MIN($H807-I807,J807-I807)*INDEX('2018_commission_structure'!$A$11:$I$14,MATCH(Calculations!$E807,'2018_commission_structure'!$A$11:$A$14,0), MATCH(Calculations!P$1,'2018_commission_structure'!$A$11:$I$11,0)),0)</f>
        <v>18750</v>
      </c>
      <c r="Q807" s="7">
        <f>IF($H807&gt;J807,MIN($H807-J807,K807-J807)*INDEX('2018_commission_structure'!$A$11:$I$14,MATCH(Calculations!$E807,'2018_commission_structure'!$A$11:$A$14,0), MATCH(Calculations!Q$1,'2018_commission_structure'!$A$11:$I$11,0)),0)</f>
        <v>22500</v>
      </c>
      <c r="R807" s="7">
        <f>IF($H807&gt;K807,MIN($H807-K807,L807-K807)*INDEX('2018_commission_structure'!$A$11:$I$14,MATCH(Calculations!$E807,'2018_commission_structure'!$A$11:$A$14,0), MATCH(Calculations!R$1,'2018_commission_structure'!$A$11:$I$11,0)),0)</f>
        <v>13394.26</v>
      </c>
      <c r="S807" s="7">
        <f>IF(H807&gt;L807,(H807-L807)*INDEX('2018_commission_structure'!$A$11:$I$14,MATCH(Calculations!$E807,'2018_commission_structure'!$A$11:$A$14,0),MATCH(Calculations!S$1,'2018_commission_structure'!$A$11:$I$11,0)),0)</f>
        <v>0</v>
      </c>
      <c r="T807" s="7">
        <f t="shared" si="113"/>
        <v>104644.26</v>
      </c>
      <c r="U807" s="7">
        <f t="shared" si="114"/>
        <v>142315.26</v>
      </c>
      <c r="V807" s="7">
        <f>MIN(H807,I807)*INDEX('2018_commission_structure'!$A$5:$J$8,MATCH(Calculations!$E807,'2018_commission_structure'!$A$5:$A$8,0),MATCH(Calculations!V$1,'2018_commission_structure'!$A$5:$J$5,0))</f>
        <v>60000</v>
      </c>
      <c r="W807" s="2">
        <f>IF($H807&gt;I807,MIN($H807-I807,J807-I807)*INDEX('2018_commission_structure'!$A$5:$J$8,MATCH(Calculations!$E807,'2018_commission_structure'!$A$5:$A$8,0),MATCH(Calculations!W$1,'2018_commission_structure'!$A$5:$J$5,0)),0)</f>
        <v>21250</v>
      </c>
      <c r="X807" s="2">
        <f>IF($H807&gt;J807,MIN($H807-J807,K807-J807)*INDEX('2018_commission_structure'!$A$5:$J$8,MATCH(Calculations!$E807,'2018_commission_structure'!$A$5:$A$8,0),MATCH(Calculations!X$1,'2018_commission_structure'!$A$5:$J$5,0)),0)</f>
        <v>25000</v>
      </c>
      <c r="Y807" s="2">
        <f>IF($H807&gt;K807,MIN($H807-K807,L807-K807)*INDEX('2018_commission_structure'!$A$5:$J$8,MATCH(Calculations!$E807,'2018_commission_structure'!$A$5:$A$8,0),MATCH(Calculations!Y$1,'2018_commission_structure'!$A$5:$J$5,0)),0)</f>
        <v>13394.26</v>
      </c>
      <c r="Z807" s="2">
        <f xml:space="preserve"> IF(H807&gt;L807,(H807-L807)*INDEX('2018_commission_structure'!$A$11:$I$14,MATCH(Calculations!$E807,'2018_commission_structure'!$A$11:$A$14,0),MATCH(Calculations!Z$1,'2018_commission_structure'!$A$11:$I$11,0)),0)</f>
        <v>0</v>
      </c>
      <c r="AA807" s="7">
        <f t="shared" si="115"/>
        <v>119644.26</v>
      </c>
      <c r="AB807" s="7">
        <f t="shared" si="116"/>
        <v>157315.26</v>
      </c>
    </row>
    <row r="808" spans="1:28" x14ac:dyDescent="0.25">
      <c r="A808">
        <v>1962975932</v>
      </c>
      <c r="B808" t="s">
        <v>1013</v>
      </c>
      <c r="C808" t="s">
        <v>1014</v>
      </c>
      <c r="D808" t="str">
        <f>B808&amp;" "&amp;C808</f>
        <v>Avivah Sante</v>
      </c>
      <c r="E808" t="s">
        <v>10</v>
      </c>
      <c r="F808">
        <v>111530</v>
      </c>
      <c r="G808">
        <f>COUNTIF(deals_closed!D:D,Calculations!A808)</f>
        <v>10</v>
      </c>
      <c r="H808" s="2">
        <f>SUMIF(deals_closed!D:D,Calculations!A808,deals_closed!C:C)</f>
        <v>303175</v>
      </c>
      <c r="I808" s="2">
        <f>VLOOKUP(E808,'2018_commission_structure'!$A$11:$I$14,9,FALSE)</f>
        <v>750000</v>
      </c>
      <c r="J808" s="2">
        <f t="shared" si="108"/>
        <v>937500</v>
      </c>
      <c r="K808" s="2">
        <f t="shared" si="109"/>
        <v>1125000</v>
      </c>
      <c r="L808" s="2">
        <f t="shared" si="110"/>
        <v>1500000</v>
      </c>
      <c r="M808" s="6">
        <f t="shared" si="111"/>
        <v>0.40423333333333333</v>
      </c>
      <c r="N808" t="str">
        <f t="shared" si="112"/>
        <v>0-100%</v>
      </c>
      <c r="O808" s="7">
        <f>MIN(I808,H808)*INDEX('2018_commission_structure'!$A$11:$I$14,MATCH(Calculations!$E808,'2018_commission_structure'!$A$11:$A$14,0),MATCH(Calculations!O$1,'2018_commission_structure'!$A$11:$I$11,0))</f>
        <v>45476.25</v>
      </c>
      <c r="P808" s="7">
        <f>IF($H808&gt;I808,MIN($H808-I808,J808-I808)*INDEX('2018_commission_structure'!$A$11:$I$14,MATCH(Calculations!$E808,'2018_commission_structure'!$A$11:$A$14,0), MATCH(Calculations!P$1,'2018_commission_structure'!$A$11:$I$11,0)),0)</f>
        <v>0</v>
      </c>
      <c r="Q808" s="7">
        <f>IF($H808&gt;J808,MIN($H808-J808,K808-J808)*INDEX('2018_commission_structure'!$A$11:$I$14,MATCH(Calculations!$E808,'2018_commission_structure'!$A$11:$A$14,0), MATCH(Calculations!Q$1,'2018_commission_structure'!$A$11:$I$11,0)),0)</f>
        <v>0</v>
      </c>
      <c r="R808" s="7">
        <f>IF($H808&gt;K808,MIN($H808-K808,L808-K808)*INDEX('2018_commission_structure'!$A$11:$I$14,MATCH(Calculations!$E808,'2018_commission_structure'!$A$11:$A$14,0), MATCH(Calculations!R$1,'2018_commission_structure'!$A$11:$I$11,0)),0)</f>
        <v>0</v>
      </c>
      <c r="S808" s="7">
        <f>IF(H808&gt;L808,(H808-L808)*INDEX('2018_commission_structure'!$A$11:$I$14,MATCH(Calculations!$E808,'2018_commission_structure'!$A$11:$A$14,0),MATCH(Calculations!S$1,'2018_commission_structure'!$A$11:$I$11,0)),0)</f>
        <v>0</v>
      </c>
      <c r="T808" s="7">
        <f t="shared" si="113"/>
        <v>45476.25</v>
      </c>
      <c r="U808" s="7">
        <f t="shared" si="114"/>
        <v>157006.25</v>
      </c>
      <c r="V808" s="7">
        <f>MIN(H808,I808)*INDEX('2018_commission_structure'!$A$5:$J$8,MATCH(Calculations!$E808,'2018_commission_structure'!$A$5:$A$8,0),MATCH(Calculations!V$1,'2018_commission_structure'!$A$5:$J$5,0))</f>
        <v>45476.25</v>
      </c>
      <c r="W808" s="2">
        <f>IF($H808&gt;I808,MIN($H808-I808,J808-I808)*INDEX('2018_commission_structure'!$A$5:$J$8,MATCH(Calculations!$E808,'2018_commission_structure'!$A$5:$A$8,0),MATCH(Calculations!W$1,'2018_commission_structure'!$A$5:$J$5,0)),0)</f>
        <v>0</v>
      </c>
      <c r="X808" s="2">
        <f>IF($H808&gt;J808,MIN($H808-J808,K808-J808)*INDEX('2018_commission_structure'!$A$5:$J$8,MATCH(Calculations!$E808,'2018_commission_structure'!$A$5:$A$8,0),MATCH(Calculations!X$1,'2018_commission_structure'!$A$5:$J$5,0)),0)</f>
        <v>0</v>
      </c>
      <c r="Y808" s="2">
        <f>IF($H808&gt;K808,MIN($H808-K808,L808-K808)*INDEX('2018_commission_structure'!$A$5:$J$8,MATCH(Calculations!$E808,'2018_commission_structure'!$A$5:$A$8,0),MATCH(Calculations!Y$1,'2018_commission_structure'!$A$5:$J$5,0)),0)</f>
        <v>0</v>
      </c>
      <c r="Z808" s="2">
        <f xml:space="preserve"> IF(H808&gt;L808,(H808-L808)*INDEX('2018_commission_structure'!$A$11:$I$14,MATCH(Calculations!$E808,'2018_commission_structure'!$A$11:$A$14,0),MATCH(Calculations!Z$1,'2018_commission_structure'!$A$11:$I$11,0)),0)</f>
        <v>0</v>
      </c>
      <c r="AA808" s="7">
        <f t="shared" si="115"/>
        <v>45476.25</v>
      </c>
      <c r="AB808" s="7">
        <f t="shared" si="116"/>
        <v>157006.25</v>
      </c>
    </row>
    <row r="809" spans="1:28" x14ac:dyDescent="0.25">
      <c r="A809">
        <v>4877108939</v>
      </c>
      <c r="B809" t="s">
        <v>1246</v>
      </c>
      <c r="C809" t="s">
        <v>1247</v>
      </c>
      <c r="D809" t="str">
        <f>B809&amp;" "&amp;C809</f>
        <v>Nikolos Santino</v>
      </c>
      <c r="E809" t="s">
        <v>10</v>
      </c>
      <c r="F809">
        <v>99554</v>
      </c>
      <c r="G809">
        <f>COUNTIF(deals_closed!D:D,Calculations!A809)</f>
        <v>27</v>
      </c>
      <c r="H809" s="2">
        <f>SUMIF(deals_closed!D:D,Calculations!A809,deals_closed!C:C)</f>
        <v>899816</v>
      </c>
      <c r="I809" s="2">
        <f>VLOOKUP(E809,'2018_commission_structure'!$A$11:$I$14,9,FALSE)</f>
        <v>750000</v>
      </c>
      <c r="J809" s="2">
        <f t="shared" si="108"/>
        <v>937500</v>
      </c>
      <c r="K809" s="2">
        <f t="shared" si="109"/>
        <v>1125000</v>
      </c>
      <c r="L809" s="2">
        <f t="shared" si="110"/>
        <v>1500000</v>
      </c>
      <c r="M809" s="6">
        <f t="shared" si="111"/>
        <v>1.1997546666666667</v>
      </c>
      <c r="N809" t="str">
        <f t="shared" si="112"/>
        <v>100-125%</v>
      </c>
      <c r="O809" s="7">
        <f>MIN(I809,H809)*INDEX('2018_commission_structure'!$A$11:$I$14,MATCH(Calculations!$E809,'2018_commission_structure'!$A$11:$A$14,0),MATCH(Calculations!O$1,'2018_commission_structure'!$A$11:$I$11,0))</f>
        <v>112500</v>
      </c>
      <c r="P809" s="7">
        <f>IF($H809&gt;I809,MIN($H809-I809,J809-I809)*INDEX('2018_commission_structure'!$A$11:$I$14,MATCH(Calculations!$E809,'2018_commission_structure'!$A$11:$A$14,0), MATCH(Calculations!P$1,'2018_commission_structure'!$A$11:$I$11,0)),0)</f>
        <v>28465.040000000001</v>
      </c>
      <c r="Q809" s="7">
        <f>IF($H809&gt;J809,MIN($H809-J809,K809-J809)*INDEX('2018_commission_structure'!$A$11:$I$14,MATCH(Calculations!$E809,'2018_commission_structure'!$A$11:$A$14,0), MATCH(Calculations!Q$1,'2018_commission_structure'!$A$11:$I$11,0)),0)</f>
        <v>0</v>
      </c>
      <c r="R809" s="7">
        <f>IF($H809&gt;K809,MIN($H809-K809,L809-K809)*INDEX('2018_commission_structure'!$A$11:$I$14,MATCH(Calculations!$E809,'2018_commission_structure'!$A$11:$A$14,0), MATCH(Calculations!R$1,'2018_commission_structure'!$A$11:$I$11,0)),0)</f>
        <v>0</v>
      </c>
      <c r="S809" s="7">
        <f>IF(H809&gt;L809,(H809-L809)*INDEX('2018_commission_structure'!$A$11:$I$14,MATCH(Calculations!$E809,'2018_commission_structure'!$A$11:$A$14,0),MATCH(Calculations!S$1,'2018_commission_structure'!$A$11:$I$11,0)),0)</f>
        <v>0</v>
      </c>
      <c r="T809" s="7">
        <f t="shared" si="113"/>
        <v>140965.04</v>
      </c>
      <c r="U809" s="7">
        <f t="shared" si="114"/>
        <v>240519.04000000001</v>
      </c>
      <c r="V809" s="7">
        <f>MIN(H809,I809)*INDEX('2018_commission_structure'!$A$5:$J$8,MATCH(Calculations!$E809,'2018_commission_structure'!$A$5:$A$8,0),MATCH(Calculations!V$1,'2018_commission_structure'!$A$5:$J$5,0))</f>
        <v>112500</v>
      </c>
      <c r="W809" s="2">
        <f>IF($H809&gt;I809,MIN($H809-I809,J809-I809)*INDEX('2018_commission_structure'!$A$5:$J$8,MATCH(Calculations!$E809,'2018_commission_structure'!$A$5:$A$8,0),MATCH(Calculations!W$1,'2018_commission_structure'!$A$5:$J$5,0)),0)</f>
        <v>32959.519999999997</v>
      </c>
      <c r="X809" s="2">
        <f>IF($H809&gt;J809,MIN($H809-J809,K809-J809)*INDEX('2018_commission_structure'!$A$5:$J$8,MATCH(Calculations!$E809,'2018_commission_structure'!$A$5:$A$8,0),MATCH(Calculations!X$1,'2018_commission_structure'!$A$5:$J$5,0)),0)</f>
        <v>0</v>
      </c>
      <c r="Y809" s="2">
        <f>IF($H809&gt;K809,MIN($H809-K809,L809-K809)*INDEX('2018_commission_structure'!$A$5:$J$8,MATCH(Calculations!$E809,'2018_commission_structure'!$A$5:$A$8,0),MATCH(Calculations!Y$1,'2018_commission_structure'!$A$5:$J$5,0)),0)</f>
        <v>0</v>
      </c>
      <c r="Z809" s="2">
        <f xml:space="preserve"> IF(H809&gt;L809,(H809-L809)*INDEX('2018_commission_structure'!$A$11:$I$14,MATCH(Calculations!$E809,'2018_commission_structure'!$A$11:$A$14,0),MATCH(Calculations!Z$1,'2018_commission_structure'!$A$11:$I$11,0)),0)</f>
        <v>0</v>
      </c>
      <c r="AA809" s="7">
        <f t="shared" si="115"/>
        <v>145459.51999999999</v>
      </c>
      <c r="AB809" s="7">
        <f t="shared" si="116"/>
        <v>245013.52</v>
      </c>
    </row>
    <row r="810" spans="1:28" x14ac:dyDescent="0.25">
      <c r="A810">
        <v>4691333258</v>
      </c>
      <c r="B810" t="s">
        <v>1510</v>
      </c>
      <c r="C810" t="s">
        <v>1511</v>
      </c>
      <c r="D810" t="str">
        <f>B810&amp;" "&amp;C810</f>
        <v>Richmound Satyford</v>
      </c>
      <c r="E810" t="s">
        <v>7</v>
      </c>
      <c r="F810">
        <v>39926</v>
      </c>
      <c r="G810">
        <f>COUNTIF(deals_closed!D:D,Calculations!A810)</f>
        <v>24</v>
      </c>
      <c r="H810" s="2">
        <f>SUMIF(deals_closed!D:D,Calculations!A810,deals_closed!C:C)</f>
        <v>745980</v>
      </c>
      <c r="I810" s="2">
        <f>VLOOKUP(E810,'2018_commission_structure'!$A$11:$I$14,9,FALSE)</f>
        <v>500000</v>
      </c>
      <c r="J810" s="2">
        <f t="shared" si="108"/>
        <v>625000</v>
      </c>
      <c r="K810" s="2">
        <f t="shared" si="109"/>
        <v>750000</v>
      </c>
      <c r="L810" s="2">
        <f t="shared" si="110"/>
        <v>1000000</v>
      </c>
      <c r="M810" s="6">
        <f t="shared" si="111"/>
        <v>1.49196</v>
      </c>
      <c r="N810" t="str">
        <f t="shared" si="112"/>
        <v>125-150%</v>
      </c>
      <c r="O810" s="7">
        <f>MIN(I810,H810)*INDEX('2018_commission_structure'!$A$11:$I$14,MATCH(Calculations!$E810,'2018_commission_structure'!$A$11:$A$14,0),MATCH(Calculations!O$1,'2018_commission_structure'!$A$11:$I$11,0))</f>
        <v>50000</v>
      </c>
      <c r="P810" s="7">
        <f>IF($H810&gt;I810,MIN($H810-I810,J810-I810)*INDEX('2018_commission_structure'!$A$11:$I$14,MATCH(Calculations!$E810,'2018_commission_structure'!$A$11:$A$14,0), MATCH(Calculations!P$1,'2018_commission_structure'!$A$11:$I$11,0)),0)</f>
        <v>18750</v>
      </c>
      <c r="Q810" s="7">
        <f>IF($H810&gt;J810,MIN($H810-J810,K810-J810)*INDEX('2018_commission_structure'!$A$11:$I$14,MATCH(Calculations!$E810,'2018_commission_structure'!$A$11:$A$14,0), MATCH(Calculations!Q$1,'2018_commission_structure'!$A$11:$I$11,0)),0)</f>
        <v>21776.399999999998</v>
      </c>
      <c r="R810" s="7">
        <f>IF($H810&gt;K810,MIN($H810-K810,L810-K810)*INDEX('2018_commission_structure'!$A$11:$I$14,MATCH(Calculations!$E810,'2018_commission_structure'!$A$11:$A$14,0), MATCH(Calculations!R$1,'2018_commission_structure'!$A$11:$I$11,0)),0)</f>
        <v>0</v>
      </c>
      <c r="S810" s="7">
        <f>IF(H810&gt;L810,(H810-L810)*INDEX('2018_commission_structure'!$A$11:$I$14,MATCH(Calculations!$E810,'2018_commission_structure'!$A$11:$A$14,0),MATCH(Calculations!S$1,'2018_commission_structure'!$A$11:$I$11,0)),0)</f>
        <v>0</v>
      </c>
      <c r="T810" s="7">
        <f t="shared" si="113"/>
        <v>90526.399999999994</v>
      </c>
      <c r="U810" s="7">
        <f t="shared" si="114"/>
        <v>130452.4</v>
      </c>
      <c r="V810" s="7">
        <f>MIN(H810,I810)*INDEX('2018_commission_structure'!$A$5:$J$8,MATCH(Calculations!$E810,'2018_commission_structure'!$A$5:$A$8,0),MATCH(Calculations!V$1,'2018_commission_structure'!$A$5:$J$5,0))</f>
        <v>60000</v>
      </c>
      <c r="W810" s="2">
        <f>IF($H810&gt;I810,MIN($H810-I810,J810-I810)*INDEX('2018_commission_structure'!$A$5:$J$8,MATCH(Calculations!$E810,'2018_commission_structure'!$A$5:$A$8,0),MATCH(Calculations!W$1,'2018_commission_structure'!$A$5:$J$5,0)),0)</f>
        <v>21250</v>
      </c>
      <c r="X810" s="2">
        <f>IF($H810&gt;J810,MIN($H810-J810,K810-J810)*INDEX('2018_commission_structure'!$A$5:$J$8,MATCH(Calculations!$E810,'2018_commission_structure'!$A$5:$A$8,0),MATCH(Calculations!X$1,'2018_commission_structure'!$A$5:$J$5,0)),0)</f>
        <v>24196</v>
      </c>
      <c r="Y810" s="2">
        <f>IF($H810&gt;K810,MIN($H810-K810,L810-K810)*INDEX('2018_commission_structure'!$A$5:$J$8,MATCH(Calculations!$E810,'2018_commission_structure'!$A$5:$A$8,0),MATCH(Calculations!Y$1,'2018_commission_structure'!$A$5:$J$5,0)),0)</f>
        <v>0</v>
      </c>
      <c r="Z810" s="2">
        <f xml:space="preserve"> IF(H810&gt;L810,(H810-L810)*INDEX('2018_commission_structure'!$A$11:$I$14,MATCH(Calculations!$E810,'2018_commission_structure'!$A$11:$A$14,0),MATCH(Calculations!Z$1,'2018_commission_structure'!$A$11:$I$11,0)),0)</f>
        <v>0</v>
      </c>
      <c r="AA810" s="7">
        <f t="shared" si="115"/>
        <v>105446</v>
      </c>
      <c r="AB810" s="7">
        <f t="shared" si="116"/>
        <v>145372</v>
      </c>
    </row>
    <row r="811" spans="1:28" x14ac:dyDescent="0.25">
      <c r="A811">
        <v>2792636599</v>
      </c>
      <c r="B811" t="s">
        <v>1197</v>
      </c>
      <c r="C811" t="s">
        <v>1198</v>
      </c>
      <c r="D811" t="str">
        <f>B811&amp;" "&amp;C811</f>
        <v>Patin Scardifield</v>
      </c>
      <c r="E811" t="s">
        <v>10</v>
      </c>
      <c r="F811">
        <v>120373</v>
      </c>
      <c r="G811">
        <f>COUNTIF(deals_closed!D:D,Calculations!A811)</f>
        <v>21</v>
      </c>
      <c r="H811" s="2">
        <f>SUMIF(deals_closed!D:D,Calculations!A811,deals_closed!C:C)</f>
        <v>733491</v>
      </c>
      <c r="I811" s="2">
        <f>VLOOKUP(E811,'2018_commission_structure'!$A$11:$I$14,9,FALSE)</f>
        <v>750000</v>
      </c>
      <c r="J811" s="2">
        <f t="shared" si="108"/>
        <v>937500</v>
      </c>
      <c r="K811" s="2">
        <f t="shared" si="109"/>
        <v>1125000</v>
      </c>
      <c r="L811" s="2">
        <f t="shared" si="110"/>
        <v>1500000</v>
      </c>
      <c r="M811" s="6">
        <f t="shared" si="111"/>
        <v>0.97798799999999997</v>
      </c>
      <c r="N811" t="str">
        <f t="shared" si="112"/>
        <v>0-100%</v>
      </c>
      <c r="O811" s="7">
        <f>MIN(I811,H811)*INDEX('2018_commission_structure'!$A$11:$I$14,MATCH(Calculations!$E811,'2018_commission_structure'!$A$11:$A$14,0),MATCH(Calculations!O$1,'2018_commission_structure'!$A$11:$I$11,0))</f>
        <v>110023.65</v>
      </c>
      <c r="P811" s="7">
        <f>IF($H811&gt;I811,MIN($H811-I811,J811-I811)*INDEX('2018_commission_structure'!$A$11:$I$14,MATCH(Calculations!$E811,'2018_commission_structure'!$A$11:$A$14,0), MATCH(Calculations!P$1,'2018_commission_structure'!$A$11:$I$11,0)),0)</f>
        <v>0</v>
      </c>
      <c r="Q811" s="7">
        <f>IF($H811&gt;J811,MIN($H811-J811,K811-J811)*INDEX('2018_commission_structure'!$A$11:$I$14,MATCH(Calculations!$E811,'2018_commission_structure'!$A$11:$A$14,0), MATCH(Calculations!Q$1,'2018_commission_structure'!$A$11:$I$11,0)),0)</f>
        <v>0</v>
      </c>
      <c r="R811" s="7">
        <f>IF($H811&gt;K811,MIN($H811-K811,L811-K811)*INDEX('2018_commission_structure'!$A$11:$I$14,MATCH(Calculations!$E811,'2018_commission_structure'!$A$11:$A$14,0), MATCH(Calculations!R$1,'2018_commission_structure'!$A$11:$I$11,0)),0)</f>
        <v>0</v>
      </c>
      <c r="S811" s="7">
        <f>IF(H811&gt;L811,(H811-L811)*INDEX('2018_commission_structure'!$A$11:$I$14,MATCH(Calculations!$E811,'2018_commission_structure'!$A$11:$A$14,0),MATCH(Calculations!S$1,'2018_commission_structure'!$A$11:$I$11,0)),0)</f>
        <v>0</v>
      </c>
      <c r="T811" s="7">
        <f t="shared" si="113"/>
        <v>110023.65</v>
      </c>
      <c r="U811" s="7">
        <f t="shared" si="114"/>
        <v>230396.65</v>
      </c>
      <c r="V811" s="7">
        <f>MIN(H811,I811)*INDEX('2018_commission_structure'!$A$5:$J$8,MATCH(Calculations!$E811,'2018_commission_structure'!$A$5:$A$8,0),MATCH(Calculations!V$1,'2018_commission_structure'!$A$5:$J$5,0))</f>
        <v>110023.65</v>
      </c>
      <c r="W811" s="2">
        <f>IF($H811&gt;I811,MIN($H811-I811,J811-I811)*INDEX('2018_commission_structure'!$A$5:$J$8,MATCH(Calculations!$E811,'2018_commission_structure'!$A$5:$A$8,0),MATCH(Calculations!W$1,'2018_commission_structure'!$A$5:$J$5,0)),0)</f>
        <v>0</v>
      </c>
      <c r="X811" s="2">
        <f>IF($H811&gt;J811,MIN($H811-J811,K811-J811)*INDEX('2018_commission_structure'!$A$5:$J$8,MATCH(Calculations!$E811,'2018_commission_structure'!$A$5:$A$8,0),MATCH(Calculations!X$1,'2018_commission_structure'!$A$5:$J$5,0)),0)</f>
        <v>0</v>
      </c>
      <c r="Y811" s="2">
        <f>IF($H811&gt;K811,MIN($H811-K811,L811-K811)*INDEX('2018_commission_structure'!$A$5:$J$8,MATCH(Calculations!$E811,'2018_commission_structure'!$A$5:$A$8,0),MATCH(Calculations!Y$1,'2018_commission_structure'!$A$5:$J$5,0)),0)</f>
        <v>0</v>
      </c>
      <c r="Z811" s="2">
        <f xml:space="preserve"> IF(H811&gt;L811,(H811-L811)*INDEX('2018_commission_structure'!$A$11:$I$14,MATCH(Calculations!$E811,'2018_commission_structure'!$A$11:$A$14,0),MATCH(Calculations!Z$1,'2018_commission_structure'!$A$11:$I$11,0)),0)</f>
        <v>0</v>
      </c>
      <c r="AA811" s="7">
        <f t="shared" si="115"/>
        <v>110023.65</v>
      </c>
      <c r="AB811" s="7">
        <f t="shared" si="116"/>
        <v>230396.65</v>
      </c>
    </row>
    <row r="812" spans="1:28" x14ac:dyDescent="0.25">
      <c r="A812">
        <v>8519669638</v>
      </c>
      <c r="B812" t="s">
        <v>541</v>
      </c>
      <c r="C812" t="s">
        <v>542</v>
      </c>
      <c r="D812" t="str">
        <f>B812&amp;" "&amp;C812</f>
        <v>Loralyn Scarffe</v>
      </c>
      <c r="E812" t="s">
        <v>29</v>
      </c>
      <c r="F812">
        <v>65035</v>
      </c>
      <c r="G812">
        <f>COUNTIF(deals_closed!D:D,Calculations!A812)</f>
        <v>30</v>
      </c>
      <c r="H812" s="2">
        <f>SUMIF(deals_closed!D:D,Calculations!A812,deals_closed!C:C)</f>
        <v>892426</v>
      </c>
      <c r="I812" s="2">
        <f>VLOOKUP(E812,'2018_commission_structure'!$A$11:$I$14,9,FALSE)</f>
        <v>600000</v>
      </c>
      <c r="J812" s="2">
        <f t="shared" si="108"/>
        <v>750000</v>
      </c>
      <c r="K812" s="2">
        <f t="shared" si="109"/>
        <v>900000</v>
      </c>
      <c r="L812" s="2">
        <f t="shared" si="110"/>
        <v>1200000</v>
      </c>
      <c r="M812" s="6">
        <f t="shared" si="111"/>
        <v>1.4873766666666666</v>
      </c>
      <c r="N812" t="str">
        <f t="shared" si="112"/>
        <v>125-150%</v>
      </c>
      <c r="O812" s="7">
        <f>MIN(I812,H812)*INDEX('2018_commission_structure'!$A$11:$I$14,MATCH(Calculations!$E812,'2018_commission_structure'!$A$11:$A$14,0),MATCH(Calculations!O$1,'2018_commission_structure'!$A$11:$I$11,0))</f>
        <v>78000</v>
      </c>
      <c r="P812" s="7">
        <f>IF($H812&gt;I812,MIN($H812-I812,J812-I812)*INDEX('2018_commission_structure'!$A$11:$I$14,MATCH(Calculations!$E812,'2018_commission_structure'!$A$11:$A$14,0), MATCH(Calculations!P$1,'2018_commission_structure'!$A$11:$I$11,0)),0)</f>
        <v>25500.000000000004</v>
      </c>
      <c r="Q812" s="7">
        <f>IF($H812&gt;J812,MIN($H812-J812,K812-J812)*INDEX('2018_commission_structure'!$A$11:$I$14,MATCH(Calculations!$E812,'2018_commission_structure'!$A$11:$A$14,0), MATCH(Calculations!Q$1,'2018_commission_structure'!$A$11:$I$11,0)),0)</f>
        <v>29909.46</v>
      </c>
      <c r="R812" s="7">
        <f>IF($H812&gt;K812,MIN($H812-K812,L812-K812)*INDEX('2018_commission_structure'!$A$11:$I$14,MATCH(Calculations!$E812,'2018_commission_structure'!$A$11:$A$14,0), MATCH(Calculations!R$1,'2018_commission_structure'!$A$11:$I$11,0)),0)</f>
        <v>0</v>
      </c>
      <c r="S812" s="7">
        <f>IF(H812&gt;L812,(H812-L812)*INDEX('2018_commission_structure'!$A$11:$I$14,MATCH(Calculations!$E812,'2018_commission_structure'!$A$11:$A$14,0),MATCH(Calculations!S$1,'2018_commission_structure'!$A$11:$I$11,0)),0)</f>
        <v>0</v>
      </c>
      <c r="T812" s="7">
        <f t="shared" si="113"/>
        <v>133409.46</v>
      </c>
      <c r="U812" s="7">
        <f t="shared" si="114"/>
        <v>198444.46</v>
      </c>
      <c r="V812" s="7">
        <f>MIN(H812,I812)*INDEX('2018_commission_structure'!$A$5:$J$8,MATCH(Calculations!$E812,'2018_commission_structure'!$A$5:$A$8,0),MATCH(Calculations!V$1,'2018_commission_structure'!$A$5:$J$5,0))</f>
        <v>90000</v>
      </c>
      <c r="W812" s="2">
        <f>IF($H812&gt;I812,MIN($H812-I812,J812-I812)*INDEX('2018_commission_structure'!$A$5:$J$8,MATCH(Calculations!$E812,'2018_commission_structure'!$A$5:$A$8,0),MATCH(Calculations!W$1,'2018_commission_structure'!$A$5:$J$5,0)),0)</f>
        <v>27000</v>
      </c>
      <c r="X812" s="2">
        <f>IF($H812&gt;J812,MIN($H812-J812,K812-J812)*INDEX('2018_commission_structure'!$A$5:$J$8,MATCH(Calculations!$E812,'2018_commission_structure'!$A$5:$A$8,0),MATCH(Calculations!X$1,'2018_commission_structure'!$A$5:$J$5,0)),0)</f>
        <v>35606.5</v>
      </c>
      <c r="Y812" s="2">
        <f>IF($H812&gt;K812,MIN($H812-K812,L812-K812)*INDEX('2018_commission_structure'!$A$5:$J$8,MATCH(Calculations!$E812,'2018_commission_structure'!$A$5:$A$8,0),MATCH(Calculations!Y$1,'2018_commission_structure'!$A$5:$J$5,0)),0)</f>
        <v>0</v>
      </c>
      <c r="Z812" s="2">
        <f xml:space="preserve"> IF(H812&gt;L812,(H812-L812)*INDEX('2018_commission_structure'!$A$11:$I$14,MATCH(Calculations!$E812,'2018_commission_structure'!$A$11:$A$14,0),MATCH(Calculations!Z$1,'2018_commission_structure'!$A$11:$I$11,0)),0)</f>
        <v>0</v>
      </c>
      <c r="AA812" s="7">
        <f t="shared" si="115"/>
        <v>152606.5</v>
      </c>
      <c r="AB812" s="7">
        <f t="shared" si="116"/>
        <v>217641.5</v>
      </c>
    </row>
    <row r="813" spans="1:28" x14ac:dyDescent="0.25">
      <c r="A813">
        <v>8673837456</v>
      </c>
      <c r="B813" t="s">
        <v>1253</v>
      </c>
      <c r="C813" t="s">
        <v>1254</v>
      </c>
      <c r="D813" t="str">
        <f>B813&amp;" "&amp;C813</f>
        <v>Emilio Schimke</v>
      </c>
      <c r="E813" t="s">
        <v>29</v>
      </c>
      <c r="F813">
        <v>72725</v>
      </c>
      <c r="G813">
        <f>COUNTIF(deals_closed!D:D,Calculations!A813)</f>
        <v>18</v>
      </c>
      <c r="H813" s="2">
        <f>SUMIF(deals_closed!D:D,Calculations!A813,deals_closed!C:C)</f>
        <v>580079</v>
      </c>
      <c r="I813" s="2">
        <f>VLOOKUP(E813,'2018_commission_structure'!$A$11:$I$14,9,FALSE)</f>
        <v>600000</v>
      </c>
      <c r="J813" s="2">
        <f t="shared" si="108"/>
        <v>750000</v>
      </c>
      <c r="K813" s="2">
        <f t="shared" si="109"/>
        <v>900000</v>
      </c>
      <c r="L813" s="2">
        <f t="shared" si="110"/>
        <v>1200000</v>
      </c>
      <c r="M813" s="6">
        <f t="shared" si="111"/>
        <v>0.96679833333333332</v>
      </c>
      <c r="N813" t="str">
        <f t="shared" si="112"/>
        <v>0-100%</v>
      </c>
      <c r="O813" s="7">
        <f>MIN(I813,H813)*INDEX('2018_commission_structure'!$A$11:$I$14,MATCH(Calculations!$E813,'2018_commission_structure'!$A$11:$A$14,0),MATCH(Calculations!O$1,'2018_commission_structure'!$A$11:$I$11,0))</f>
        <v>75410.27</v>
      </c>
      <c r="P813" s="7">
        <f>IF($H813&gt;I813,MIN($H813-I813,J813-I813)*INDEX('2018_commission_structure'!$A$11:$I$14,MATCH(Calculations!$E813,'2018_commission_structure'!$A$11:$A$14,0), MATCH(Calculations!P$1,'2018_commission_structure'!$A$11:$I$11,0)),0)</f>
        <v>0</v>
      </c>
      <c r="Q813" s="7">
        <f>IF($H813&gt;J813,MIN($H813-J813,K813-J813)*INDEX('2018_commission_structure'!$A$11:$I$14,MATCH(Calculations!$E813,'2018_commission_structure'!$A$11:$A$14,0), MATCH(Calculations!Q$1,'2018_commission_structure'!$A$11:$I$11,0)),0)</f>
        <v>0</v>
      </c>
      <c r="R813" s="7">
        <f>IF($H813&gt;K813,MIN($H813-K813,L813-K813)*INDEX('2018_commission_structure'!$A$11:$I$14,MATCH(Calculations!$E813,'2018_commission_structure'!$A$11:$A$14,0), MATCH(Calculations!R$1,'2018_commission_structure'!$A$11:$I$11,0)),0)</f>
        <v>0</v>
      </c>
      <c r="S813" s="7">
        <f>IF(H813&gt;L813,(H813-L813)*INDEX('2018_commission_structure'!$A$11:$I$14,MATCH(Calculations!$E813,'2018_commission_structure'!$A$11:$A$14,0),MATCH(Calculations!S$1,'2018_commission_structure'!$A$11:$I$11,0)),0)</f>
        <v>0</v>
      </c>
      <c r="T813" s="7">
        <f t="shared" si="113"/>
        <v>75410.27</v>
      </c>
      <c r="U813" s="7">
        <f t="shared" si="114"/>
        <v>148135.27000000002</v>
      </c>
      <c r="V813" s="7">
        <f>MIN(H813,I813)*INDEX('2018_commission_structure'!$A$5:$J$8,MATCH(Calculations!$E813,'2018_commission_structure'!$A$5:$A$8,0),MATCH(Calculations!V$1,'2018_commission_structure'!$A$5:$J$5,0))</f>
        <v>87011.849999999991</v>
      </c>
      <c r="W813" s="2">
        <f>IF($H813&gt;I813,MIN($H813-I813,J813-I813)*INDEX('2018_commission_structure'!$A$5:$J$8,MATCH(Calculations!$E813,'2018_commission_structure'!$A$5:$A$8,0),MATCH(Calculations!W$1,'2018_commission_structure'!$A$5:$J$5,0)),0)</f>
        <v>0</v>
      </c>
      <c r="X813" s="2">
        <f>IF($H813&gt;J813,MIN($H813-J813,K813-J813)*INDEX('2018_commission_structure'!$A$5:$J$8,MATCH(Calculations!$E813,'2018_commission_structure'!$A$5:$A$8,0),MATCH(Calculations!X$1,'2018_commission_structure'!$A$5:$J$5,0)),0)</f>
        <v>0</v>
      </c>
      <c r="Y813" s="2">
        <f>IF($H813&gt;K813,MIN($H813-K813,L813-K813)*INDEX('2018_commission_structure'!$A$5:$J$8,MATCH(Calculations!$E813,'2018_commission_structure'!$A$5:$A$8,0),MATCH(Calculations!Y$1,'2018_commission_structure'!$A$5:$J$5,0)),0)</f>
        <v>0</v>
      </c>
      <c r="Z813" s="2">
        <f xml:space="preserve"> IF(H813&gt;L813,(H813-L813)*INDEX('2018_commission_structure'!$A$11:$I$14,MATCH(Calculations!$E813,'2018_commission_structure'!$A$11:$A$14,0),MATCH(Calculations!Z$1,'2018_commission_structure'!$A$11:$I$11,0)),0)</f>
        <v>0</v>
      </c>
      <c r="AA813" s="7">
        <f t="shared" si="115"/>
        <v>87011.849999999991</v>
      </c>
      <c r="AB813" s="7">
        <f t="shared" si="116"/>
        <v>159736.84999999998</v>
      </c>
    </row>
    <row r="814" spans="1:28" x14ac:dyDescent="0.25">
      <c r="A814">
        <v>1469328364</v>
      </c>
      <c r="B814" t="s">
        <v>351</v>
      </c>
      <c r="C814" t="s">
        <v>352</v>
      </c>
      <c r="D814" t="str">
        <f>B814&amp;" "&amp;C814</f>
        <v>Shelley Schuh</v>
      </c>
      <c r="E814" t="s">
        <v>10</v>
      </c>
      <c r="F814">
        <v>82805</v>
      </c>
      <c r="G814">
        <f>COUNTIF(deals_closed!D:D,Calculations!A814)</f>
        <v>23</v>
      </c>
      <c r="H814" s="2">
        <f>SUMIF(deals_closed!D:D,Calculations!A814,deals_closed!C:C)</f>
        <v>924403</v>
      </c>
      <c r="I814" s="2">
        <f>VLOOKUP(E814,'2018_commission_structure'!$A$11:$I$14,9,FALSE)</f>
        <v>750000</v>
      </c>
      <c r="J814" s="2">
        <f t="shared" si="108"/>
        <v>937500</v>
      </c>
      <c r="K814" s="2">
        <f t="shared" si="109"/>
        <v>1125000</v>
      </c>
      <c r="L814" s="2">
        <f t="shared" si="110"/>
        <v>1500000</v>
      </c>
      <c r="M814" s="6">
        <f t="shared" si="111"/>
        <v>1.2325373333333334</v>
      </c>
      <c r="N814" t="str">
        <f t="shared" si="112"/>
        <v>100-125%</v>
      </c>
      <c r="O814" s="7">
        <f>MIN(I814,H814)*INDEX('2018_commission_structure'!$A$11:$I$14,MATCH(Calculations!$E814,'2018_commission_structure'!$A$11:$A$14,0),MATCH(Calculations!O$1,'2018_commission_structure'!$A$11:$I$11,0))</f>
        <v>112500</v>
      </c>
      <c r="P814" s="7">
        <f>IF($H814&gt;I814,MIN($H814-I814,J814-I814)*INDEX('2018_commission_structure'!$A$11:$I$14,MATCH(Calculations!$E814,'2018_commission_structure'!$A$11:$A$14,0), MATCH(Calculations!P$1,'2018_commission_structure'!$A$11:$I$11,0)),0)</f>
        <v>33136.57</v>
      </c>
      <c r="Q814" s="7">
        <f>IF($H814&gt;J814,MIN($H814-J814,K814-J814)*INDEX('2018_commission_structure'!$A$11:$I$14,MATCH(Calculations!$E814,'2018_commission_structure'!$A$11:$A$14,0), MATCH(Calculations!Q$1,'2018_commission_structure'!$A$11:$I$11,0)),0)</f>
        <v>0</v>
      </c>
      <c r="R814" s="7">
        <f>IF($H814&gt;K814,MIN($H814-K814,L814-K814)*INDEX('2018_commission_structure'!$A$11:$I$14,MATCH(Calculations!$E814,'2018_commission_structure'!$A$11:$A$14,0), MATCH(Calculations!R$1,'2018_commission_structure'!$A$11:$I$11,0)),0)</f>
        <v>0</v>
      </c>
      <c r="S814" s="7">
        <f>IF(H814&gt;L814,(H814-L814)*INDEX('2018_commission_structure'!$A$11:$I$14,MATCH(Calculations!$E814,'2018_commission_structure'!$A$11:$A$14,0),MATCH(Calculations!S$1,'2018_commission_structure'!$A$11:$I$11,0)),0)</f>
        <v>0</v>
      </c>
      <c r="T814" s="7">
        <f t="shared" si="113"/>
        <v>145636.57</v>
      </c>
      <c r="U814" s="7">
        <f t="shared" si="114"/>
        <v>228441.57</v>
      </c>
      <c r="V814" s="7">
        <f>MIN(H814,I814)*INDEX('2018_commission_structure'!$A$5:$J$8,MATCH(Calculations!$E814,'2018_commission_structure'!$A$5:$A$8,0),MATCH(Calculations!V$1,'2018_commission_structure'!$A$5:$J$5,0))</f>
        <v>112500</v>
      </c>
      <c r="W814" s="2">
        <f>IF($H814&gt;I814,MIN($H814-I814,J814-I814)*INDEX('2018_commission_structure'!$A$5:$J$8,MATCH(Calculations!$E814,'2018_commission_structure'!$A$5:$A$8,0),MATCH(Calculations!W$1,'2018_commission_structure'!$A$5:$J$5,0)),0)</f>
        <v>38368.660000000003</v>
      </c>
      <c r="X814" s="2">
        <f>IF($H814&gt;J814,MIN($H814-J814,K814-J814)*INDEX('2018_commission_structure'!$A$5:$J$8,MATCH(Calculations!$E814,'2018_commission_structure'!$A$5:$A$8,0),MATCH(Calculations!X$1,'2018_commission_structure'!$A$5:$J$5,0)),0)</f>
        <v>0</v>
      </c>
      <c r="Y814" s="2">
        <f>IF($H814&gt;K814,MIN($H814-K814,L814-K814)*INDEX('2018_commission_structure'!$A$5:$J$8,MATCH(Calculations!$E814,'2018_commission_structure'!$A$5:$A$8,0),MATCH(Calculations!Y$1,'2018_commission_structure'!$A$5:$J$5,0)),0)</f>
        <v>0</v>
      </c>
      <c r="Z814" s="2">
        <f xml:space="preserve"> IF(H814&gt;L814,(H814-L814)*INDEX('2018_commission_structure'!$A$11:$I$14,MATCH(Calculations!$E814,'2018_commission_structure'!$A$11:$A$14,0),MATCH(Calculations!Z$1,'2018_commission_structure'!$A$11:$I$11,0)),0)</f>
        <v>0</v>
      </c>
      <c r="AA814" s="7">
        <f t="shared" si="115"/>
        <v>150868.66</v>
      </c>
      <c r="AB814" s="7">
        <f t="shared" si="116"/>
        <v>233673.66</v>
      </c>
    </row>
    <row r="815" spans="1:28" x14ac:dyDescent="0.25">
      <c r="A815">
        <v>3497169404</v>
      </c>
      <c r="B815" t="s">
        <v>446</v>
      </c>
      <c r="C815" t="s">
        <v>447</v>
      </c>
      <c r="D815" t="str">
        <f>B815&amp;" "&amp;C815</f>
        <v>Myles Scoggans</v>
      </c>
      <c r="E815" t="s">
        <v>10</v>
      </c>
      <c r="F815">
        <v>89522</v>
      </c>
      <c r="G815">
        <f>COUNTIF(deals_closed!D:D,Calculations!A815)</f>
        <v>19</v>
      </c>
      <c r="H815" s="2">
        <f>SUMIF(deals_closed!D:D,Calculations!A815,deals_closed!C:C)</f>
        <v>700830</v>
      </c>
      <c r="I815" s="2">
        <f>VLOOKUP(E815,'2018_commission_structure'!$A$11:$I$14,9,FALSE)</f>
        <v>750000</v>
      </c>
      <c r="J815" s="2">
        <f t="shared" si="108"/>
        <v>937500</v>
      </c>
      <c r="K815" s="2">
        <f t="shared" si="109"/>
        <v>1125000</v>
      </c>
      <c r="L815" s="2">
        <f t="shared" si="110"/>
        <v>1500000</v>
      </c>
      <c r="M815" s="6">
        <f t="shared" si="111"/>
        <v>0.93444000000000005</v>
      </c>
      <c r="N815" t="str">
        <f t="shared" si="112"/>
        <v>0-100%</v>
      </c>
      <c r="O815" s="7">
        <f>MIN(I815,H815)*INDEX('2018_commission_structure'!$A$11:$I$14,MATCH(Calculations!$E815,'2018_commission_structure'!$A$11:$A$14,0),MATCH(Calculations!O$1,'2018_commission_structure'!$A$11:$I$11,0))</f>
        <v>105124.5</v>
      </c>
      <c r="P815" s="7">
        <f>IF($H815&gt;I815,MIN($H815-I815,J815-I815)*INDEX('2018_commission_structure'!$A$11:$I$14,MATCH(Calculations!$E815,'2018_commission_structure'!$A$11:$A$14,0), MATCH(Calculations!P$1,'2018_commission_structure'!$A$11:$I$11,0)),0)</f>
        <v>0</v>
      </c>
      <c r="Q815" s="7">
        <f>IF($H815&gt;J815,MIN($H815-J815,K815-J815)*INDEX('2018_commission_structure'!$A$11:$I$14,MATCH(Calculations!$E815,'2018_commission_structure'!$A$11:$A$14,0), MATCH(Calculations!Q$1,'2018_commission_structure'!$A$11:$I$11,0)),0)</f>
        <v>0</v>
      </c>
      <c r="R815" s="7">
        <f>IF($H815&gt;K815,MIN($H815-K815,L815-K815)*INDEX('2018_commission_structure'!$A$11:$I$14,MATCH(Calculations!$E815,'2018_commission_structure'!$A$11:$A$14,0), MATCH(Calculations!R$1,'2018_commission_structure'!$A$11:$I$11,0)),0)</f>
        <v>0</v>
      </c>
      <c r="S815" s="7">
        <f>IF(H815&gt;L815,(H815-L815)*INDEX('2018_commission_structure'!$A$11:$I$14,MATCH(Calculations!$E815,'2018_commission_structure'!$A$11:$A$14,0),MATCH(Calculations!S$1,'2018_commission_structure'!$A$11:$I$11,0)),0)</f>
        <v>0</v>
      </c>
      <c r="T815" s="7">
        <f t="shared" si="113"/>
        <v>105124.5</v>
      </c>
      <c r="U815" s="7">
        <f t="shared" si="114"/>
        <v>194646.5</v>
      </c>
      <c r="V815" s="7">
        <f>MIN(H815,I815)*INDEX('2018_commission_structure'!$A$5:$J$8,MATCH(Calculations!$E815,'2018_commission_structure'!$A$5:$A$8,0),MATCH(Calculations!V$1,'2018_commission_structure'!$A$5:$J$5,0))</f>
        <v>105124.5</v>
      </c>
      <c r="W815" s="2">
        <f>IF($H815&gt;I815,MIN($H815-I815,J815-I815)*INDEX('2018_commission_structure'!$A$5:$J$8,MATCH(Calculations!$E815,'2018_commission_structure'!$A$5:$A$8,0),MATCH(Calculations!W$1,'2018_commission_structure'!$A$5:$J$5,0)),0)</f>
        <v>0</v>
      </c>
      <c r="X815" s="2">
        <f>IF($H815&gt;J815,MIN($H815-J815,K815-J815)*INDEX('2018_commission_structure'!$A$5:$J$8,MATCH(Calculations!$E815,'2018_commission_structure'!$A$5:$A$8,0),MATCH(Calculations!X$1,'2018_commission_structure'!$A$5:$J$5,0)),0)</f>
        <v>0</v>
      </c>
      <c r="Y815" s="2">
        <f>IF($H815&gt;K815,MIN($H815-K815,L815-K815)*INDEX('2018_commission_structure'!$A$5:$J$8,MATCH(Calculations!$E815,'2018_commission_structure'!$A$5:$A$8,0),MATCH(Calculations!Y$1,'2018_commission_structure'!$A$5:$J$5,0)),0)</f>
        <v>0</v>
      </c>
      <c r="Z815" s="2">
        <f xml:space="preserve"> IF(H815&gt;L815,(H815-L815)*INDEX('2018_commission_structure'!$A$11:$I$14,MATCH(Calculations!$E815,'2018_commission_structure'!$A$11:$A$14,0),MATCH(Calculations!Z$1,'2018_commission_structure'!$A$11:$I$11,0)),0)</f>
        <v>0</v>
      </c>
      <c r="AA815" s="7">
        <f t="shared" si="115"/>
        <v>105124.5</v>
      </c>
      <c r="AB815" s="7">
        <f t="shared" si="116"/>
        <v>194646.5</v>
      </c>
    </row>
    <row r="816" spans="1:28" x14ac:dyDescent="0.25">
      <c r="A816">
        <v>8204786093</v>
      </c>
      <c r="B816" t="s">
        <v>1638</v>
      </c>
      <c r="C816" t="s">
        <v>1639</v>
      </c>
      <c r="D816" t="str">
        <f>B816&amp;" "&amp;C816</f>
        <v>Kev Scogin</v>
      </c>
      <c r="E816" t="s">
        <v>10</v>
      </c>
      <c r="F816">
        <v>96492</v>
      </c>
      <c r="G816">
        <f>COUNTIF(deals_closed!D:D,Calculations!A816)</f>
        <v>21</v>
      </c>
      <c r="H816" s="2">
        <f>SUMIF(deals_closed!D:D,Calculations!A816,deals_closed!C:C)</f>
        <v>675470</v>
      </c>
      <c r="I816" s="2">
        <f>VLOOKUP(E816,'2018_commission_structure'!$A$11:$I$14,9,FALSE)</f>
        <v>750000</v>
      </c>
      <c r="J816" s="2">
        <f t="shared" si="108"/>
        <v>937500</v>
      </c>
      <c r="K816" s="2">
        <f t="shared" si="109"/>
        <v>1125000</v>
      </c>
      <c r="L816" s="2">
        <f t="shared" si="110"/>
        <v>1500000</v>
      </c>
      <c r="M816" s="6">
        <f t="shared" si="111"/>
        <v>0.90062666666666669</v>
      </c>
      <c r="N816" t="str">
        <f t="shared" si="112"/>
        <v>0-100%</v>
      </c>
      <c r="O816" s="7">
        <f>MIN(I816,H816)*INDEX('2018_commission_structure'!$A$11:$I$14,MATCH(Calculations!$E816,'2018_commission_structure'!$A$11:$A$14,0),MATCH(Calculations!O$1,'2018_commission_structure'!$A$11:$I$11,0))</f>
        <v>101320.5</v>
      </c>
      <c r="P816" s="7">
        <f>IF($H816&gt;I816,MIN($H816-I816,J816-I816)*INDEX('2018_commission_structure'!$A$11:$I$14,MATCH(Calculations!$E816,'2018_commission_structure'!$A$11:$A$14,0), MATCH(Calculations!P$1,'2018_commission_structure'!$A$11:$I$11,0)),0)</f>
        <v>0</v>
      </c>
      <c r="Q816" s="7">
        <f>IF($H816&gt;J816,MIN($H816-J816,K816-J816)*INDEX('2018_commission_structure'!$A$11:$I$14,MATCH(Calculations!$E816,'2018_commission_structure'!$A$11:$A$14,0), MATCH(Calculations!Q$1,'2018_commission_structure'!$A$11:$I$11,0)),0)</f>
        <v>0</v>
      </c>
      <c r="R816" s="7">
        <f>IF($H816&gt;K816,MIN($H816-K816,L816-K816)*INDEX('2018_commission_structure'!$A$11:$I$14,MATCH(Calculations!$E816,'2018_commission_structure'!$A$11:$A$14,0), MATCH(Calculations!R$1,'2018_commission_structure'!$A$11:$I$11,0)),0)</f>
        <v>0</v>
      </c>
      <c r="S816" s="7">
        <f>IF(H816&gt;L816,(H816-L816)*INDEX('2018_commission_structure'!$A$11:$I$14,MATCH(Calculations!$E816,'2018_commission_structure'!$A$11:$A$14,0),MATCH(Calculations!S$1,'2018_commission_structure'!$A$11:$I$11,0)),0)</f>
        <v>0</v>
      </c>
      <c r="T816" s="7">
        <f t="shared" si="113"/>
        <v>101320.5</v>
      </c>
      <c r="U816" s="7">
        <f t="shared" si="114"/>
        <v>197812.5</v>
      </c>
      <c r="V816" s="7">
        <f>MIN(H816,I816)*INDEX('2018_commission_structure'!$A$5:$J$8,MATCH(Calculations!$E816,'2018_commission_structure'!$A$5:$A$8,0),MATCH(Calculations!V$1,'2018_commission_structure'!$A$5:$J$5,0))</f>
        <v>101320.5</v>
      </c>
      <c r="W816" s="2">
        <f>IF($H816&gt;I816,MIN($H816-I816,J816-I816)*INDEX('2018_commission_structure'!$A$5:$J$8,MATCH(Calculations!$E816,'2018_commission_structure'!$A$5:$A$8,0),MATCH(Calculations!W$1,'2018_commission_structure'!$A$5:$J$5,0)),0)</f>
        <v>0</v>
      </c>
      <c r="X816" s="2">
        <f>IF($H816&gt;J816,MIN($H816-J816,K816-J816)*INDEX('2018_commission_structure'!$A$5:$J$8,MATCH(Calculations!$E816,'2018_commission_structure'!$A$5:$A$8,0),MATCH(Calculations!X$1,'2018_commission_structure'!$A$5:$J$5,0)),0)</f>
        <v>0</v>
      </c>
      <c r="Y816" s="2">
        <f>IF($H816&gt;K816,MIN($H816-K816,L816-K816)*INDEX('2018_commission_structure'!$A$5:$J$8,MATCH(Calculations!$E816,'2018_commission_structure'!$A$5:$A$8,0),MATCH(Calculations!Y$1,'2018_commission_structure'!$A$5:$J$5,0)),0)</f>
        <v>0</v>
      </c>
      <c r="Z816" s="2">
        <f xml:space="preserve"> IF(H816&gt;L816,(H816-L816)*INDEX('2018_commission_structure'!$A$11:$I$14,MATCH(Calculations!$E816,'2018_commission_structure'!$A$11:$A$14,0),MATCH(Calculations!Z$1,'2018_commission_structure'!$A$11:$I$11,0)),0)</f>
        <v>0</v>
      </c>
      <c r="AA816" s="7">
        <f t="shared" si="115"/>
        <v>101320.5</v>
      </c>
      <c r="AB816" s="7">
        <f t="shared" si="116"/>
        <v>197812.5</v>
      </c>
    </row>
    <row r="817" spans="1:28" x14ac:dyDescent="0.25">
      <c r="A817">
        <v>4342145855</v>
      </c>
      <c r="B817" t="s">
        <v>1823</v>
      </c>
      <c r="C817" t="s">
        <v>1824</v>
      </c>
      <c r="D817" t="str">
        <f>B817&amp;" "&amp;C817</f>
        <v>Ediva Screase</v>
      </c>
      <c r="E817" t="s">
        <v>29</v>
      </c>
      <c r="F817">
        <v>51029</v>
      </c>
      <c r="G817">
        <f>COUNTIF(deals_closed!D:D,Calculations!A817)</f>
        <v>25</v>
      </c>
      <c r="H817" s="2">
        <f>SUMIF(deals_closed!D:D,Calculations!A817,deals_closed!C:C)</f>
        <v>847244</v>
      </c>
      <c r="I817" s="2">
        <f>VLOOKUP(E817,'2018_commission_structure'!$A$11:$I$14,9,FALSE)</f>
        <v>600000</v>
      </c>
      <c r="J817" s="2">
        <f t="shared" si="108"/>
        <v>750000</v>
      </c>
      <c r="K817" s="2">
        <f t="shared" si="109"/>
        <v>900000</v>
      </c>
      <c r="L817" s="2">
        <f t="shared" si="110"/>
        <v>1200000</v>
      </c>
      <c r="M817" s="6">
        <f t="shared" si="111"/>
        <v>1.4120733333333333</v>
      </c>
      <c r="N817" t="str">
        <f t="shared" si="112"/>
        <v>125-150%</v>
      </c>
      <c r="O817" s="7">
        <f>MIN(I817,H817)*INDEX('2018_commission_structure'!$A$11:$I$14,MATCH(Calculations!$E817,'2018_commission_structure'!$A$11:$A$14,0),MATCH(Calculations!O$1,'2018_commission_structure'!$A$11:$I$11,0))</f>
        <v>78000</v>
      </c>
      <c r="P817" s="7">
        <f>IF($H817&gt;I817,MIN($H817-I817,J817-I817)*INDEX('2018_commission_structure'!$A$11:$I$14,MATCH(Calculations!$E817,'2018_commission_structure'!$A$11:$A$14,0), MATCH(Calculations!P$1,'2018_commission_structure'!$A$11:$I$11,0)),0)</f>
        <v>25500.000000000004</v>
      </c>
      <c r="Q817" s="7">
        <f>IF($H817&gt;J817,MIN($H817-J817,K817-J817)*INDEX('2018_commission_structure'!$A$11:$I$14,MATCH(Calculations!$E817,'2018_commission_structure'!$A$11:$A$14,0), MATCH(Calculations!Q$1,'2018_commission_structure'!$A$11:$I$11,0)),0)</f>
        <v>20421.239999999998</v>
      </c>
      <c r="R817" s="7">
        <f>IF($H817&gt;K817,MIN($H817-K817,L817-K817)*INDEX('2018_commission_structure'!$A$11:$I$14,MATCH(Calculations!$E817,'2018_commission_structure'!$A$11:$A$14,0), MATCH(Calculations!R$1,'2018_commission_structure'!$A$11:$I$11,0)),0)</f>
        <v>0</v>
      </c>
      <c r="S817" s="7">
        <f>IF(H817&gt;L817,(H817-L817)*INDEX('2018_commission_structure'!$A$11:$I$14,MATCH(Calculations!$E817,'2018_commission_structure'!$A$11:$A$14,0),MATCH(Calculations!S$1,'2018_commission_structure'!$A$11:$I$11,0)),0)</f>
        <v>0</v>
      </c>
      <c r="T817" s="7">
        <f t="shared" si="113"/>
        <v>123921.23999999999</v>
      </c>
      <c r="U817" s="7">
        <f t="shared" si="114"/>
        <v>174950.24</v>
      </c>
      <c r="V817" s="7">
        <f>MIN(H817,I817)*INDEX('2018_commission_structure'!$A$5:$J$8,MATCH(Calculations!$E817,'2018_commission_structure'!$A$5:$A$8,0),MATCH(Calculations!V$1,'2018_commission_structure'!$A$5:$J$5,0))</f>
        <v>90000</v>
      </c>
      <c r="W817" s="2">
        <f>IF($H817&gt;I817,MIN($H817-I817,J817-I817)*INDEX('2018_commission_structure'!$A$5:$J$8,MATCH(Calculations!$E817,'2018_commission_structure'!$A$5:$A$8,0),MATCH(Calculations!W$1,'2018_commission_structure'!$A$5:$J$5,0)),0)</f>
        <v>27000</v>
      </c>
      <c r="X817" s="2">
        <f>IF($H817&gt;J817,MIN($H817-J817,K817-J817)*INDEX('2018_commission_structure'!$A$5:$J$8,MATCH(Calculations!$E817,'2018_commission_structure'!$A$5:$A$8,0),MATCH(Calculations!X$1,'2018_commission_structure'!$A$5:$J$5,0)),0)</f>
        <v>24311</v>
      </c>
      <c r="Y817" s="2">
        <f>IF($H817&gt;K817,MIN($H817-K817,L817-K817)*INDEX('2018_commission_structure'!$A$5:$J$8,MATCH(Calculations!$E817,'2018_commission_structure'!$A$5:$A$8,0),MATCH(Calculations!Y$1,'2018_commission_structure'!$A$5:$J$5,0)),0)</f>
        <v>0</v>
      </c>
      <c r="Z817" s="2">
        <f xml:space="preserve"> IF(H817&gt;L817,(H817-L817)*INDEX('2018_commission_structure'!$A$11:$I$14,MATCH(Calculations!$E817,'2018_commission_structure'!$A$11:$A$14,0),MATCH(Calculations!Z$1,'2018_commission_structure'!$A$11:$I$11,0)),0)</f>
        <v>0</v>
      </c>
      <c r="AA817" s="7">
        <f t="shared" si="115"/>
        <v>141311</v>
      </c>
      <c r="AB817" s="7">
        <f t="shared" si="116"/>
        <v>192340</v>
      </c>
    </row>
    <row r="818" spans="1:28" x14ac:dyDescent="0.25">
      <c r="A818">
        <v>397599129</v>
      </c>
      <c r="B818" t="s">
        <v>1785</v>
      </c>
      <c r="C818" t="s">
        <v>1786</v>
      </c>
      <c r="D818" t="str">
        <f>B818&amp;" "&amp;C818</f>
        <v>Netti Scullion</v>
      </c>
      <c r="E818" t="s">
        <v>7</v>
      </c>
      <c r="F818">
        <v>32665</v>
      </c>
      <c r="G818">
        <f>COUNTIF(deals_closed!D:D,Calculations!A818)</f>
        <v>20</v>
      </c>
      <c r="H818" s="2">
        <f>SUMIF(deals_closed!D:D,Calculations!A818,deals_closed!C:C)</f>
        <v>684528</v>
      </c>
      <c r="I818" s="2">
        <f>VLOOKUP(E818,'2018_commission_structure'!$A$11:$I$14,9,FALSE)</f>
        <v>500000</v>
      </c>
      <c r="J818" s="2">
        <f t="shared" si="108"/>
        <v>625000</v>
      </c>
      <c r="K818" s="2">
        <f t="shared" si="109"/>
        <v>750000</v>
      </c>
      <c r="L818" s="2">
        <f t="shared" si="110"/>
        <v>1000000</v>
      </c>
      <c r="M818" s="6">
        <f t="shared" si="111"/>
        <v>1.3690560000000001</v>
      </c>
      <c r="N818" t="str">
        <f t="shared" si="112"/>
        <v>125-150%</v>
      </c>
      <c r="O818" s="7">
        <f>MIN(I818,H818)*INDEX('2018_commission_structure'!$A$11:$I$14,MATCH(Calculations!$E818,'2018_commission_structure'!$A$11:$A$14,0),MATCH(Calculations!O$1,'2018_commission_structure'!$A$11:$I$11,0))</f>
        <v>50000</v>
      </c>
      <c r="P818" s="7">
        <f>IF($H818&gt;I818,MIN($H818-I818,J818-I818)*INDEX('2018_commission_structure'!$A$11:$I$14,MATCH(Calculations!$E818,'2018_commission_structure'!$A$11:$A$14,0), MATCH(Calculations!P$1,'2018_commission_structure'!$A$11:$I$11,0)),0)</f>
        <v>18750</v>
      </c>
      <c r="Q818" s="7">
        <f>IF($H818&gt;J818,MIN($H818-J818,K818-J818)*INDEX('2018_commission_structure'!$A$11:$I$14,MATCH(Calculations!$E818,'2018_commission_structure'!$A$11:$A$14,0), MATCH(Calculations!Q$1,'2018_commission_structure'!$A$11:$I$11,0)),0)</f>
        <v>10715.039999999999</v>
      </c>
      <c r="R818" s="7">
        <f>IF($H818&gt;K818,MIN($H818-K818,L818-K818)*INDEX('2018_commission_structure'!$A$11:$I$14,MATCH(Calculations!$E818,'2018_commission_structure'!$A$11:$A$14,0), MATCH(Calculations!R$1,'2018_commission_structure'!$A$11:$I$11,0)),0)</f>
        <v>0</v>
      </c>
      <c r="S818" s="7">
        <f>IF(H818&gt;L818,(H818-L818)*INDEX('2018_commission_structure'!$A$11:$I$14,MATCH(Calculations!$E818,'2018_commission_structure'!$A$11:$A$14,0),MATCH(Calculations!S$1,'2018_commission_structure'!$A$11:$I$11,0)),0)</f>
        <v>0</v>
      </c>
      <c r="T818" s="7">
        <f t="shared" si="113"/>
        <v>79465.039999999994</v>
      </c>
      <c r="U818" s="7">
        <f t="shared" si="114"/>
        <v>112130.04</v>
      </c>
      <c r="V818" s="7">
        <f>MIN(H818,I818)*INDEX('2018_commission_structure'!$A$5:$J$8,MATCH(Calculations!$E818,'2018_commission_structure'!$A$5:$A$8,0),MATCH(Calculations!V$1,'2018_commission_structure'!$A$5:$J$5,0))</f>
        <v>60000</v>
      </c>
      <c r="W818" s="2">
        <f>IF($H818&gt;I818,MIN($H818-I818,J818-I818)*INDEX('2018_commission_structure'!$A$5:$J$8,MATCH(Calculations!$E818,'2018_commission_structure'!$A$5:$A$8,0),MATCH(Calculations!W$1,'2018_commission_structure'!$A$5:$J$5,0)),0)</f>
        <v>21250</v>
      </c>
      <c r="X818" s="2">
        <f>IF($H818&gt;J818,MIN($H818-J818,K818-J818)*INDEX('2018_commission_structure'!$A$5:$J$8,MATCH(Calculations!$E818,'2018_commission_structure'!$A$5:$A$8,0),MATCH(Calculations!X$1,'2018_commission_structure'!$A$5:$J$5,0)),0)</f>
        <v>11905.6</v>
      </c>
      <c r="Y818" s="2">
        <f>IF($H818&gt;K818,MIN($H818-K818,L818-K818)*INDEX('2018_commission_structure'!$A$5:$J$8,MATCH(Calculations!$E818,'2018_commission_structure'!$A$5:$A$8,0),MATCH(Calculations!Y$1,'2018_commission_structure'!$A$5:$J$5,0)),0)</f>
        <v>0</v>
      </c>
      <c r="Z818" s="2">
        <f xml:space="preserve"> IF(H818&gt;L818,(H818-L818)*INDEX('2018_commission_structure'!$A$11:$I$14,MATCH(Calculations!$E818,'2018_commission_structure'!$A$11:$A$14,0),MATCH(Calculations!Z$1,'2018_commission_structure'!$A$11:$I$11,0)),0)</f>
        <v>0</v>
      </c>
      <c r="AA818" s="7">
        <f t="shared" si="115"/>
        <v>93155.6</v>
      </c>
      <c r="AB818" s="7">
        <f t="shared" si="116"/>
        <v>125820.6</v>
      </c>
    </row>
    <row r="819" spans="1:28" x14ac:dyDescent="0.25">
      <c r="A819">
        <v>6009848660</v>
      </c>
      <c r="B819" t="s">
        <v>1296</v>
      </c>
      <c r="C819" t="s">
        <v>1297</v>
      </c>
      <c r="D819" t="str">
        <f>B819&amp;" "&amp;C819</f>
        <v>Madella Seabert</v>
      </c>
      <c r="E819" t="s">
        <v>10</v>
      </c>
      <c r="F819">
        <v>97912</v>
      </c>
      <c r="G819">
        <f>COUNTIF(deals_closed!D:D,Calculations!A819)</f>
        <v>25</v>
      </c>
      <c r="H819" s="2">
        <f>SUMIF(deals_closed!D:D,Calculations!A819,deals_closed!C:C)</f>
        <v>961796</v>
      </c>
      <c r="I819" s="2">
        <f>VLOOKUP(E819,'2018_commission_structure'!$A$11:$I$14,9,FALSE)</f>
        <v>750000</v>
      </c>
      <c r="J819" s="2">
        <f t="shared" si="108"/>
        <v>937500</v>
      </c>
      <c r="K819" s="2">
        <f t="shared" si="109"/>
        <v>1125000</v>
      </c>
      <c r="L819" s="2">
        <f t="shared" si="110"/>
        <v>1500000</v>
      </c>
      <c r="M819" s="6">
        <f t="shared" si="111"/>
        <v>1.2823946666666666</v>
      </c>
      <c r="N819" t="str">
        <f t="shared" si="112"/>
        <v>125-150%</v>
      </c>
      <c r="O819" s="7">
        <f>MIN(I819,H819)*INDEX('2018_commission_structure'!$A$11:$I$14,MATCH(Calculations!$E819,'2018_commission_structure'!$A$11:$A$14,0),MATCH(Calculations!O$1,'2018_commission_structure'!$A$11:$I$11,0))</f>
        <v>112500</v>
      </c>
      <c r="P819" s="7">
        <f>IF($H819&gt;I819,MIN($H819-I819,J819-I819)*INDEX('2018_commission_structure'!$A$11:$I$14,MATCH(Calculations!$E819,'2018_commission_structure'!$A$11:$A$14,0), MATCH(Calculations!P$1,'2018_commission_structure'!$A$11:$I$11,0)),0)</f>
        <v>35625</v>
      </c>
      <c r="Q819" s="7">
        <f>IF($H819&gt;J819,MIN($H819-J819,K819-J819)*INDEX('2018_commission_structure'!$A$11:$I$14,MATCH(Calculations!$E819,'2018_commission_structure'!$A$11:$A$14,0), MATCH(Calculations!Q$1,'2018_commission_structure'!$A$11:$I$11,0)),0)</f>
        <v>5588.08</v>
      </c>
      <c r="R819" s="7">
        <f>IF($H819&gt;K819,MIN($H819-K819,L819-K819)*INDEX('2018_commission_structure'!$A$11:$I$14,MATCH(Calculations!$E819,'2018_commission_structure'!$A$11:$A$14,0), MATCH(Calculations!R$1,'2018_commission_structure'!$A$11:$I$11,0)),0)</f>
        <v>0</v>
      </c>
      <c r="S819" s="7">
        <f>IF(H819&gt;L819,(H819-L819)*INDEX('2018_commission_structure'!$A$11:$I$14,MATCH(Calculations!$E819,'2018_commission_structure'!$A$11:$A$14,0),MATCH(Calculations!S$1,'2018_commission_structure'!$A$11:$I$11,0)),0)</f>
        <v>0</v>
      </c>
      <c r="T819" s="7">
        <f t="shared" si="113"/>
        <v>153713.07999999999</v>
      </c>
      <c r="U819" s="7">
        <f t="shared" si="114"/>
        <v>251625.08</v>
      </c>
      <c r="V819" s="7">
        <f>MIN(H819,I819)*INDEX('2018_commission_structure'!$A$5:$J$8,MATCH(Calculations!$E819,'2018_commission_structure'!$A$5:$A$8,0),MATCH(Calculations!V$1,'2018_commission_structure'!$A$5:$J$5,0))</f>
        <v>112500</v>
      </c>
      <c r="W819" s="2">
        <f>IF($H819&gt;I819,MIN($H819-I819,J819-I819)*INDEX('2018_commission_structure'!$A$5:$J$8,MATCH(Calculations!$E819,'2018_commission_structure'!$A$5:$A$8,0),MATCH(Calculations!W$1,'2018_commission_structure'!$A$5:$J$5,0)),0)</f>
        <v>41250</v>
      </c>
      <c r="X819" s="2">
        <f>IF($H819&gt;J819,MIN($H819-J819,K819-J819)*INDEX('2018_commission_structure'!$A$5:$J$8,MATCH(Calculations!$E819,'2018_commission_structure'!$A$5:$A$8,0),MATCH(Calculations!X$1,'2018_commission_structure'!$A$5:$J$5,0)),0)</f>
        <v>6074</v>
      </c>
      <c r="Y819" s="2">
        <f>IF($H819&gt;K819,MIN($H819-K819,L819-K819)*INDEX('2018_commission_structure'!$A$5:$J$8,MATCH(Calculations!$E819,'2018_commission_structure'!$A$5:$A$8,0),MATCH(Calculations!Y$1,'2018_commission_structure'!$A$5:$J$5,0)),0)</f>
        <v>0</v>
      </c>
      <c r="Z819" s="2">
        <f xml:space="preserve"> IF(H819&gt;L819,(H819-L819)*INDEX('2018_commission_structure'!$A$11:$I$14,MATCH(Calculations!$E819,'2018_commission_structure'!$A$11:$A$14,0),MATCH(Calculations!Z$1,'2018_commission_structure'!$A$11:$I$11,0)),0)</f>
        <v>0</v>
      </c>
      <c r="AA819" s="7">
        <f t="shared" si="115"/>
        <v>159824</v>
      </c>
      <c r="AB819" s="7">
        <f t="shared" si="116"/>
        <v>257736</v>
      </c>
    </row>
    <row r="820" spans="1:28" x14ac:dyDescent="0.25">
      <c r="A820">
        <v>5837066497</v>
      </c>
      <c r="B820" t="s">
        <v>887</v>
      </c>
      <c r="C820" t="s">
        <v>888</v>
      </c>
      <c r="D820" t="str">
        <f>B820&amp;" "&amp;C820</f>
        <v>Isiahi Sealand</v>
      </c>
      <c r="E820" t="s">
        <v>10</v>
      </c>
      <c r="F820">
        <v>101019</v>
      </c>
      <c r="G820">
        <f>COUNTIF(deals_closed!D:D,Calculations!A820)</f>
        <v>13</v>
      </c>
      <c r="H820" s="2">
        <f>SUMIF(deals_closed!D:D,Calculations!A820,deals_closed!C:C)</f>
        <v>455822</v>
      </c>
      <c r="I820" s="2">
        <f>VLOOKUP(E820,'2018_commission_structure'!$A$11:$I$14,9,FALSE)</f>
        <v>750000</v>
      </c>
      <c r="J820" s="2">
        <f t="shared" si="108"/>
        <v>937500</v>
      </c>
      <c r="K820" s="2">
        <f t="shared" si="109"/>
        <v>1125000</v>
      </c>
      <c r="L820" s="2">
        <f t="shared" si="110"/>
        <v>1500000</v>
      </c>
      <c r="M820" s="6">
        <f t="shared" si="111"/>
        <v>0.60776266666666667</v>
      </c>
      <c r="N820" t="str">
        <f t="shared" si="112"/>
        <v>0-100%</v>
      </c>
      <c r="O820" s="7">
        <f>MIN(I820,H820)*INDEX('2018_commission_structure'!$A$11:$I$14,MATCH(Calculations!$E820,'2018_commission_structure'!$A$11:$A$14,0),MATCH(Calculations!O$1,'2018_commission_structure'!$A$11:$I$11,0))</f>
        <v>68373.3</v>
      </c>
      <c r="P820" s="7">
        <f>IF($H820&gt;I820,MIN($H820-I820,J820-I820)*INDEX('2018_commission_structure'!$A$11:$I$14,MATCH(Calculations!$E820,'2018_commission_structure'!$A$11:$A$14,0), MATCH(Calculations!P$1,'2018_commission_structure'!$A$11:$I$11,0)),0)</f>
        <v>0</v>
      </c>
      <c r="Q820" s="7">
        <f>IF($H820&gt;J820,MIN($H820-J820,K820-J820)*INDEX('2018_commission_structure'!$A$11:$I$14,MATCH(Calculations!$E820,'2018_commission_structure'!$A$11:$A$14,0), MATCH(Calculations!Q$1,'2018_commission_structure'!$A$11:$I$11,0)),0)</f>
        <v>0</v>
      </c>
      <c r="R820" s="7">
        <f>IF($H820&gt;K820,MIN($H820-K820,L820-K820)*INDEX('2018_commission_structure'!$A$11:$I$14,MATCH(Calculations!$E820,'2018_commission_structure'!$A$11:$A$14,0), MATCH(Calculations!R$1,'2018_commission_structure'!$A$11:$I$11,0)),0)</f>
        <v>0</v>
      </c>
      <c r="S820" s="7">
        <f>IF(H820&gt;L820,(H820-L820)*INDEX('2018_commission_structure'!$A$11:$I$14,MATCH(Calculations!$E820,'2018_commission_structure'!$A$11:$A$14,0),MATCH(Calculations!S$1,'2018_commission_structure'!$A$11:$I$11,0)),0)</f>
        <v>0</v>
      </c>
      <c r="T820" s="7">
        <f t="shared" si="113"/>
        <v>68373.3</v>
      </c>
      <c r="U820" s="7">
        <f t="shared" si="114"/>
        <v>169392.3</v>
      </c>
      <c r="V820" s="7">
        <f>MIN(H820,I820)*INDEX('2018_commission_structure'!$A$5:$J$8,MATCH(Calculations!$E820,'2018_commission_structure'!$A$5:$A$8,0),MATCH(Calculations!V$1,'2018_commission_structure'!$A$5:$J$5,0))</f>
        <v>68373.3</v>
      </c>
      <c r="W820" s="2">
        <f>IF($H820&gt;I820,MIN($H820-I820,J820-I820)*INDEX('2018_commission_structure'!$A$5:$J$8,MATCH(Calculations!$E820,'2018_commission_structure'!$A$5:$A$8,0),MATCH(Calculations!W$1,'2018_commission_structure'!$A$5:$J$5,0)),0)</f>
        <v>0</v>
      </c>
      <c r="X820" s="2">
        <f>IF($H820&gt;J820,MIN($H820-J820,K820-J820)*INDEX('2018_commission_structure'!$A$5:$J$8,MATCH(Calculations!$E820,'2018_commission_structure'!$A$5:$A$8,0),MATCH(Calculations!X$1,'2018_commission_structure'!$A$5:$J$5,0)),0)</f>
        <v>0</v>
      </c>
      <c r="Y820" s="2">
        <f>IF($H820&gt;K820,MIN($H820-K820,L820-K820)*INDEX('2018_commission_structure'!$A$5:$J$8,MATCH(Calculations!$E820,'2018_commission_structure'!$A$5:$A$8,0),MATCH(Calculations!Y$1,'2018_commission_structure'!$A$5:$J$5,0)),0)</f>
        <v>0</v>
      </c>
      <c r="Z820" s="2">
        <f xml:space="preserve"> IF(H820&gt;L820,(H820-L820)*INDEX('2018_commission_structure'!$A$11:$I$14,MATCH(Calculations!$E820,'2018_commission_structure'!$A$11:$A$14,0),MATCH(Calculations!Z$1,'2018_commission_structure'!$A$11:$I$11,0)),0)</f>
        <v>0</v>
      </c>
      <c r="AA820" s="7">
        <f t="shared" si="115"/>
        <v>68373.3</v>
      </c>
      <c r="AB820" s="7">
        <f t="shared" si="116"/>
        <v>169392.3</v>
      </c>
    </row>
    <row r="821" spans="1:28" x14ac:dyDescent="0.25">
      <c r="A821">
        <v>896700143</v>
      </c>
      <c r="B821" t="s">
        <v>422</v>
      </c>
      <c r="C821" t="s">
        <v>423</v>
      </c>
      <c r="D821" t="str">
        <f>B821&amp;" "&amp;C821</f>
        <v>Standford Searight</v>
      </c>
      <c r="E821" t="s">
        <v>29</v>
      </c>
      <c r="F821">
        <v>77407</v>
      </c>
      <c r="G821">
        <f>COUNTIF(deals_closed!D:D,Calculations!A821)</f>
        <v>10</v>
      </c>
      <c r="H821" s="2">
        <f>SUMIF(deals_closed!D:D,Calculations!A821,deals_closed!C:C)</f>
        <v>329258</v>
      </c>
      <c r="I821" s="2">
        <f>VLOOKUP(E821,'2018_commission_structure'!$A$11:$I$14,9,FALSE)</f>
        <v>600000</v>
      </c>
      <c r="J821" s="2">
        <f t="shared" si="108"/>
        <v>750000</v>
      </c>
      <c r="K821" s="2">
        <f t="shared" si="109"/>
        <v>900000</v>
      </c>
      <c r="L821" s="2">
        <f t="shared" si="110"/>
        <v>1200000</v>
      </c>
      <c r="M821" s="6">
        <f t="shared" si="111"/>
        <v>0.54876333333333338</v>
      </c>
      <c r="N821" t="str">
        <f t="shared" si="112"/>
        <v>0-100%</v>
      </c>
      <c r="O821" s="7">
        <f>MIN(I821,H821)*INDEX('2018_commission_structure'!$A$11:$I$14,MATCH(Calculations!$E821,'2018_commission_structure'!$A$11:$A$14,0),MATCH(Calculations!O$1,'2018_commission_structure'!$A$11:$I$11,0))</f>
        <v>42803.54</v>
      </c>
      <c r="P821" s="7">
        <f>IF($H821&gt;I821,MIN($H821-I821,J821-I821)*INDEX('2018_commission_structure'!$A$11:$I$14,MATCH(Calculations!$E821,'2018_commission_structure'!$A$11:$A$14,0), MATCH(Calculations!P$1,'2018_commission_structure'!$A$11:$I$11,0)),0)</f>
        <v>0</v>
      </c>
      <c r="Q821" s="7">
        <f>IF($H821&gt;J821,MIN($H821-J821,K821-J821)*INDEX('2018_commission_structure'!$A$11:$I$14,MATCH(Calculations!$E821,'2018_commission_structure'!$A$11:$A$14,0), MATCH(Calculations!Q$1,'2018_commission_structure'!$A$11:$I$11,0)),0)</f>
        <v>0</v>
      </c>
      <c r="R821" s="7">
        <f>IF($H821&gt;K821,MIN($H821-K821,L821-K821)*INDEX('2018_commission_structure'!$A$11:$I$14,MATCH(Calculations!$E821,'2018_commission_structure'!$A$11:$A$14,0), MATCH(Calculations!R$1,'2018_commission_structure'!$A$11:$I$11,0)),0)</f>
        <v>0</v>
      </c>
      <c r="S821" s="7">
        <f>IF(H821&gt;L821,(H821-L821)*INDEX('2018_commission_structure'!$A$11:$I$14,MATCH(Calculations!$E821,'2018_commission_structure'!$A$11:$A$14,0),MATCH(Calculations!S$1,'2018_commission_structure'!$A$11:$I$11,0)),0)</f>
        <v>0</v>
      </c>
      <c r="T821" s="7">
        <f t="shared" si="113"/>
        <v>42803.54</v>
      </c>
      <c r="U821" s="7">
        <f t="shared" si="114"/>
        <v>120210.54000000001</v>
      </c>
      <c r="V821" s="7">
        <f>MIN(H821,I821)*INDEX('2018_commission_structure'!$A$5:$J$8,MATCH(Calculations!$E821,'2018_commission_structure'!$A$5:$A$8,0),MATCH(Calculations!V$1,'2018_commission_structure'!$A$5:$J$5,0))</f>
        <v>49388.7</v>
      </c>
      <c r="W821" s="2">
        <f>IF($H821&gt;I821,MIN($H821-I821,J821-I821)*INDEX('2018_commission_structure'!$A$5:$J$8,MATCH(Calculations!$E821,'2018_commission_structure'!$A$5:$A$8,0),MATCH(Calculations!W$1,'2018_commission_structure'!$A$5:$J$5,0)),0)</f>
        <v>0</v>
      </c>
      <c r="X821" s="2">
        <f>IF($H821&gt;J821,MIN($H821-J821,K821-J821)*INDEX('2018_commission_structure'!$A$5:$J$8,MATCH(Calculations!$E821,'2018_commission_structure'!$A$5:$A$8,0),MATCH(Calculations!X$1,'2018_commission_structure'!$A$5:$J$5,0)),0)</f>
        <v>0</v>
      </c>
      <c r="Y821" s="2">
        <f>IF($H821&gt;K821,MIN($H821-K821,L821-K821)*INDEX('2018_commission_structure'!$A$5:$J$8,MATCH(Calculations!$E821,'2018_commission_structure'!$A$5:$A$8,0),MATCH(Calculations!Y$1,'2018_commission_structure'!$A$5:$J$5,0)),0)</f>
        <v>0</v>
      </c>
      <c r="Z821" s="2">
        <f xml:space="preserve"> IF(H821&gt;L821,(H821-L821)*INDEX('2018_commission_structure'!$A$11:$I$14,MATCH(Calculations!$E821,'2018_commission_structure'!$A$11:$A$14,0),MATCH(Calculations!Z$1,'2018_commission_structure'!$A$11:$I$11,0)),0)</f>
        <v>0</v>
      </c>
      <c r="AA821" s="7">
        <f t="shared" si="115"/>
        <v>49388.7</v>
      </c>
      <c r="AB821" s="7">
        <f t="shared" si="116"/>
        <v>126795.7</v>
      </c>
    </row>
    <row r="822" spans="1:28" x14ac:dyDescent="0.25">
      <c r="A822">
        <v>4049350750</v>
      </c>
      <c r="B822" t="s">
        <v>893</v>
      </c>
      <c r="C822" t="s">
        <v>894</v>
      </c>
      <c r="D822" t="str">
        <f>B822&amp;" "&amp;C822</f>
        <v>Bjorn Seedman</v>
      </c>
      <c r="E822" t="s">
        <v>10</v>
      </c>
      <c r="F822">
        <v>87223</v>
      </c>
      <c r="G822">
        <f>COUNTIF(deals_closed!D:D,Calculations!A822)</f>
        <v>14</v>
      </c>
      <c r="H822" s="2">
        <f>SUMIF(deals_closed!D:D,Calculations!A822,deals_closed!C:C)</f>
        <v>486361</v>
      </c>
      <c r="I822" s="2">
        <f>VLOOKUP(E822,'2018_commission_structure'!$A$11:$I$14,9,FALSE)</f>
        <v>750000</v>
      </c>
      <c r="J822" s="2">
        <f t="shared" si="108"/>
        <v>937500</v>
      </c>
      <c r="K822" s="2">
        <f t="shared" si="109"/>
        <v>1125000</v>
      </c>
      <c r="L822" s="2">
        <f t="shared" si="110"/>
        <v>1500000</v>
      </c>
      <c r="M822" s="6">
        <f t="shared" si="111"/>
        <v>0.64848133333333335</v>
      </c>
      <c r="N822" t="str">
        <f t="shared" si="112"/>
        <v>0-100%</v>
      </c>
      <c r="O822" s="7">
        <f>MIN(I822,H822)*INDEX('2018_commission_structure'!$A$11:$I$14,MATCH(Calculations!$E822,'2018_commission_structure'!$A$11:$A$14,0),MATCH(Calculations!O$1,'2018_commission_structure'!$A$11:$I$11,0))</f>
        <v>72954.149999999994</v>
      </c>
      <c r="P822" s="7">
        <f>IF($H822&gt;I822,MIN($H822-I822,J822-I822)*INDEX('2018_commission_structure'!$A$11:$I$14,MATCH(Calculations!$E822,'2018_commission_structure'!$A$11:$A$14,0), MATCH(Calculations!P$1,'2018_commission_structure'!$A$11:$I$11,0)),0)</f>
        <v>0</v>
      </c>
      <c r="Q822" s="7">
        <f>IF($H822&gt;J822,MIN($H822-J822,K822-J822)*INDEX('2018_commission_structure'!$A$11:$I$14,MATCH(Calculations!$E822,'2018_commission_structure'!$A$11:$A$14,0), MATCH(Calculations!Q$1,'2018_commission_structure'!$A$11:$I$11,0)),0)</f>
        <v>0</v>
      </c>
      <c r="R822" s="7">
        <f>IF($H822&gt;K822,MIN($H822-K822,L822-K822)*INDEX('2018_commission_structure'!$A$11:$I$14,MATCH(Calculations!$E822,'2018_commission_structure'!$A$11:$A$14,0), MATCH(Calculations!R$1,'2018_commission_structure'!$A$11:$I$11,0)),0)</f>
        <v>0</v>
      </c>
      <c r="S822" s="7">
        <f>IF(H822&gt;L822,(H822-L822)*INDEX('2018_commission_structure'!$A$11:$I$14,MATCH(Calculations!$E822,'2018_commission_structure'!$A$11:$A$14,0),MATCH(Calculations!S$1,'2018_commission_structure'!$A$11:$I$11,0)),0)</f>
        <v>0</v>
      </c>
      <c r="T822" s="7">
        <f t="shared" si="113"/>
        <v>72954.149999999994</v>
      </c>
      <c r="U822" s="7">
        <f t="shared" si="114"/>
        <v>160177.15</v>
      </c>
      <c r="V822" s="7">
        <f>MIN(H822,I822)*INDEX('2018_commission_structure'!$A$5:$J$8,MATCH(Calculations!$E822,'2018_commission_structure'!$A$5:$A$8,0),MATCH(Calculations!V$1,'2018_commission_structure'!$A$5:$J$5,0))</f>
        <v>72954.149999999994</v>
      </c>
      <c r="W822" s="2">
        <f>IF($H822&gt;I822,MIN($H822-I822,J822-I822)*INDEX('2018_commission_structure'!$A$5:$J$8,MATCH(Calculations!$E822,'2018_commission_structure'!$A$5:$A$8,0),MATCH(Calculations!W$1,'2018_commission_structure'!$A$5:$J$5,0)),0)</f>
        <v>0</v>
      </c>
      <c r="X822" s="2">
        <f>IF($H822&gt;J822,MIN($H822-J822,K822-J822)*INDEX('2018_commission_structure'!$A$5:$J$8,MATCH(Calculations!$E822,'2018_commission_structure'!$A$5:$A$8,0),MATCH(Calculations!X$1,'2018_commission_structure'!$A$5:$J$5,0)),0)</f>
        <v>0</v>
      </c>
      <c r="Y822" s="2">
        <f>IF($H822&gt;K822,MIN($H822-K822,L822-K822)*INDEX('2018_commission_structure'!$A$5:$J$8,MATCH(Calculations!$E822,'2018_commission_structure'!$A$5:$A$8,0),MATCH(Calculations!Y$1,'2018_commission_structure'!$A$5:$J$5,0)),0)</f>
        <v>0</v>
      </c>
      <c r="Z822" s="2">
        <f xml:space="preserve"> IF(H822&gt;L822,(H822-L822)*INDEX('2018_commission_structure'!$A$11:$I$14,MATCH(Calculations!$E822,'2018_commission_structure'!$A$11:$A$14,0),MATCH(Calculations!Z$1,'2018_commission_structure'!$A$11:$I$11,0)),0)</f>
        <v>0</v>
      </c>
      <c r="AA822" s="7">
        <f t="shared" si="115"/>
        <v>72954.149999999994</v>
      </c>
      <c r="AB822" s="7">
        <f t="shared" si="116"/>
        <v>160177.15</v>
      </c>
    </row>
    <row r="823" spans="1:28" x14ac:dyDescent="0.25">
      <c r="A823">
        <v>4396213212</v>
      </c>
      <c r="B823" t="s">
        <v>1350</v>
      </c>
      <c r="C823" t="s">
        <v>1351</v>
      </c>
      <c r="D823" t="str">
        <f>B823&amp;" "&amp;C823</f>
        <v>Cristina Seegar</v>
      </c>
      <c r="E823" t="s">
        <v>29</v>
      </c>
      <c r="F823">
        <v>60884</v>
      </c>
      <c r="G823">
        <f>COUNTIF(deals_closed!D:D,Calculations!A823)</f>
        <v>20</v>
      </c>
      <c r="H823" s="2">
        <f>SUMIF(deals_closed!D:D,Calculations!A823,deals_closed!C:C)</f>
        <v>634931</v>
      </c>
      <c r="I823" s="2">
        <f>VLOOKUP(E823,'2018_commission_structure'!$A$11:$I$14,9,FALSE)</f>
        <v>600000</v>
      </c>
      <c r="J823" s="2">
        <f t="shared" si="108"/>
        <v>750000</v>
      </c>
      <c r="K823" s="2">
        <f t="shared" si="109"/>
        <v>900000</v>
      </c>
      <c r="L823" s="2">
        <f t="shared" si="110"/>
        <v>1200000</v>
      </c>
      <c r="M823" s="6">
        <f t="shared" si="111"/>
        <v>1.0582183333333333</v>
      </c>
      <c r="N823" t="str">
        <f t="shared" si="112"/>
        <v>100-125%</v>
      </c>
      <c r="O823" s="7">
        <f>MIN(I823,H823)*INDEX('2018_commission_structure'!$A$11:$I$14,MATCH(Calculations!$E823,'2018_commission_structure'!$A$11:$A$14,0),MATCH(Calculations!O$1,'2018_commission_structure'!$A$11:$I$11,0))</f>
        <v>78000</v>
      </c>
      <c r="P823" s="7">
        <f>IF($H823&gt;I823,MIN($H823-I823,J823-I823)*INDEX('2018_commission_structure'!$A$11:$I$14,MATCH(Calculations!$E823,'2018_commission_structure'!$A$11:$A$14,0), MATCH(Calculations!P$1,'2018_commission_structure'!$A$11:$I$11,0)),0)</f>
        <v>5938.27</v>
      </c>
      <c r="Q823" s="7">
        <f>IF($H823&gt;J823,MIN($H823-J823,K823-J823)*INDEX('2018_commission_structure'!$A$11:$I$14,MATCH(Calculations!$E823,'2018_commission_structure'!$A$11:$A$14,0), MATCH(Calculations!Q$1,'2018_commission_structure'!$A$11:$I$11,0)),0)</f>
        <v>0</v>
      </c>
      <c r="R823" s="7">
        <f>IF($H823&gt;K823,MIN($H823-K823,L823-K823)*INDEX('2018_commission_structure'!$A$11:$I$14,MATCH(Calculations!$E823,'2018_commission_structure'!$A$11:$A$14,0), MATCH(Calculations!R$1,'2018_commission_structure'!$A$11:$I$11,0)),0)</f>
        <v>0</v>
      </c>
      <c r="S823" s="7">
        <f>IF(H823&gt;L823,(H823-L823)*INDEX('2018_commission_structure'!$A$11:$I$14,MATCH(Calculations!$E823,'2018_commission_structure'!$A$11:$A$14,0),MATCH(Calculations!S$1,'2018_commission_structure'!$A$11:$I$11,0)),0)</f>
        <v>0</v>
      </c>
      <c r="T823" s="7">
        <f t="shared" si="113"/>
        <v>83938.27</v>
      </c>
      <c r="U823" s="7">
        <f t="shared" si="114"/>
        <v>144822.27000000002</v>
      </c>
      <c r="V823" s="7">
        <f>MIN(H823,I823)*INDEX('2018_commission_structure'!$A$5:$J$8,MATCH(Calculations!$E823,'2018_commission_structure'!$A$5:$A$8,0),MATCH(Calculations!V$1,'2018_commission_structure'!$A$5:$J$5,0))</f>
        <v>90000</v>
      </c>
      <c r="W823" s="2">
        <f>IF($H823&gt;I823,MIN($H823-I823,J823-I823)*INDEX('2018_commission_structure'!$A$5:$J$8,MATCH(Calculations!$E823,'2018_commission_structure'!$A$5:$A$8,0),MATCH(Calculations!W$1,'2018_commission_structure'!$A$5:$J$5,0)),0)</f>
        <v>6287.58</v>
      </c>
      <c r="X823" s="2">
        <f>IF($H823&gt;J823,MIN($H823-J823,K823-J823)*INDEX('2018_commission_structure'!$A$5:$J$8,MATCH(Calculations!$E823,'2018_commission_structure'!$A$5:$A$8,0),MATCH(Calculations!X$1,'2018_commission_structure'!$A$5:$J$5,0)),0)</f>
        <v>0</v>
      </c>
      <c r="Y823" s="2">
        <f>IF($H823&gt;K823,MIN($H823-K823,L823-K823)*INDEX('2018_commission_structure'!$A$5:$J$8,MATCH(Calculations!$E823,'2018_commission_structure'!$A$5:$A$8,0),MATCH(Calculations!Y$1,'2018_commission_structure'!$A$5:$J$5,0)),0)</f>
        <v>0</v>
      </c>
      <c r="Z823" s="2">
        <f xml:space="preserve"> IF(H823&gt;L823,(H823-L823)*INDEX('2018_commission_structure'!$A$11:$I$14,MATCH(Calculations!$E823,'2018_commission_structure'!$A$11:$A$14,0),MATCH(Calculations!Z$1,'2018_commission_structure'!$A$11:$I$11,0)),0)</f>
        <v>0</v>
      </c>
      <c r="AA823" s="7">
        <f t="shared" si="115"/>
        <v>96287.58</v>
      </c>
      <c r="AB823" s="7">
        <f t="shared" si="116"/>
        <v>157171.58000000002</v>
      </c>
    </row>
    <row r="824" spans="1:28" x14ac:dyDescent="0.25">
      <c r="A824">
        <v>9726268931</v>
      </c>
      <c r="B824" t="s">
        <v>1278</v>
      </c>
      <c r="C824" t="s">
        <v>1279</v>
      </c>
      <c r="D824" t="str">
        <f>B824&amp;" "&amp;C824</f>
        <v>Norbert Segges</v>
      </c>
      <c r="E824" t="s">
        <v>29</v>
      </c>
      <c r="F824">
        <v>66956</v>
      </c>
      <c r="G824">
        <f>COUNTIF(deals_closed!D:D,Calculations!A824)</f>
        <v>19</v>
      </c>
      <c r="H824" s="2">
        <f>SUMIF(deals_closed!D:D,Calculations!A824,deals_closed!C:C)</f>
        <v>676097</v>
      </c>
      <c r="I824" s="2">
        <f>VLOOKUP(E824,'2018_commission_structure'!$A$11:$I$14,9,FALSE)</f>
        <v>600000</v>
      </c>
      <c r="J824" s="2">
        <f t="shared" si="108"/>
        <v>750000</v>
      </c>
      <c r="K824" s="2">
        <f t="shared" si="109"/>
        <v>900000</v>
      </c>
      <c r="L824" s="2">
        <f t="shared" si="110"/>
        <v>1200000</v>
      </c>
      <c r="M824" s="6">
        <f t="shared" si="111"/>
        <v>1.1268283333333333</v>
      </c>
      <c r="N824" t="str">
        <f t="shared" si="112"/>
        <v>100-125%</v>
      </c>
      <c r="O824" s="7">
        <f>MIN(I824,H824)*INDEX('2018_commission_structure'!$A$11:$I$14,MATCH(Calculations!$E824,'2018_commission_structure'!$A$11:$A$14,0),MATCH(Calculations!O$1,'2018_commission_structure'!$A$11:$I$11,0))</f>
        <v>78000</v>
      </c>
      <c r="P824" s="7">
        <f>IF($H824&gt;I824,MIN($H824-I824,J824-I824)*INDEX('2018_commission_structure'!$A$11:$I$14,MATCH(Calculations!$E824,'2018_commission_structure'!$A$11:$A$14,0), MATCH(Calculations!P$1,'2018_commission_structure'!$A$11:$I$11,0)),0)</f>
        <v>12936.490000000002</v>
      </c>
      <c r="Q824" s="7">
        <f>IF($H824&gt;J824,MIN($H824-J824,K824-J824)*INDEX('2018_commission_structure'!$A$11:$I$14,MATCH(Calculations!$E824,'2018_commission_structure'!$A$11:$A$14,0), MATCH(Calculations!Q$1,'2018_commission_structure'!$A$11:$I$11,0)),0)</f>
        <v>0</v>
      </c>
      <c r="R824" s="7">
        <f>IF($H824&gt;K824,MIN($H824-K824,L824-K824)*INDEX('2018_commission_structure'!$A$11:$I$14,MATCH(Calculations!$E824,'2018_commission_structure'!$A$11:$A$14,0), MATCH(Calculations!R$1,'2018_commission_structure'!$A$11:$I$11,0)),0)</f>
        <v>0</v>
      </c>
      <c r="S824" s="7">
        <f>IF(H824&gt;L824,(H824-L824)*INDEX('2018_commission_structure'!$A$11:$I$14,MATCH(Calculations!$E824,'2018_commission_structure'!$A$11:$A$14,0),MATCH(Calculations!S$1,'2018_commission_structure'!$A$11:$I$11,0)),0)</f>
        <v>0</v>
      </c>
      <c r="T824" s="7">
        <f t="shared" si="113"/>
        <v>90936.49</v>
      </c>
      <c r="U824" s="7">
        <f t="shared" si="114"/>
        <v>157892.49</v>
      </c>
      <c r="V824" s="7">
        <f>MIN(H824,I824)*INDEX('2018_commission_structure'!$A$5:$J$8,MATCH(Calculations!$E824,'2018_commission_structure'!$A$5:$A$8,0),MATCH(Calculations!V$1,'2018_commission_structure'!$A$5:$J$5,0))</f>
        <v>90000</v>
      </c>
      <c r="W824" s="2">
        <f>IF($H824&gt;I824,MIN($H824-I824,J824-I824)*INDEX('2018_commission_structure'!$A$5:$J$8,MATCH(Calculations!$E824,'2018_commission_structure'!$A$5:$A$8,0),MATCH(Calculations!W$1,'2018_commission_structure'!$A$5:$J$5,0)),0)</f>
        <v>13697.46</v>
      </c>
      <c r="X824" s="2">
        <f>IF($H824&gt;J824,MIN($H824-J824,K824-J824)*INDEX('2018_commission_structure'!$A$5:$J$8,MATCH(Calculations!$E824,'2018_commission_structure'!$A$5:$A$8,0),MATCH(Calculations!X$1,'2018_commission_structure'!$A$5:$J$5,0)),0)</f>
        <v>0</v>
      </c>
      <c r="Y824" s="2">
        <f>IF($H824&gt;K824,MIN($H824-K824,L824-K824)*INDEX('2018_commission_structure'!$A$5:$J$8,MATCH(Calculations!$E824,'2018_commission_structure'!$A$5:$A$8,0),MATCH(Calculations!Y$1,'2018_commission_structure'!$A$5:$J$5,0)),0)</f>
        <v>0</v>
      </c>
      <c r="Z824" s="2">
        <f xml:space="preserve"> IF(H824&gt;L824,(H824-L824)*INDEX('2018_commission_structure'!$A$11:$I$14,MATCH(Calculations!$E824,'2018_commission_structure'!$A$11:$A$14,0),MATCH(Calculations!Z$1,'2018_commission_structure'!$A$11:$I$11,0)),0)</f>
        <v>0</v>
      </c>
      <c r="AA824" s="7">
        <f t="shared" si="115"/>
        <v>103697.45999999999</v>
      </c>
      <c r="AB824" s="7">
        <f t="shared" si="116"/>
        <v>170653.46</v>
      </c>
    </row>
    <row r="825" spans="1:28" x14ac:dyDescent="0.25">
      <c r="A825">
        <v>5984294621</v>
      </c>
      <c r="B825" t="s">
        <v>1201</v>
      </c>
      <c r="C825" t="s">
        <v>1202</v>
      </c>
      <c r="D825" t="str">
        <f>B825&amp;" "&amp;C825</f>
        <v>Juliet Semered</v>
      </c>
      <c r="E825" t="s">
        <v>10</v>
      </c>
      <c r="F825">
        <v>89873</v>
      </c>
      <c r="G825">
        <f>COUNTIF(deals_closed!D:D,Calculations!A825)</f>
        <v>28</v>
      </c>
      <c r="H825" s="2">
        <f>SUMIF(deals_closed!D:D,Calculations!A825,deals_closed!C:C)</f>
        <v>982350</v>
      </c>
      <c r="I825" s="2">
        <f>VLOOKUP(E825,'2018_commission_structure'!$A$11:$I$14,9,FALSE)</f>
        <v>750000</v>
      </c>
      <c r="J825" s="2">
        <f t="shared" si="108"/>
        <v>937500</v>
      </c>
      <c r="K825" s="2">
        <f t="shared" si="109"/>
        <v>1125000</v>
      </c>
      <c r="L825" s="2">
        <f t="shared" si="110"/>
        <v>1500000</v>
      </c>
      <c r="M825" s="6">
        <f t="shared" si="111"/>
        <v>1.3098000000000001</v>
      </c>
      <c r="N825" t="str">
        <f t="shared" si="112"/>
        <v>125-150%</v>
      </c>
      <c r="O825" s="7">
        <f>MIN(I825,H825)*INDEX('2018_commission_structure'!$A$11:$I$14,MATCH(Calculations!$E825,'2018_commission_structure'!$A$11:$A$14,0),MATCH(Calculations!O$1,'2018_commission_structure'!$A$11:$I$11,0))</f>
        <v>112500</v>
      </c>
      <c r="P825" s="7">
        <f>IF($H825&gt;I825,MIN($H825-I825,J825-I825)*INDEX('2018_commission_structure'!$A$11:$I$14,MATCH(Calculations!$E825,'2018_commission_structure'!$A$11:$A$14,0), MATCH(Calculations!P$1,'2018_commission_structure'!$A$11:$I$11,0)),0)</f>
        <v>35625</v>
      </c>
      <c r="Q825" s="7">
        <f>IF($H825&gt;J825,MIN($H825-J825,K825-J825)*INDEX('2018_commission_structure'!$A$11:$I$14,MATCH(Calculations!$E825,'2018_commission_structure'!$A$11:$A$14,0), MATCH(Calculations!Q$1,'2018_commission_structure'!$A$11:$I$11,0)),0)</f>
        <v>10315.5</v>
      </c>
      <c r="R825" s="7">
        <f>IF($H825&gt;K825,MIN($H825-K825,L825-K825)*INDEX('2018_commission_structure'!$A$11:$I$14,MATCH(Calculations!$E825,'2018_commission_structure'!$A$11:$A$14,0), MATCH(Calculations!R$1,'2018_commission_structure'!$A$11:$I$11,0)),0)</f>
        <v>0</v>
      </c>
      <c r="S825" s="7">
        <f>IF(H825&gt;L825,(H825-L825)*INDEX('2018_commission_structure'!$A$11:$I$14,MATCH(Calculations!$E825,'2018_commission_structure'!$A$11:$A$14,0),MATCH(Calculations!S$1,'2018_commission_structure'!$A$11:$I$11,0)),0)</f>
        <v>0</v>
      </c>
      <c r="T825" s="7">
        <f t="shared" si="113"/>
        <v>158440.5</v>
      </c>
      <c r="U825" s="7">
        <f t="shared" si="114"/>
        <v>248313.5</v>
      </c>
      <c r="V825" s="7">
        <f>MIN(H825,I825)*INDEX('2018_commission_structure'!$A$5:$J$8,MATCH(Calculations!$E825,'2018_commission_structure'!$A$5:$A$8,0),MATCH(Calculations!V$1,'2018_commission_structure'!$A$5:$J$5,0))</f>
        <v>112500</v>
      </c>
      <c r="W825" s="2">
        <f>IF($H825&gt;I825,MIN($H825-I825,J825-I825)*INDEX('2018_commission_structure'!$A$5:$J$8,MATCH(Calculations!$E825,'2018_commission_structure'!$A$5:$A$8,0),MATCH(Calculations!W$1,'2018_commission_structure'!$A$5:$J$5,0)),0)</f>
        <v>41250</v>
      </c>
      <c r="X825" s="2">
        <f>IF($H825&gt;J825,MIN($H825-J825,K825-J825)*INDEX('2018_commission_structure'!$A$5:$J$8,MATCH(Calculations!$E825,'2018_commission_structure'!$A$5:$A$8,0),MATCH(Calculations!X$1,'2018_commission_structure'!$A$5:$J$5,0)),0)</f>
        <v>11212.5</v>
      </c>
      <c r="Y825" s="2">
        <f>IF($H825&gt;K825,MIN($H825-K825,L825-K825)*INDEX('2018_commission_structure'!$A$5:$J$8,MATCH(Calculations!$E825,'2018_commission_structure'!$A$5:$A$8,0),MATCH(Calculations!Y$1,'2018_commission_structure'!$A$5:$J$5,0)),0)</f>
        <v>0</v>
      </c>
      <c r="Z825" s="2">
        <f xml:space="preserve"> IF(H825&gt;L825,(H825-L825)*INDEX('2018_commission_structure'!$A$11:$I$14,MATCH(Calculations!$E825,'2018_commission_structure'!$A$11:$A$14,0),MATCH(Calculations!Z$1,'2018_commission_structure'!$A$11:$I$11,0)),0)</f>
        <v>0</v>
      </c>
      <c r="AA825" s="7">
        <f t="shared" si="115"/>
        <v>164962.5</v>
      </c>
      <c r="AB825" s="7">
        <f t="shared" si="116"/>
        <v>254835.5</v>
      </c>
    </row>
    <row r="826" spans="1:28" x14ac:dyDescent="0.25">
      <c r="A826">
        <v>4235594176</v>
      </c>
      <c r="B826" t="s">
        <v>1280</v>
      </c>
      <c r="C826" t="s">
        <v>1281</v>
      </c>
      <c r="D826" t="str">
        <f>B826&amp;" "&amp;C826</f>
        <v>Bianka Sertin</v>
      </c>
      <c r="E826" t="s">
        <v>7</v>
      </c>
      <c r="F826">
        <v>56533</v>
      </c>
      <c r="G826">
        <f>COUNTIF(deals_closed!D:D,Calculations!A826)</f>
        <v>20</v>
      </c>
      <c r="H826" s="2">
        <f>SUMIF(deals_closed!D:D,Calculations!A826,deals_closed!C:C)</f>
        <v>751419</v>
      </c>
      <c r="I826" s="2">
        <f>VLOOKUP(E826,'2018_commission_structure'!$A$11:$I$14,9,FALSE)</f>
        <v>500000</v>
      </c>
      <c r="J826" s="2">
        <f t="shared" si="108"/>
        <v>625000</v>
      </c>
      <c r="K826" s="2">
        <f t="shared" si="109"/>
        <v>750000</v>
      </c>
      <c r="L826" s="2">
        <f t="shared" si="110"/>
        <v>1000000</v>
      </c>
      <c r="M826" s="6">
        <f t="shared" si="111"/>
        <v>1.5028379999999999</v>
      </c>
      <c r="N826" t="str">
        <f t="shared" si="112"/>
        <v>150-200%</v>
      </c>
      <c r="O826" s="7">
        <f>MIN(I826,H826)*INDEX('2018_commission_structure'!$A$11:$I$14,MATCH(Calculations!$E826,'2018_commission_structure'!$A$11:$A$14,0),MATCH(Calculations!O$1,'2018_commission_structure'!$A$11:$I$11,0))</f>
        <v>50000</v>
      </c>
      <c r="P826" s="7">
        <f>IF($H826&gt;I826,MIN($H826-I826,J826-I826)*INDEX('2018_commission_structure'!$A$11:$I$14,MATCH(Calculations!$E826,'2018_commission_structure'!$A$11:$A$14,0), MATCH(Calculations!P$1,'2018_commission_structure'!$A$11:$I$11,0)),0)</f>
        <v>18750</v>
      </c>
      <c r="Q826" s="7">
        <f>IF($H826&gt;J826,MIN($H826-J826,K826-J826)*INDEX('2018_commission_structure'!$A$11:$I$14,MATCH(Calculations!$E826,'2018_commission_structure'!$A$11:$A$14,0), MATCH(Calculations!Q$1,'2018_commission_structure'!$A$11:$I$11,0)),0)</f>
        <v>22500</v>
      </c>
      <c r="R826" s="7">
        <f>IF($H826&gt;K826,MIN($H826-K826,L826-K826)*INDEX('2018_commission_structure'!$A$11:$I$14,MATCH(Calculations!$E826,'2018_commission_structure'!$A$11:$A$14,0), MATCH(Calculations!R$1,'2018_commission_structure'!$A$11:$I$11,0)),0)</f>
        <v>312.18</v>
      </c>
      <c r="S826" s="7">
        <f>IF(H826&gt;L826,(H826-L826)*INDEX('2018_commission_structure'!$A$11:$I$14,MATCH(Calculations!$E826,'2018_commission_structure'!$A$11:$A$14,0),MATCH(Calculations!S$1,'2018_commission_structure'!$A$11:$I$11,0)),0)</f>
        <v>0</v>
      </c>
      <c r="T826" s="7">
        <f t="shared" si="113"/>
        <v>91562.18</v>
      </c>
      <c r="U826" s="7">
        <f t="shared" si="114"/>
        <v>148095.18</v>
      </c>
      <c r="V826" s="7">
        <f>MIN(H826,I826)*INDEX('2018_commission_structure'!$A$5:$J$8,MATCH(Calculations!$E826,'2018_commission_structure'!$A$5:$A$8,0),MATCH(Calculations!V$1,'2018_commission_structure'!$A$5:$J$5,0))</f>
        <v>60000</v>
      </c>
      <c r="W826" s="2">
        <f>IF($H826&gt;I826,MIN($H826-I826,J826-I826)*INDEX('2018_commission_structure'!$A$5:$J$8,MATCH(Calculations!$E826,'2018_commission_structure'!$A$5:$A$8,0),MATCH(Calculations!W$1,'2018_commission_structure'!$A$5:$J$5,0)),0)</f>
        <v>21250</v>
      </c>
      <c r="X826" s="2">
        <f>IF($H826&gt;J826,MIN($H826-J826,K826-J826)*INDEX('2018_commission_structure'!$A$5:$J$8,MATCH(Calculations!$E826,'2018_commission_structure'!$A$5:$A$8,0),MATCH(Calculations!X$1,'2018_commission_structure'!$A$5:$J$5,0)),0)</f>
        <v>25000</v>
      </c>
      <c r="Y826" s="2">
        <f>IF($H826&gt;K826,MIN($H826-K826,L826-K826)*INDEX('2018_commission_structure'!$A$5:$J$8,MATCH(Calculations!$E826,'2018_commission_structure'!$A$5:$A$8,0),MATCH(Calculations!Y$1,'2018_commission_structure'!$A$5:$J$5,0)),0)</f>
        <v>312.18</v>
      </c>
      <c r="Z826" s="2">
        <f xml:space="preserve"> IF(H826&gt;L826,(H826-L826)*INDEX('2018_commission_structure'!$A$11:$I$14,MATCH(Calculations!$E826,'2018_commission_structure'!$A$11:$A$14,0),MATCH(Calculations!Z$1,'2018_commission_structure'!$A$11:$I$11,0)),0)</f>
        <v>0</v>
      </c>
      <c r="AA826" s="7">
        <f t="shared" si="115"/>
        <v>106562.18</v>
      </c>
      <c r="AB826" s="7">
        <f t="shared" si="116"/>
        <v>163095.18</v>
      </c>
    </row>
    <row r="827" spans="1:28" x14ac:dyDescent="0.25">
      <c r="A827">
        <v>1475796307</v>
      </c>
      <c r="B827" t="s">
        <v>1682</v>
      </c>
      <c r="C827" t="s">
        <v>1683</v>
      </c>
      <c r="D827" t="str">
        <f>B827&amp;" "&amp;C827</f>
        <v>Aura Server</v>
      </c>
      <c r="E827" t="s">
        <v>7</v>
      </c>
      <c r="F827">
        <v>31487</v>
      </c>
      <c r="G827">
        <f>COUNTIF(deals_closed!D:D,Calculations!A827)</f>
        <v>22</v>
      </c>
      <c r="H827" s="2">
        <f>SUMIF(deals_closed!D:D,Calculations!A827,deals_closed!C:C)</f>
        <v>837529</v>
      </c>
      <c r="I827" s="2">
        <f>VLOOKUP(E827,'2018_commission_structure'!$A$11:$I$14,9,FALSE)</f>
        <v>500000</v>
      </c>
      <c r="J827" s="2">
        <f t="shared" si="108"/>
        <v>625000</v>
      </c>
      <c r="K827" s="2">
        <f t="shared" si="109"/>
        <v>750000</v>
      </c>
      <c r="L827" s="2">
        <f t="shared" si="110"/>
        <v>1000000</v>
      </c>
      <c r="M827" s="6">
        <f t="shared" si="111"/>
        <v>1.6750579999999999</v>
      </c>
      <c r="N827" t="str">
        <f t="shared" si="112"/>
        <v>150-200%</v>
      </c>
      <c r="O827" s="7">
        <f>MIN(I827,H827)*INDEX('2018_commission_structure'!$A$11:$I$14,MATCH(Calculations!$E827,'2018_commission_structure'!$A$11:$A$14,0),MATCH(Calculations!O$1,'2018_commission_structure'!$A$11:$I$11,0))</f>
        <v>50000</v>
      </c>
      <c r="P827" s="7">
        <f>IF($H827&gt;I827,MIN($H827-I827,J827-I827)*INDEX('2018_commission_structure'!$A$11:$I$14,MATCH(Calculations!$E827,'2018_commission_structure'!$A$11:$A$14,0), MATCH(Calculations!P$1,'2018_commission_structure'!$A$11:$I$11,0)),0)</f>
        <v>18750</v>
      </c>
      <c r="Q827" s="7">
        <f>IF($H827&gt;J827,MIN($H827-J827,K827-J827)*INDEX('2018_commission_structure'!$A$11:$I$14,MATCH(Calculations!$E827,'2018_commission_structure'!$A$11:$A$14,0), MATCH(Calculations!Q$1,'2018_commission_structure'!$A$11:$I$11,0)),0)</f>
        <v>22500</v>
      </c>
      <c r="R827" s="7">
        <f>IF($H827&gt;K827,MIN($H827-K827,L827-K827)*INDEX('2018_commission_structure'!$A$11:$I$14,MATCH(Calculations!$E827,'2018_commission_structure'!$A$11:$A$14,0), MATCH(Calculations!R$1,'2018_commission_structure'!$A$11:$I$11,0)),0)</f>
        <v>19256.38</v>
      </c>
      <c r="S827" s="7">
        <f>IF(H827&gt;L827,(H827-L827)*INDEX('2018_commission_structure'!$A$11:$I$14,MATCH(Calculations!$E827,'2018_commission_structure'!$A$11:$A$14,0),MATCH(Calculations!S$1,'2018_commission_structure'!$A$11:$I$11,0)),0)</f>
        <v>0</v>
      </c>
      <c r="T827" s="7">
        <f t="shared" si="113"/>
        <v>110506.38</v>
      </c>
      <c r="U827" s="7">
        <f t="shared" si="114"/>
        <v>141993.38</v>
      </c>
      <c r="V827" s="7">
        <f>MIN(H827,I827)*INDEX('2018_commission_structure'!$A$5:$J$8,MATCH(Calculations!$E827,'2018_commission_structure'!$A$5:$A$8,0),MATCH(Calculations!V$1,'2018_commission_structure'!$A$5:$J$5,0))</f>
        <v>60000</v>
      </c>
      <c r="W827" s="2">
        <f>IF($H827&gt;I827,MIN($H827-I827,J827-I827)*INDEX('2018_commission_structure'!$A$5:$J$8,MATCH(Calculations!$E827,'2018_commission_structure'!$A$5:$A$8,0),MATCH(Calculations!W$1,'2018_commission_structure'!$A$5:$J$5,0)),0)</f>
        <v>21250</v>
      </c>
      <c r="X827" s="2">
        <f>IF($H827&gt;J827,MIN($H827-J827,K827-J827)*INDEX('2018_commission_structure'!$A$5:$J$8,MATCH(Calculations!$E827,'2018_commission_structure'!$A$5:$A$8,0),MATCH(Calculations!X$1,'2018_commission_structure'!$A$5:$J$5,0)),0)</f>
        <v>25000</v>
      </c>
      <c r="Y827" s="2">
        <f>IF($H827&gt;K827,MIN($H827-K827,L827-K827)*INDEX('2018_commission_structure'!$A$5:$J$8,MATCH(Calculations!$E827,'2018_commission_structure'!$A$5:$A$8,0),MATCH(Calculations!Y$1,'2018_commission_structure'!$A$5:$J$5,0)),0)</f>
        <v>19256.38</v>
      </c>
      <c r="Z827" s="2">
        <f xml:space="preserve"> IF(H827&gt;L827,(H827-L827)*INDEX('2018_commission_structure'!$A$11:$I$14,MATCH(Calculations!$E827,'2018_commission_structure'!$A$11:$A$14,0),MATCH(Calculations!Z$1,'2018_commission_structure'!$A$11:$I$11,0)),0)</f>
        <v>0</v>
      </c>
      <c r="AA827" s="7">
        <f t="shared" si="115"/>
        <v>125506.38</v>
      </c>
      <c r="AB827" s="7">
        <f t="shared" si="116"/>
        <v>156993.38</v>
      </c>
    </row>
    <row r="828" spans="1:28" x14ac:dyDescent="0.25">
      <c r="A828">
        <v>3021692982</v>
      </c>
      <c r="B828" t="s">
        <v>1005</v>
      </c>
      <c r="C828" t="s">
        <v>1006</v>
      </c>
      <c r="D828" t="str">
        <f>B828&amp;" "&amp;C828</f>
        <v>Georgie Seyler</v>
      </c>
      <c r="E828" t="s">
        <v>29</v>
      </c>
      <c r="F828">
        <v>50377</v>
      </c>
      <c r="G828">
        <f>COUNTIF(deals_closed!D:D,Calculations!A828)</f>
        <v>19</v>
      </c>
      <c r="H828" s="2">
        <f>SUMIF(deals_closed!D:D,Calculations!A828,deals_closed!C:C)</f>
        <v>718836</v>
      </c>
      <c r="I828" s="2">
        <f>VLOOKUP(E828,'2018_commission_structure'!$A$11:$I$14,9,FALSE)</f>
        <v>600000</v>
      </c>
      <c r="J828" s="2">
        <f t="shared" si="108"/>
        <v>750000</v>
      </c>
      <c r="K828" s="2">
        <f t="shared" si="109"/>
        <v>900000</v>
      </c>
      <c r="L828" s="2">
        <f t="shared" si="110"/>
        <v>1200000</v>
      </c>
      <c r="M828" s="6">
        <f t="shared" si="111"/>
        <v>1.1980599999999999</v>
      </c>
      <c r="N828" t="str">
        <f t="shared" si="112"/>
        <v>100-125%</v>
      </c>
      <c r="O828" s="7">
        <f>MIN(I828,H828)*INDEX('2018_commission_structure'!$A$11:$I$14,MATCH(Calculations!$E828,'2018_commission_structure'!$A$11:$A$14,0),MATCH(Calculations!O$1,'2018_commission_structure'!$A$11:$I$11,0))</f>
        <v>78000</v>
      </c>
      <c r="P828" s="7">
        <f>IF($H828&gt;I828,MIN($H828-I828,J828-I828)*INDEX('2018_commission_structure'!$A$11:$I$14,MATCH(Calculations!$E828,'2018_commission_structure'!$A$11:$A$14,0), MATCH(Calculations!P$1,'2018_commission_structure'!$A$11:$I$11,0)),0)</f>
        <v>20202.120000000003</v>
      </c>
      <c r="Q828" s="7">
        <f>IF($H828&gt;J828,MIN($H828-J828,K828-J828)*INDEX('2018_commission_structure'!$A$11:$I$14,MATCH(Calculations!$E828,'2018_commission_structure'!$A$11:$A$14,0), MATCH(Calculations!Q$1,'2018_commission_structure'!$A$11:$I$11,0)),0)</f>
        <v>0</v>
      </c>
      <c r="R828" s="7">
        <f>IF($H828&gt;K828,MIN($H828-K828,L828-K828)*INDEX('2018_commission_structure'!$A$11:$I$14,MATCH(Calculations!$E828,'2018_commission_structure'!$A$11:$A$14,0), MATCH(Calculations!R$1,'2018_commission_structure'!$A$11:$I$11,0)),0)</f>
        <v>0</v>
      </c>
      <c r="S828" s="7">
        <f>IF(H828&gt;L828,(H828-L828)*INDEX('2018_commission_structure'!$A$11:$I$14,MATCH(Calculations!$E828,'2018_commission_structure'!$A$11:$A$14,0),MATCH(Calculations!S$1,'2018_commission_structure'!$A$11:$I$11,0)),0)</f>
        <v>0</v>
      </c>
      <c r="T828" s="7">
        <f t="shared" si="113"/>
        <v>98202.12</v>
      </c>
      <c r="U828" s="7">
        <f t="shared" si="114"/>
        <v>148579.12</v>
      </c>
      <c r="V828" s="7">
        <f>MIN(H828,I828)*INDEX('2018_commission_structure'!$A$5:$J$8,MATCH(Calculations!$E828,'2018_commission_structure'!$A$5:$A$8,0),MATCH(Calculations!V$1,'2018_commission_structure'!$A$5:$J$5,0))</f>
        <v>90000</v>
      </c>
      <c r="W828" s="2">
        <f>IF($H828&gt;I828,MIN($H828-I828,J828-I828)*INDEX('2018_commission_structure'!$A$5:$J$8,MATCH(Calculations!$E828,'2018_commission_structure'!$A$5:$A$8,0),MATCH(Calculations!W$1,'2018_commission_structure'!$A$5:$J$5,0)),0)</f>
        <v>21390.48</v>
      </c>
      <c r="X828" s="2">
        <f>IF($H828&gt;J828,MIN($H828-J828,K828-J828)*INDEX('2018_commission_structure'!$A$5:$J$8,MATCH(Calculations!$E828,'2018_commission_structure'!$A$5:$A$8,0),MATCH(Calculations!X$1,'2018_commission_structure'!$A$5:$J$5,0)),0)</f>
        <v>0</v>
      </c>
      <c r="Y828" s="2">
        <f>IF($H828&gt;K828,MIN($H828-K828,L828-K828)*INDEX('2018_commission_structure'!$A$5:$J$8,MATCH(Calculations!$E828,'2018_commission_structure'!$A$5:$A$8,0),MATCH(Calculations!Y$1,'2018_commission_structure'!$A$5:$J$5,0)),0)</f>
        <v>0</v>
      </c>
      <c r="Z828" s="2">
        <f xml:space="preserve"> IF(H828&gt;L828,(H828-L828)*INDEX('2018_commission_structure'!$A$11:$I$14,MATCH(Calculations!$E828,'2018_commission_structure'!$A$11:$A$14,0),MATCH(Calculations!Z$1,'2018_commission_structure'!$A$11:$I$11,0)),0)</f>
        <v>0</v>
      </c>
      <c r="AA828" s="7">
        <f t="shared" si="115"/>
        <v>111390.48</v>
      </c>
      <c r="AB828" s="7">
        <f t="shared" si="116"/>
        <v>161767.47999999998</v>
      </c>
    </row>
    <row r="829" spans="1:28" x14ac:dyDescent="0.25">
      <c r="A829">
        <v>483886254</v>
      </c>
      <c r="B829" t="s">
        <v>1514</v>
      </c>
      <c r="C829" t="s">
        <v>1515</v>
      </c>
      <c r="D829" t="str">
        <f>B829&amp;" "&amp;C829</f>
        <v>Amalee Shaddock</v>
      </c>
      <c r="E829" t="s">
        <v>7</v>
      </c>
      <c r="F829">
        <v>58261</v>
      </c>
      <c r="G829">
        <f>COUNTIF(deals_closed!D:D,Calculations!A829)</f>
        <v>26</v>
      </c>
      <c r="H829" s="2">
        <f>SUMIF(deals_closed!D:D,Calculations!A829,deals_closed!C:C)</f>
        <v>921445</v>
      </c>
      <c r="I829" s="2">
        <f>VLOOKUP(E829,'2018_commission_structure'!$A$11:$I$14,9,FALSE)</f>
        <v>500000</v>
      </c>
      <c r="J829" s="2">
        <f t="shared" si="108"/>
        <v>625000</v>
      </c>
      <c r="K829" s="2">
        <f t="shared" si="109"/>
        <v>750000</v>
      </c>
      <c r="L829" s="2">
        <f t="shared" si="110"/>
        <v>1000000</v>
      </c>
      <c r="M829" s="6">
        <f t="shared" si="111"/>
        <v>1.8428899999999999</v>
      </c>
      <c r="N829" t="str">
        <f t="shared" si="112"/>
        <v>150-200%</v>
      </c>
      <c r="O829" s="7">
        <f>MIN(I829,H829)*INDEX('2018_commission_structure'!$A$11:$I$14,MATCH(Calculations!$E829,'2018_commission_structure'!$A$11:$A$14,0),MATCH(Calculations!O$1,'2018_commission_structure'!$A$11:$I$11,0))</f>
        <v>50000</v>
      </c>
      <c r="P829" s="7">
        <f>IF($H829&gt;I829,MIN($H829-I829,J829-I829)*INDEX('2018_commission_structure'!$A$11:$I$14,MATCH(Calculations!$E829,'2018_commission_structure'!$A$11:$A$14,0), MATCH(Calculations!P$1,'2018_commission_structure'!$A$11:$I$11,0)),0)</f>
        <v>18750</v>
      </c>
      <c r="Q829" s="7">
        <f>IF($H829&gt;J829,MIN($H829-J829,K829-J829)*INDEX('2018_commission_structure'!$A$11:$I$14,MATCH(Calculations!$E829,'2018_commission_structure'!$A$11:$A$14,0), MATCH(Calculations!Q$1,'2018_commission_structure'!$A$11:$I$11,0)),0)</f>
        <v>22500</v>
      </c>
      <c r="R829" s="7">
        <f>IF($H829&gt;K829,MIN($H829-K829,L829-K829)*INDEX('2018_commission_structure'!$A$11:$I$14,MATCH(Calculations!$E829,'2018_commission_structure'!$A$11:$A$14,0), MATCH(Calculations!R$1,'2018_commission_structure'!$A$11:$I$11,0)),0)</f>
        <v>37717.9</v>
      </c>
      <c r="S829" s="7">
        <f>IF(H829&gt;L829,(H829-L829)*INDEX('2018_commission_structure'!$A$11:$I$14,MATCH(Calculations!$E829,'2018_commission_structure'!$A$11:$A$14,0),MATCH(Calculations!S$1,'2018_commission_structure'!$A$11:$I$11,0)),0)</f>
        <v>0</v>
      </c>
      <c r="T829" s="7">
        <f t="shared" si="113"/>
        <v>128967.9</v>
      </c>
      <c r="U829" s="7">
        <f t="shared" si="114"/>
        <v>187228.9</v>
      </c>
      <c r="V829" s="7">
        <f>MIN(H829,I829)*INDEX('2018_commission_structure'!$A$5:$J$8,MATCH(Calculations!$E829,'2018_commission_structure'!$A$5:$A$8,0),MATCH(Calculations!V$1,'2018_commission_structure'!$A$5:$J$5,0))</f>
        <v>60000</v>
      </c>
      <c r="W829" s="2">
        <f>IF($H829&gt;I829,MIN($H829-I829,J829-I829)*INDEX('2018_commission_structure'!$A$5:$J$8,MATCH(Calculations!$E829,'2018_commission_structure'!$A$5:$A$8,0),MATCH(Calculations!W$1,'2018_commission_structure'!$A$5:$J$5,0)),0)</f>
        <v>21250</v>
      </c>
      <c r="X829" s="2">
        <f>IF($H829&gt;J829,MIN($H829-J829,K829-J829)*INDEX('2018_commission_structure'!$A$5:$J$8,MATCH(Calculations!$E829,'2018_commission_structure'!$A$5:$A$8,0),MATCH(Calculations!X$1,'2018_commission_structure'!$A$5:$J$5,0)),0)</f>
        <v>25000</v>
      </c>
      <c r="Y829" s="2">
        <f>IF($H829&gt;K829,MIN($H829-K829,L829-K829)*INDEX('2018_commission_structure'!$A$5:$J$8,MATCH(Calculations!$E829,'2018_commission_structure'!$A$5:$A$8,0),MATCH(Calculations!Y$1,'2018_commission_structure'!$A$5:$J$5,0)),0)</f>
        <v>37717.9</v>
      </c>
      <c r="Z829" s="2">
        <f xml:space="preserve"> IF(H829&gt;L829,(H829-L829)*INDEX('2018_commission_structure'!$A$11:$I$14,MATCH(Calculations!$E829,'2018_commission_structure'!$A$11:$A$14,0),MATCH(Calculations!Z$1,'2018_commission_structure'!$A$11:$I$11,0)),0)</f>
        <v>0</v>
      </c>
      <c r="AA829" s="7">
        <f t="shared" si="115"/>
        <v>143967.9</v>
      </c>
      <c r="AB829" s="7">
        <f t="shared" si="116"/>
        <v>202228.9</v>
      </c>
    </row>
    <row r="830" spans="1:28" x14ac:dyDescent="0.25">
      <c r="A830">
        <v>8620758454</v>
      </c>
      <c r="B830" t="s">
        <v>1712</v>
      </c>
      <c r="C830" t="s">
        <v>1713</v>
      </c>
      <c r="D830" t="str">
        <f>B830&amp;" "&amp;C830</f>
        <v>Anabel Shall</v>
      </c>
      <c r="E830" t="s">
        <v>10</v>
      </c>
      <c r="F830">
        <v>115098</v>
      </c>
      <c r="G830">
        <f>COUNTIF(deals_closed!D:D,Calculations!A830)</f>
        <v>25</v>
      </c>
      <c r="H830" s="2">
        <f>SUMIF(deals_closed!D:D,Calculations!A830,deals_closed!C:C)</f>
        <v>895664</v>
      </c>
      <c r="I830" s="2">
        <f>VLOOKUP(E830,'2018_commission_structure'!$A$11:$I$14,9,FALSE)</f>
        <v>750000</v>
      </c>
      <c r="J830" s="2">
        <f t="shared" si="108"/>
        <v>937500</v>
      </c>
      <c r="K830" s="2">
        <f t="shared" si="109"/>
        <v>1125000</v>
      </c>
      <c r="L830" s="2">
        <f t="shared" si="110"/>
        <v>1500000</v>
      </c>
      <c r="M830" s="6">
        <f t="shared" si="111"/>
        <v>1.1942186666666668</v>
      </c>
      <c r="N830" t="str">
        <f t="shared" si="112"/>
        <v>100-125%</v>
      </c>
      <c r="O830" s="7">
        <f>MIN(I830,H830)*INDEX('2018_commission_structure'!$A$11:$I$14,MATCH(Calculations!$E830,'2018_commission_structure'!$A$11:$A$14,0),MATCH(Calculations!O$1,'2018_commission_structure'!$A$11:$I$11,0))</f>
        <v>112500</v>
      </c>
      <c r="P830" s="7">
        <f>IF($H830&gt;I830,MIN($H830-I830,J830-I830)*INDEX('2018_commission_structure'!$A$11:$I$14,MATCH(Calculations!$E830,'2018_commission_structure'!$A$11:$A$14,0), MATCH(Calculations!P$1,'2018_commission_structure'!$A$11:$I$11,0)),0)</f>
        <v>27676.16</v>
      </c>
      <c r="Q830" s="7">
        <f>IF($H830&gt;J830,MIN($H830-J830,K830-J830)*INDEX('2018_commission_structure'!$A$11:$I$14,MATCH(Calculations!$E830,'2018_commission_structure'!$A$11:$A$14,0), MATCH(Calculations!Q$1,'2018_commission_structure'!$A$11:$I$11,0)),0)</f>
        <v>0</v>
      </c>
      <c r="R830" s="7">
        <f>IF($H830&gt;K830,MIN($H830-K830,L830-K830)*INDEX('2018_commission_structure'!$A$11:$I$14,MATCH(Calculations!$E830,'2018_commission_structure'!$A$11:$A$14,0), MATCH(Calculations!R$1,'2018_commission_structure'!$A$11:$I$11,0)),0)</f>
        <v>0</v>
      </c>
      <c r="S830" s="7">
        <f>IF(H830&gt;L830,(H830-L830)*INDEX('2018_commission_structure'!$A$11:$I$14,MATCH(Calculations!$E830,'2018_commission_structure'!$A$11:$A$14,0),MATCH(Calculations!S$1,'2018_commission_structure'!$A$11:$I$11,0)),0)</f>
        <v>0</v>
      </c>
      <c r="T830" s="7">
        <f t="shared" si="113"/>
        <v>140176.16</v>
      </c>
      <c r="U830" s="7">
        <f t="shared" si="114"/>
        <v>255274.16</v>
      </c>
      <c r="V830" s="7">
        <f>MIN(H830,I830)*INDEX('2018_commission_structure'!$A$5:$J$8,MATCH(Calculations!$E830,'2018_commission_structure'!$A$5:$A$8,0),MATCH(Calculations!V$1,'2018_commission_structure'!$A$5:$J$5,0))</f>
        <v>112500</v>
      </c>
      <c r="W830" s="2">
        <f>IF($H830&gt;I830,MIN($H830-I830,J830-I830)*INDEX('2018_commission_structure'!$A$5:$J$8,MATCH(Calculations!$E830,'2018_commission_structure'!$A$5:$A$8,0),MATCH(Calculations!W$1,'2018_commission_structure'!$A$5:$J$5,0)),0)</f>
        <v>32046.080000000002</v>
      </c>
      <c r="X830" s="2">
        <f>IF($H830&gt;J830,MIN($H830-J830,K830-J830)*INDEX('2018_commission_structure'!$A$5:$J$8,MATCH(Calculations!$E830,'2018_commission_structure'!$A$5:$A$8,0),MATCH(Calculations!X$1,'2018_commission_structure'!$A$5:$J$5,0)),0)</f>
        <v>0</v>
      </c>
      <c r="Y830" s="2">
        <f>IF($H830&gt;K830,MIN($H830-K830,L830-K830)*INDEX('2018_commission_structure'!$A$5:$J$8,MATCH(Calculations!$E830,'2018_commission_structure'!$A$5:$A$8,0),MATCH(Calculations!Y$1,'2018_commission_structure'!$A$5:$J$5,0)),0)</f>
        <v>0</v>
      </c>
      <c r="Z830" s="2">
        <f xml:space="preserve"> IF(H830&gt;L830,(H830-L830)*INDEX('2018_commission_structure'!$A$11:$I$14,MATCH(Calculations!$E830,'2018_commission_structure'!$A$11:$A$14,0),MATCH(Calculations!Z$1,'2018_commission_structure'!$A$11:$I$11,0)),0)</f>
        <v>0</v>
      </c>
      <c r="AA830" s="7">
        <f t="shared" si="115"/>
        <v>144546.08000000002</v>
      </c>
      <c r="AB830" s="7">
        <f t="shared" si="116"/>
        <v>259644.08000000002</v>
      </c>
    </row>
    <row r="831" spans="1:28" x14ac:dyDescent="0.25">
      <c r="A831">
        <v>8024322455</v>
      </c>
      <c r="B831" t="s">
        <v>1231</v>
      </c>
      <c r="C831" t="s">
        <v>1232</v>
      </c>
      <c r="D831" t="str">
        <f>B831&amp;" "&amp;C831</f>
        <v>Pren Shanahan</v>
      </c>
      <c r="E831" t="s">
        <v>29</v>
      </c>
      <c r="F831">
        <v>57634</v>
      </c>
      <c r="G831">
        <f>COUNTIF(deals_closed!D:D,Calculations!A831)</f>
        <v>19</v>
      </c>
      <c r="H831" s="2">
        <f>SUMIF(deals_closed!D:D,Calculations!A831,deals_closed!C:C)</f>
        <v>689635</v>
      </c>
      <c r="I831" s="2">
        <f>VLOOKUP(E831,'2018_commission_structure'!$A$11:$I$14,9,FALSE)</f>
        <v>600000</v>
      </c>
      <c r="J831" s="2">
        <f t="shared" si="108"/>
        <v>750000</v>
      </c>
      <c r="K831" s="2">
        <f t="shared" si="109"/>
        <v>900000</v>
      </c>
      <c r="L831" s="2">
        <f t="shared" si="110"/>
        <v>1200000</v>
      </c>
      <c r="M831" s="6">
        <f t="shared" si="111"/>
        <v>1.1493916666666666</v>
      </c>
      <c r="N831" t="str">
        <f t="shared" si="112"/>
        <v>100-125%</v>
      </c>
      <c r="O831" s="7">
        <f>MIN(I831,H831)*INDEX('2018_commission_structure'!$A$11:$I$14,MATCH(Calculations!$E831,'2018_commission_structure'!$A$11:$A$14,0),MATCH(Calculations!O$1,'2018_commission_structure'!$A$11:$I$11,0))</f>
        <v>78000</v>
      </c>
      <c r="P831" s="7">
        <f>IF($H831&gt;I831,MIN($H831-I831,J831-I831)*INDEX('2018_commission_structure'!$A$11:$I$14,MATCH(Calculations!$E831,'2018_commission_structure'!$A$11:$A$14,0), MATCH(Calculations!P$1,'2018_commission_structure'!$A$11:$I$11,0)),0)</f>
        <v>15237.95</v>
      </c>
      <c r="Q831" s="7">
        <f>IF($H831&gt;J831,MIN($H831-J831,K831-J831)*INDEX('2018_commission_structure'!$A$11:$I$14,MATCH(Calculations!$E831,'2018_commission_structure'!$A$11:$A$14,0), MATCH(Calculations!Q$1,'2018_commission_structure'!$A$11:$I$11,0)),0)</f>
        <v>0</v>
      </c>
      <c r="R831" s="7">
        <f>IF($H831&gt;K831,MIN($H831-K831,L831-K831)*INDEX('2018_commission_structure'!$A$11:$I$14,MATCH(Calculations!$E831,'2018_commission_structure'!$A$11:$A$14,0), MATCH(Calculations!R$1,'2018_commission_structure'!$A$11:$I$11,0)),0)</f>
        <v>0</v>
      </c>
      <c r="S831" s="7">
        <f>IF(H831&gt;L831,(H831-L831)*INDEX('2018_commission_structure'!$A$11:$I$14,MATCH(Calculations!$E831,'2018_commission_structure'!$A$11:$A$14,0),MATCH(Calculations!S$1,'2018_commission_structure'!$A$11:$I$11,0)),0)</f>
        <v>0</v>
      </c>
      <c r="T831" s="7">
        <f t="shared" si="113"/>
        <v>93237.95</v>
      </c>
      <c r="U831" s="7">
        <f t="shared" si="114"/>
        <v>150871.95000000001</v>
      </c>
      <c r="V831" s="7">
        <f>MIN(H831,I831)*INDEX('2018_commission_structure'!$A$5:$J$8,MATCH(Calculations!$E831,'2018_commission_structure'!$A$5:$A$8,0),MATCH(Calculations!V$1,'2018_commission_structure'!$A$5:$J$5,0))</f>
        <v>90000</v>
      </c>
      <c r="W831" s="2">
        <f>IF($H831&gt;I831,MIN($H831-I831,J831-I831)*INDEX('2018_commission_structure'!$A$5:$J$8,MATCH(Calculations!$E831,'2018_commission_structure'!$A$5:$A$8,0),MATCH(Calculations!W$1,'2018_commission_structure'!$A$5:$J$5,0)),0)</f>
        <v>16134.3</v>
      </c>
      <c r="X831" s="2">
        <f>IF($H831&gt;J831,MIN($H831-J831,K831-J831)*INDEX('2018_commission_structure'!$A$5:$J$8,MATCH(Calculations!$E831,'2018_commission_structure'!$A$5:$A$8,0),MATCH(Calculations!X$1,'2018_commission_structure'!$A$5:$J$5,0)),0)</f>
        <v>0</v>
      </c>
      <c r="Y831" s="2">
        <f>IF($H831&gt;K831,MIN($H831-K831,L831-K831)*INDEX('2018_commission_structure'!$A$5:$J$8,MATCH(Calculations!$E831,'2018_commission_structure'!$A$5:$A$8,0),MATCH(Calculations!Y$1,'2018_commission_structure'!$A$5:$J$5,0)),0)</f>
        <v>0</v>
      </c>
      <c r="Z831" s="2">
        <f xml:space="preserve"> IF(H831&gt;L831,(H831-L831)*INDEX('2018_commission_structure'!$A$11:$I$14,MATCH(Calculations!$E831,'2018_commission_structure'!$A$11:$A$14,0),MATCH(Calculations!Z$1,'2018_commission_structure'!$A$11:$I$11,0)),0)</f>
        <v>0</v>
      </c>
      <c r="AA831" s="7">
        <f t="shared" si="115"/>
        <v>106134.3</v>
      </c>
      <c r="AB831" s="7">
        <f t="shared" si="116"/>
        <v>163768.29999999999</v>
      </c>
    </row>
    <row r="832" spans="1:28" x14ac:dyDescent="0.25">
      <c r="A832">
        <v>1755716656</v>
      </c>
      <c r="B832" t="s">
        <v>206</v>
      </c>
      <c r="C832" t="s">
        <v>207</v>
      </c>
      <c r="D832" t="str">
        <f>B832&amp;" "&amp;C832</f>
        <v>Melina Shapter</v>
      </c>
      <c r="E832" t="s">
        <v>7</v>
      </c>
      <c r="F832">
        <v>47083</v>
      </c>
      <c r="G832">
        <f>COUNTIF(deals_closed!D:D,Calculations!A832)</f>
        <v>20</v>
      </c>
      <c r="H832" s="2">
        <f>SUMIF(deals_closed!D:D,Calculations!A832,deals_closed!C:C)</f>
        <v>720615</v>
      </c>
      <c r="I832" s="2">
        <f>VLOOKUP(E832,'2018_commission_structure'!$A$11:$I$14,9,FALSE)</f>
        <v>500000</v>
      </c>
      <c r="J832" s="2">
        <f t="shared" si="108"/>
        <v>625000</v>
      </c>
      <c r="K832" s="2">
        <f t="shared" si="109"/>
        <v>750000</v>
      </c>
      <c r="L832" s="2">
        <f t="shared" si="110"/>
        <v>1000000</v>
      </c>
      <c r="M832" s="6">
        <f t="shared" si="111"/>
        <v>1.44123</v>
      </c>
      <c r="N832" t="str">
        <f t="shared" si="112"/>
        <v>125-150%</v>
      </c>
      <c r="O832" s="7">
        <f>MIN(I832,H832)*INDEX('2018_commission_structure'!$A$11:$I$14,MATCH(Calculations!$E832,'2018_commission_structure'!$A$11:$A$14,0),MATCH(Calculations!O$1,'2018_commission_structure'!$A$11:$I$11,0))</f>
        <v>50000</v>
      </c>
      <c r="P832" s="7">
        <f>IF($H832&gt;I832,MIN($H832-I832,J832-I832)*INDEX('2018_commission_structure'!$A$11:$I$14,MATCH(Calculations!$E832,'2018_commission_structure'!$A$11:$A$14,0), MATCH(Calculations!P$1,'2018_commission_structure'!$A$11:$I$11,0)),0)</f>
        <v>18750</v>
      </c>
      <c r="Q832" s="7">
        <f>IF($H832&gt;J832,MIN($H832-J832,K832-J832)*INDEX('2018_commission_structure'!$A$11:$I$14,MATCH(Calculations!$E832,'2018_commission_structure'!$A$11:$A$14,0), MATCH(Calculations!Q$1,'2018_commission_structure'!$A$11:$I$11,0)),0)</f>
        <v>17210.7</v>
      </c>
      <c r="R832" s="7">
        <f>IF($H832&gt;K832,MIN($H832-K832,L832-K832)*INDEX('2018_commission_structure'!$A$11:$I$14,MATCH(Calculations!$E832,'2018_commission_structure'!$A$11:$A$14,0), MATCH(Calculations!R$1,'2018_commission_structure'!$A$11:$I$11,0)),0)</f>
        <v>0</v>
      </c>
      <c r="S832" s="7">
        <f>IF(H832&gt;L832,(H832-L832)*INDEX('2018_commission_structure'!$A$11:$I$14,MATCH(Calculations!$E832,'2018_commission_structure'!$A$11:$A$14,0),MATCH(Calculations!S$1,'2018_commission_structure'!$A$11:$I$11,0)),0)</f>
        <v>0</v>
      </c>
      <c r="T832" s="7">
        <f t="shared" si="113"/>
        <v>85960.7</v>
      </c>
      <c r="U832" s="7">
        <f t="shared" si="114"/>
        <v>133043.70000000001</v>
      </c>
      <c r="V832" s="7">
        <f>MIN(H832,I832)*INDEX('2018_commission_structure'!$A$5:$J$8,MATCH(Calculations!$E832,'2018_commission_structure'!$A$5:$A$8,0),MATCH(Calculations!V$1,'2018_commission_structure'!$A$5:$J$5,0))</f>
        <v>60000</v>
      </c>
      <c r="W832" s="2">
        <f>IF($H832&gt;I832,MIN($H832-I832,J832-I832)*INDEX('2018_commission_structure'!$A$5:$J$8,MATCH(Calculations!$E832,'2018_commission_structure'!$A$5:$A$8,0),MATCH(Calculations!W$1,'2018_commission_structure'!$A$5:$J$5,0)),0)</f>
        <v>21250</v>
      </c>
      <c r="X832" s="2">
        <f>IF($H832&gt;J832,MIN($H832-J832,K832-J832)*INDEX('2018_commission_structure'!$A$5:$J$8,MATCH(Calculations!$E832,'2018_commission_structure'!$A$5:$A$8,0),MATCH(Calculations!X$1,'2018_commission_structure'!$A$5:$J$5,0)),0)</f>
        <v>19123</v>
      </c>
      <c r="Y832" s="2">
        <f>IF($H832&gt;K832,MIN($H832-K832,L832-K832)*INDEX('2018_commission_structure'!$A$5:$J$8,MATCH(Calculations!$E832,'2018_commission_structure'!$A$5:$A$8,0),MATCH(Calculations!Y$1,'2018_commission_structure'!$A$5:$J$5,0)),0)</f>
        <v>0</v>
      </c>
      <c r="Z832" s="2">
        <f xml:space="preserve"> IF(H832&gt;L832,(H832-L832)*INDEX('2018_commission_structure'!$A$11:$I$14,MATCH(Calculations!$E832,'2018_commission_structure'!$A$11:$A$14,0),MATCH(Calculations!Z$1,'2018_commission_structure'!$A$11:$I$11,0)),0)</f>
        <v>0</v>
      </c>
      <c r="AA832" s="7">
        <f t="shared" si="115"/>
        <v>100373</v>
      </c>
      <c r="AB832" s="7">
        <f t="shared" si="116"/>
        <v>147456</v>
      </c>
    </row>
    <row r="833" spans="1:28" x14ac:dyDescent="0.25">
      <c r="A833">
        <v>6126779991</v>
      </c>
      <c r="B833" t="s">
        <v>848</v>
      </c>
      <c r="C833" t="s">
        <v>849</v>
      </c>
      <c r="D833" t="str">
        <f>B833&amp;" "&amp;C833</f>
        <v>Basilio Shattock</v>
      </c>
      <c r="E833" t="s">
        <v>29</v>
      </c>
      <c r="F833">
        <v>74933</v>
      </c>
      <c r="G833">
        <f>COUNTIF(deals_closed!D:D,Calculations!A833)</f>
        <v>19</v>
      </c>
      <c r="H833" s="2">
        <f>SUMIF(deals_closed!D:D,Calculations!A833,deals_closed!C:C)</f>
        <v>642536</v>
      </c>
      <c r="I833" s="2">
        <f>VLOOKUP(E833,'2018_commission_structure'!$A$11:$I$14,9,FALSE)</f>
        <v>600000</v>
      </c>
      <c r="J833" s="2">
        <f t="shared" si="108"/>
        <v>750000</v>
      </c>
      <c r="K833" s="2">
        <f t="shared" si="109"/>
        <v>900000</v>
      </c>
      <c r="L833" s="2">
        <f t="shared" si="110"/>
        <v>1200000</v>
      </c>
      <c r="M833" s="6">
        <f t="shared" si="111"/>
        <v>1.0708933333333333</v>
      </c>
      <c r="N833" t="str">
        <f t="shared" si="112"/>
        <v>100-125%</v>
      </c>
      <c r="O833" s="7">
        <f>MIN(I833,H833)*INDEX('2018_commission_structure'!$A$11:$I$14,MATCH(Calculations!$E833,'2018_commission_structure'!$A$11:$A$14,0),MATCH(Calculations!O$1,'2018_commission_structure'!$A$11:$I$11,0))</f>
        <v>78000</v>
      </c>
      <c r="P833" s="7">
        <f>IF($H833&gt;I833,MIN($H833-I833,J833-I833)*INDEX('2018_commission_structure'!$A$11:$I$14,MATCH(Calculations!$E833,'2018_commission_structure'!$A$11:$A$14,0), MATCH(Calculations!P$1,'2018_commission_structure'!$A$11:$I$11,0)),0)</f>
        <v>7231.1200000000008</v>
      </c>
      <c r="Q833" s="7">
        <f>IF($H833&gt;J833,MIN($H833-J833,K833-J833)*INDEX('2018_commission_structure'!$A$11:$I$14,MATCH(Calculations!$E833,'2018_commission_structure'!$A$11:$A$14,0), MATCH(Calculations!Q$1,'2018_commission_structure'!$A$11:$I$11,0)),0)</f>
        <v>0</v>
      </c>
      <c r="R833" s="7">
        <f>IF($H833&gt;K833,MIN($H833-K833,L833-K833)*INDEX('2018_commission_structure'!$A$11:$I$14,MATCH(Calculations!$E833,'2018_commission_structure'!$A$11:$A$14,0), MATCH(Calculations!R$1,'2018_commission_structure'!$A$11:$I$11,0)),0)</f>
        <v>0</v>
      </c>
      <c r="S833" s="7">
        <f>IF(H833&gt;L833,(H833-L833)*INDEX('2018_commission_structure'!$A$11:$I$14,MATCH(Calculations!$E833,'2018_commission_structure'!$A$11:$A$14,0),MATCH(Calculations!S$1,'2018_commission_structure'!$A$11:$I$11,0)),0)</f>
        <v>0</v>
      </c>
      <c r="T833" s="7">
        <f t="shared" si="113"/>
        <v>85231.12</v>
      </c>
      <c r="U833" s="7">
        <f t="shared" si="114"/>
        <v>160164.12</v>
      </c>
      <c r="V833" s="7">
        <f>MIN(H833,I833)*INDEX('2018_commission_structure'!$A$5:$J$8,MATCH(Calculations!$E833,'2018_commission_structure'!$A$5:$A$8,0),MATCH(Calculations!V$1,'2018_commission_structure'!$A$5:$J$5,0))</f>
        <v>90000</v>
      </c>
      <c r="W833" s="2">
        <f>IF($H833&gt;I833,MIN($H833-I833,J833-I833)*INDEX('2018_commission_structure'!$A$5:$J$8,MATCH(Calculations!$E833,'2018_commission_structure'!$A$5:$A$8,0),MATCH(Calculations!W$1,'2018_commission_structure'!$A$5:$J$5,0)),0)</f>
        <v>7656.48</v>
      </c>
      <c r="X833" s="2">
        <f>IF($H833&gt;J833,MIN($H833-J833,K833-J833)*INDEX('2018_commission_structure'!$A$5:$J$8,MATCH(Calculations!$E833,'2018_commission_structure'!$A$5:$A$8,0),MATCH(Calculations!X$1,'2018_commission_structure'!$A$5:$J$5,0)),0)</f>
        <v>0</v>
      </c>
      <c r="Y833" s="2">
        <f>IF($H833&gt;K833,MIN($H833-K833,L833-K833)*INDEX('2018_commission_structure'!$A$5:$J$8,MATCH(Calculations!$E833,'2018_commission_structure'!$A$5:$A$8,0),MATCH(Calculations!Y$1,'2018_commission_structure'!$A$5:$J$5,0)),0)</f>
        <v>0</v>
      </c>
      <c r="Z833" s="2">
        <f xml:space="preserve"> IF(H833&gt;L833,(H833-L833)*INDEX('2018_commission_structure'!$A$11:$I$14,MATCH(Calculations!$E833,'2018_commission_structure'!$A$11:$A$14,0),MATCH(Calculations!Z$1,'2018_commission_structure'!$A$11:$I$11,0)),0)</f>
        <v>0</v>
      </c>
      <c r="AA833" s="7">
        <f t="shared" si="115"/>
        <v>97656.48</v>
      </c>
      <c r="AB833" s="7">
        <f t="shared" si="116"/>
        <v>172589.47999999998</v>
      </c>
    </row>
    <row r="834" spans="1:28" x14ac:dyDescent="0.25">
      <c r="A834">
        <v>6253520369</v>
      </c>
      <c r="B834" t="s">
        <v>1047</v>
      </c>
      <c r="C834" t="s">
        <v>1048</v>
      </c>
      <c r="D834" t="str">
        <f>B834&amp;" "&amp;C834</f>
        <v>Aviva Shayes</v>
      </c>
      <c r="E834" t="s">
        <v>29</v>
      </c>
      <c r="F834">
        <v>57050</v>
      </c>
      <c r="G834">
        <f>COUNTIF(deals_closed!D:D,Calculations!A834)</f>
        <v>19</v>
      </c>
      <c r="H834" s="2">
        <f>SUMIF(deals_closed!D:D,Calculations!A834,deals_closed!C:C)</f>
        <v>604575</v>
      </c>
      <c r="I834" s="2">
        <f>VLOOKUP(E834,'2018_commission_structure'!$A$11:$I$14,9,FALSE)</f>
        <v>600000</v>
      </c>
      <c r="J834" s="2">
        <f t="shared" ref="J834:J897" si="117">I834*1.25</f>
        <v>750000</v>
      </c>
      <c r="K834" s="2">
        <f t="shared" ref="K834:K897" si="118">I834*1.5</f>
        <v>900000</v>
      </c>
      <c r="L834" s="2">
        <f t="shared" ref="L834:L897" si="119">I834*2</f>
        <v>1200000</v>
      </c>
      <c r="M834" s="6">
        <f t="shared" ref="M834:M897" si="120">H834/I834</f>
        <v>1.007625</v>
      </c>
      <c r="N834" t="str">
        <f t="shared" ref="N834:N897" si="121">IF(M834&lt;=1, "0-100%", IF(M834&lt;=1.25, "100-125%", IF(M834&lt;=1.5, "125-150%", IF(M834&lt;=2, "150-200%", "&gt;200%"))))</f>
        <v>100-125%</v>
      </c>
      <c r="O834" s="7">
        <f>MIN(I834,H834)*INDEX('2018_commission_structure'!$A$11:$I$14,MATCH(Calculations!$E834,'2018_commission_structure'!$A$11:$A$14,0),MATCH(Calculations!O$1,'2018_commission_structure'!$A$11:$I$11,0))</f>
        <v>78000</v>
      </c>
      <c r="P834" s="7">
        <f>IF($H834&gt;I834,MIN($H834-I834,J834-I834)*INDEX('2018_commission_structure'!$A$11:$I$14,MATCH(Calculations!$E834,'2018_commission_structure'!$A$11:$A$14,0), MATCH(Calculations!P$1,'2018_commission_structure'!$A$11:$I$11,0)),0)</f>
        <v>777.75</v>
      </c>
      <c r="Q834" s="7">
        <f>IF($H834&gt;J834,MIN($H834-J834,K834-J834)*INDEX('2018_commission_structure'!$A$11:$I$14,MATCH(Calculations!$E834,'2018_commission_structure'!$A$11:$A$14,0), MATCH(Calculations!Q$1,'2018_commission_structure'!$A$11:$I$11,0)),0)</f>
        <v>0</v>
      </c>
      <c r="R834" s="7">
        <f>IF($H834&gt;K834,MIN($H834-K834,L834-K834)*INDEX('2018_commission_structure'!$A$11:$I$14,MATCH(Calculations!$E834,'2018_commission_structure'!$A$11:$A$14,0), MATCH(Calculations!R$1,'2018_commission_structure'!$A$11:$I$11,0)),0)</f>
        <v>0</v>
      </c>
      <c r="S834" s="7">
        <f>IF(H834&gt;L834,(H834-L834)*INDEX('2018_commission_structure'!$A$11:$I$14,MATCH(Calculations!$E834,'2018_commission_structure'!$A$11:$A$14,0),MATCH(Calculations!S$1,'2018_commission_structure'!$A$11:$I$11,0)),0)</f>
        <v>0</v>
      </c>
      <c r="T834" s="7">
        <f t="shared" ref="T834:T897" si="122">SUM(O834:S834)</f>
        <v>78777.75</v>
      </c>
      <c r="U834" s="7">
        <f t="shared" ref="U834:U897" si="123">T834+F834</f>
        <v>135827.75</v>
      </c>
      <c r="V834" s="7">
        <f>MIN(H834,I834)*INDEX('2018_commission_structure'!$A$5:$J$8,MATCH(Calculations!$E834,'2018_commission_structure'!$A$5:$A$8,0),MATCH(Calculations!V$1,'2018_commission_structure'!$A$5:$J$5,0))</f>
        <v>90000</v>
      </c>
      <c r="W834" s="2">
        <f>IF($H834&gt;I834,MIN($H834-I834,J834-I834)*INDEX('2018_commission_structure'!$A$5:$J$8,MATCH(Calculations!$E834,'2018_commission_structure'!$A$5:$A$8,0),MATCH(Calculations!W$1,'2018_commission_structure'!$A$5:$J$5,0)),0)</f>
        <v>823.5</v>
      </c>
      <c r="X834" s="2">
        <f>IF($H834&gt;J834,MIN($H834-J834,K834-J834)*INDEX('2018_commission_structure'!$A$5:$J$8,MATCH(Calculations!$E834,'2018_commission_structure'!$A$5:$A$8,0),MATCH(Calculations!X$1,'2018_commission_structure'!$A$5:$J$5,0)),0)</f>
        <v>0</v>
      </c>
      <c r="Y834" s="2">
        <f>IF($H834&gt;K834,MIN($H834-K834,L834-K834)*INDEX('2018_commission_structure'!$A$5:$J$8,MATCH(Calculations!$E834,'2018_commission_structure'!$A$5:$A$8,0),MATCH(Calculations!Y$1,'2018_commission_structure'!$A$5:$J$5,0)),0)</f>
        <v>0</v>
      </c>
      <c r="Z834" s="2">
        <f xml:space="preserve"> IF(H834&gt;L834,(H834-L834)*INDEX('2018_commission_structure'!$A$11:$I$14,MATCH(Calculations!$E834,'2018_commission_structure'!$A$11:$A$14,0),MATCH(Calculations!Z$1,'2018_commission_structure'!$A$11:$I$11,0)),0)</f>
        <v>0</v>
      </c>
      <c r="AA834" s="7">
        <f t="shared" si="115"/>
        <v>90823.5</v>
      </c>
      <c r="AB834" s="7">
        <f t="shared" si="116"/>
        <v>147873.5</v>
      </c>
    </row>
    <row r="835" spans="1:28" x14ac:dyDescent="0.25">
      <c r="A835">
        <v>132027631</v>
      </c>
      <c r="B835" t="s">
        <v>1219</v>
      </c>
      <c r="C835" t="s">
        <v>1220</v>
      </c>
      <c r="D835" t="str">
        <f>B835&amp;" "&amp;C835</f>
        <v>Millie Shayler</v>
      </c>
      <c r="E835" t="s">
        <v>29</v>
      </c>
      <c r="F835">
        <v>62126</v>
      </c>
      <c r="G835">
        <f>COUNTIF(deals_closed!D:D,Calculations!A835)</f>
        <v>28</v>
      </c>
      <c r="H835" s="2">
        <f>SUMIF(deals_closed!D:D,Calculations!A835,deals_closed!C:C)</f>
        <v>907833</v>
      </c>
      <c r="I835" s="2">
        <f>VLOOKUP(E835,'2018_commission_structure'!$A$11:$I$14,9,FALSE)</f>
        <v>600000</v>
      </c>
      <c r="J835" s="2">
        <f t="shared" si="117"/>
        <v>750000</v>
      </c>
      <c r="K835" s="2">
        <f t="shared" si="118"/>
        <v>900000</v>
      </c>
      <c r="L835" s="2">
        <f t="shared" si="119"/>
        <v>1200000</v>
      </c>
      <c r="M835" s="6">
        <f t="shared" si="120"/>
        <v>1.513055</v>
      </c>
      <c r="N835" t="str">
        <f t="shared" si="121"/>
        <v>150-200%</v>
      </c>
      <c r="O835" s="7">
        <f>MIN(I835,H835)*INDEX('2018_commission_structure'!$A$11:$I$14,MATCH(Calculations!$E835,'2018_commission_structure'!$A$11:$A$14,0),MATCH(Calculations!O$1,'2018_commission_structure'!$A$11:$I$11,0))</f>
        <v>78000</v>
      </c>
      <c r="P835" s="7">
        <f>IF($H835&gt;I835,MIN($H835-I835,J835-I835)*INDEX('2018_commission_structure'!$A$11:$I$14,MATCH(Calculations!$E835,'2018_commission_structure'!$A$11:$A$14,0), MATCH(Calculations!P$1,'2018_commission_structure'!$A$11:$I$11,0)),0)</f>
        <v>25500.000000000004</v>
      </c>
      <c r="Q835" s="7">
        <f>IF($H835&gt;J835,MIN($H835-J835,K835-J835)*INDEX('2018_commission_structure'!$A$11:$I$14,MATCH(Calculations!$E835,'2018_commission_structure'!$A$11:$A$14,0), MATCH(Calculations!Q$1,'2018_commission_structure'!$A$11:$I$11,0)),0)</f>
        <v>31500</v>
      </c>
      <c r="R835" s="7">
        <f>IF($H835&gt;K835,MIN($H835-K835,L835-K835)*INDEX('2018_commission_structure'!$A$11:$I$14,MATCH(Calculations!$E835,'2018_commission_structure'!$A$11:$A$14,0), MATCH(Calculations!R$1,'2018_commission_structure'!$A$11:$I$11,0)),0)</f>
        <v>2036.5800000000002</v>
      </c>
      <c r="S835" s="7">
        <f>IF(H835&gt;L835,(H835-L835)*INDEX('2018_commission_structure'!$A$11:$I$14,MATCH(Calculations!$E835,'2018_commission_structure'!$A$11:$A$14,0),MATCH(Calculations!S$1,'2018_commission_structure'!$A$11:$I$11,0)),0)</f>
        <v>0</v>
      </c>
      <c r="T835" s="7">
        <f t="shared" si="122"/>
        <v>137036.57999999999</v>
      </c>
      <c r="U835" s="7">
        <f t="shared" si="123"/>
        <v>199162.58</v>
      </c>
      <c r="V835" s="7">
        <f>MIN(H835,I835)*INDEX('2018_commission_structure'!$A$5:$J$8,MATCH(Calculations!$E835,'2018_commission_structure'!$A$5:$A$8,0),MATCH(Calculations!V$1,'2018_commission_structure'!$A$5:$J$5,0))</f>
        <v>90000</v>
      </c>
      <c r="W835" s="2">
        <f>IF($H835&gt;I835,MIN($H835-I835,J835-I835)*INDEX('2018_commission_structure'!$A$5:$J$8,MATCH(Calculations!$E835,'2018_commission_structure'!$A$5:$A$8,0),MATCH(Calculations!W$1,'2018_commission_structure'!$A$5:$J$5,0)),0)</f>
        <v>27000</v>
      </c>
      <c r="X835" s="2">
        <f>IF($H835&gt;J835,MIN($H835-J835,K835-J835)*INDEX('2018_commission_structure'!$A$5:$J$8,MATCH(Calculations!$E835,'2018_commission_structure'!$A$5:$A$8,0),MATCH(Calculations!X$1,'2018_commission_structure'!$A$5:$J$5,0)),0)</f>
        <v>37500</v>
      </c>
      <c r="Y835" s="2">
        <f>IF($H835&gt;K835,MIN($H835-K835,L835-K835)*INDEX('2018_commission_structure'!$A$5:$J$8,MATCH(Calculations!$E835,'2018_commission_structure'!$A$5:$A$8,0),MATCH(Calculations!Y$1,'2018_commission_structure'!$A$5:$J$5,0)),0)</f>
        <v>2349.9</v>
      </c>
      <c r="Z835" s="2">
        <f xml:space="preserve"> IF(H835&gt;L835,(H835-L835)*INDEX('2018_commission_structure'!$A$11:$I$14,MATCH(Calculations!$E835,'2018_commission_structure'!$A$11:$A$14,0),MATCH(Calculations!Z$1,'2018_commission_structure'!$A$11:$I$11,0)),0)</f>
        <v>0</v>
      </c>
      <c r="AA835" s="7">
        <f t="shared" ref="AA835:AA898" si="124">SUM(V835:Z835)</f>
        <v>156849.9</v>
      </c>
      <c r="AB835" s="7">
        <f t="shared" ref="AB835:AB898" si="125">AA835+F835</f>
        <v>218975.9</v>
      </c>
    </row>
    <row r="836" spans="1:28" x14ac:dyDescent="0.25">
      <c r="A836">
        <v>5002048994</v>
      </c>
      <c r="B836" t="s">
        <v>147</v>
      </c>
      <c r="C836" t="s">
        <v>148</v>
      </c>
      <c r="D836" t="str">
        <f>B836&amp;" "&amp;C836</f>
        <v>Katya Sheaf</v>
      </c>
      <c r="E836" t="s">
        <v>10</v>
      </c>
      <c r="F836">
        <v>89494</v>
      </c>
      <c r="G836">
        <f>COUNTIF(deals_closed!D:D,Calculations!A836)</f>
        <v>17</v>
      </c>
      <c r="H836" s="2">
        <f>SUMIF(deals_closed!D:D,Calculations!A836,deals_closed!C:C)</f>
        <v>625859</v>
      </c>
      <c r="I836" s="2">
        <f>VLOOKUP(E836,'2018_commission_structure'!$A$11:$I$14,9,FALSE)</f>
        <v>750000</v>
      </c>
      <c r="J836" s="2">
        <f t="shared" si="117"/>
        <v>937500</v>
      </c>
      <c r="K836" s="2">
        <f t="shared" si="118"/>
        <v>1125000</v>
      </c>
      <c r="L836" s="2">
        <f t="shared" si="119"/>
        <v>1500000</v>
      </c>
      <c r="M836" s="6">
        <f t="shared" si="120"/>
        <v>0.8344786666666667</v>
      </c>
      <c r="N836" t="str">
        <f t="shared" si="121"/>
        <v>0-100%</v>
      </c>
      <c r="O836" s="7">
        <f>MIN(I836,H836)*INDEX('2018_commission_structure'!$A$11:$I$14,MATCH(Calculations!$E836,'2018_commission_structure'!$A$11:$A$14,0),MATCH(Calculations!O$1,'2018_commission_structure'!$A$11:$I$11,0))</f>
        <v>93878.849999999991</v>
      </c>
      <c r="P836" s="7">
        <f>IF($H836&gt;I836,MIN($H836-I836,J836-I836)*INDEX('2018_commission_structure'!$A$11:$I$14,MATCH(Calculations!$E836,'2018_commission_structure'!$A$11:$A$14,0), MATCH(Calculations!P$1,'2018_commission_structure'!$A$11:$I$11,0)),0)</f>
        <v>0</v>
      </c>
      <c r="Q836" s="7">
        <f>IF($H836&gt;J836,MIN($H836-J836,K836-J836)*INDEX('2018_commission_structure'!$A$11:$I$14,MATCH(Calculations!$E836,'2018_commission_structure'!$A$11:$A$14,0), MATCH(Calculations!Q$1,'2018_commission_structure'!$A$11:$I$11,0)),0)</f>
        <v>0</v>
      </c>
      <c r="R836" s="7">
        <f>IF($H836&gt;K836,MIN($H836-K836,L836-K836)*INDEX('2018_commission_structure'!$A$11:$I$14,MATCH(Calculations!$E836,'2018_commission_structure'!$A$11:$A$14,0), MATCH(Calculations!R$1,'2018_commission_structure'!$A$11:$I$11,0)),0)</f>
        <v>0</v>
      </c>
      <c r="S836" s="7">
        <f>IF(H836&gt;L836,(H836-L836)*INDEX('2018_commission_structure'!$A$11:$I$14,MATCH(Calculations!$E836,'2018_commission_structure'!$A$11:$A$14,0),MATCH(Calculations!S$1,'2018_commission_structure'!$A$11:$I$11,0)),0)</f>
        <v>0</v>
      </c>
      <c r="T836" s="7">
        <f t="shared" si="122"/>
        <v>93878.849999999991</v>
      </c>
      <c r="U836" s="7">
        <f t="shared" si="123"/>
        <v>183372.84999999998</v>
      </c>
      <c r="V836" s="7">
        <f>MIN(H836,I836)*INDEX('2018_commission_structure'!$A$5:$J$8,MATCH(Calculations!$E836,'2018_commission_structure'!$A$5:$A$8,0),MATCH(Calculations!V$1,'2018_commission_structure'!$A$5:$J$5,0))</f>
        <v>93878.849999999991</v>
      </c>
      <c r="W836" s="2">
        <f>IF($H836&gt;I836,MIN($H836-I836,J836-I836)*INDEX('2018_commission_structure'!$A$5:$J$8,MATCH(Calculations!$E836,'2018_commission_structure'!$A$5:$A$8,0),MATCH(Calculations!W$1,'2018_commission_structure'!$A$5:$J$5,0)),0)</f>
        <v>0</v>
      </c>
      <c r="X836" s="2">
        <f>IF($H836&gt;J836,MIN($H836-J836,K836-J836)*INDEX('2018_commission_structure'!$A$5:$J$8,MATCH(Calculations!$E836,'2018_commission_structure'!$A$5:$A$8,0),MATCH(Calculations!X$1,'2018_commission_structure'!$A$5:$J$5,0)),0)</f>
        <v>0</v>
      </c>
      <c r="Y836" s="2">
        <f>IF($H836&gt;K836,MIN($H836-K836,L836-K836)*INDEX('2018_commission_structure'!$A$5:$J$8,MATCH(Calculations!$E836,'2018_commission_structure'!$A$5:$A$8,0),MATCH(Calculations!Y$1,'2018_commission_structure'!$A$5:$J$5,0)),0)</f>
        <v>0</v>
      </c>
      <c r="Z836" s="2">
        <f xml:space="preserve"> IF(H836&gt;L836,(H836-L836)*INDEX('2018_commission_structure'!$A$11:$I$14,MATCH(Calculations!$E836,'2018_commission_structure'!$A$11:$A$14,0),MATCH(Calculations!Z$1,'2018_commission_structure'!$A$11:$I$11,0)),0)</f>
        <v>0</v>
      </c>
      <c r="AA836" s="7">
        <f t="shared" si="124"/>
        <v>93878.849999999991</v>
      </c>
      <c r="AB836" s="7">
        <f t="shared" si="125"/>
        <v>183372.84999999998</v>
      </c>
    </row>
    <row r="837" spans="1:28" x14ac:dyDescent="0.25">
      <c r="A837">
        <v>3428040538</v>
      </c>
      <c r="B837" t="s">
        <v>1662</v>
      </c>
      <c r="C837" t="s">
        <v>1663</v>
      </c>
      <c r="D837" t="str">
        <f>B837&amp;" "&amp;C837</f>
        <v>Jessica Sheather</v>
      </c>
      <c r="E837" t="s">
        <v>7</v>
      </c>
      <c r="F837">
        <v>36021</v>
      </c>
      <c r="G837">
        <f>COUNTIF(deals_closed!D:D,Calculations!A837)</f>
        <v>17</v>
      </c>
      <c r="H837" s="2">
        <f>SUMIF(deals_closed!D:D,Calculations!A837,deals_closed!C:C)</f>
        <v>650996</v>
      </c>
      <c r="I837" s="2">
        <f>VLOOKUP(E837,'2018_commission_structure'!$A$11:$I$14,9,FALSE)</f>
        <v>500000</v>
      </c>
      <c r="J837" s="2">
        <f t="shared" si="117"/>
        <v>625000</v>
      </c>
      <c r="K837" s="2">
        <f t="shared" si="118"/>
        <v>750000</v>
      </c>
      <c r="L837" s="2">
        <f t="shared" si="119"/>
        <v>1000000</v>
      </c>
      <c r="M837" s="6">
        <f t="shared" si="120"/>
        <v>1.301992</v>
      </c>
      <c r="N837" t="str">
        <f t="shared" si="121"/>
        <v>125-150%</v>
      </c>
      <c r="O837" s="7">
        <f>MIN(I837,H837)*INDEX('2018_commission_structure'!$A$11:$I$14,MATCH(Calculations!$E837,'2018_commission_structure'!$A$11:$A$14,0),MATCH(Calculations!O$1,'2018_commission_structure'!$A$11:$I$11,0))</f>
        <v>50000</v>
      </c>
      <c r="P837" s="7">
        <f>IF($H837&gt;I837,MIN($H837-I837,J837-I837)*INDEX('2018_commission_structure'!$A$11:$I$14,MATCH(Calculations!$E837,'2018_commission_structure'!$A$11:$A$14,0), MATCH(Calculations!P$1,'2018_commission_structure'!$A$11:$I$11,0)),0)</f>
        <v>18750</v>
      </c>
      <c r="Q837" s="7">
        <f>IF($H837&gt;J837,MIN($H837-J837,K837-J837)*INDEX('2018_commission_structure'!$A$11:$I$14,MATCH(Calculations!$E837,'2018_commission_structure'!$A$11:$A$14,0), MATCH(Calculations!Q$1,'2018_commission_structure'!$A$11:$I$11,0)),0)</f>
        <v>4679.28</v>
      </c>
      <c r="R837" s="7">
        <f>IF($H837&gt;K837,MIN($H837-K837,L837-K837)*INDEX('2018_commission_structure'!$A$11:$I$14,MATCH(Calculations!$E837,'2018_commission_structure'!$A$11:$A$14,0), MATCH(Calculations!R$1,'2018_commission_structure'!$A$11:$I$11,0)),0)</f>
        <v>0</v>
      </c>
      <c r="S837" s="7">
        <f>IF(H837&gt;L837,(H837-L837)*INDEX('2018_commission_structure'!$A$11:$I$14,MATCH(Calculations!$E837,'2018_commission_structure'!$A$11:$A$14,0),MATCH(Calculations!S$1,'2018_commission_structure'!$A$11:$I$11,0)),0)</f>
        <v>0</v>
      </c>
      <c r="T837" s="7">
        <f t="shared" si="122"/>
        <v>73429.279999999999</v>
      </c>
      <c r="U837" s="7">
        <f t="shared" si="123"/>
        <v>109450.28</v>
      </c>
      <c r="V837" s="7">
        <f>MIN(H837,I837)*INDEX('2018_commission_structure'!$A$5:$J$8,MATCH(Calculations!$E837,'2018_commission_structure'!$A$5:$A$8,0),MATCH(Calculations!V$1,'2018_commission_structure'!$A$5:$J$5,0))</f>
        <v>60000</v>
      </c>
      <c r="W837" s="2">
        <f>IF($H837&gt;I837,MIN($H837-I837,J837-I837)*INDEX('2018_commission_structure'!$A$5:$J$8,MATCH(Calculations!$E837,'2018_commission_structure'!$A$5:$A$8,0),MATCH(Calculations!W$1,'2018_commission_structure'!$A$5:$J$5,0)),0)</f>
        <v>21250</v>
      </c>
      <c r="X837" s="2">
        <f>IF($H837&gt;J837,MIN($H837-J837,K837-J837)*INDEX('2018_commission_structure'!$A$5:$J$8,MATCH(Calculations!$E837,'2018_commission_structure'!$A$5:$A$8,0),MATCH(Calculations!X$1,'2018_commission_structure'!$A$5:$J$5,0)),0)</f>
        <v>5199.2000000000007</v>
      </c>
      <c r="Y837" s="2">
        <f>IF($H837&gt;K837,MIN($H837-K837,L837-K837)*INDEX('2018_commission_structure'!$A$5:$J$8,MATCH(Calculations!$E837,'2018_commission_structure'!$A$5:$A$8,0),MATCH(Calculations!Y$1,'2018_commission_structure'!$A$5:$J$5,0)),0)</f>
        <v>0</v>
      </c>
      <c r="Z837" s="2">
        <f xml:space="preserve"> IF(H837&gt;L837,(H837-L837)*INDEX('2018_commission_structure'!$A$11:$I$14,MATCH(Calculations!$E837,'2018_commission_structure'!$A$11:$A$14,0),MATCH(Calculations!Z$1,'2018_commission_structure'!$A$11:$I$11,0)),0)</f>
        <v>0</v>
      </c>
      <c r="AA837" s="7">
        <f t="shared" si="124"/>
        <v>86449.2</v>
      </c>
      <c r="AB837" s="7">
        <f t="shared" si="125"/>
        <v>122470.2</v>
      </c>
    </row>
    <row r="838" spans="1:28" x14ac:dyDescent="0.25">
      <c r="A838">
        <v>2402470968</v>
      </c>
      <c r="B838" t="s">
        <v>85</v>
      </c>
      <c r="C838" t="s">
        <v>86</v>
      </c>
      <c r="D838" t="str">
        <f>B838&amp;" "&amp;C838</f>
        <v>Aluino Sheerin</v>
      </c>
      <c r="E838" t="s">
        <v>10</v>
      </c>
      <c r="F838">
        <v>99023</v>
      </c>
      <c r="G838">
        <f>COUNTIF(deals_closed!D:D,Calculations!A838)</f>
        <v>22</v>
      </c>
      <c r="H838" s="2">
        <f>SUMIF(deals_closed!D:D,Calculations!A838,deals_closed!C:C)</f>
        <v>774576</v>
      </c>
      <c r="I838" s="2">
        <f>VLOOKUP(E838,'2018_commission_structure'!$A$11:$I$14,9,FALSE)</f>
        <v>750000</v>
      </c>
      <c r="J838" s="2">
        <f t="shared" si="117"/>
        <v>937500</v>
      </c>
      <c r="K838" s="2">
        <f t="shared" si="118"/>
        <v>1125000</v>
      </c>
      <c r="L838" s="2">
        <f t="shared" si="119"/>
        <v>1500000</v>
      </c>
      <c r="M838" s="6">
        <f t="shared" si="120"/>
        <v>1.0327679999999999</v>
      </c>
      <c r="N838" t="str">
        <f t="shared" si="121"/>
        <v>100-125%</v>
      </c>
      <c r="O838" s="7">
        <f>MIN(I838,H838)*INDEX('2018_commission_structure'!$A$11:$I$14,MATCH(Calculations!$E838,'2018_commission_structure'!$A$11:$A$14,0),MATCH(Calculations!O$1,'2018_commission_structure'!$A$11:$I$11,0))</f>
        <v>112500</v>
      </c>
      <c r="P838" s="7">
        <f>IF($H838&gt;I838,MIN($H838-I838,J838-I838)*INDEX('2018_commission_structure'!$A$11:$I$14,MATCH(Calculations!$E838,'2018_commission_structure'!$A$11:$A$14,0), MATCH(Calculations!P$1,'2018_commission_structure'!$A$11:$I$11,0)),0)</f>
        <v>4669.4400000000005</v>
      </c>
      <c r="Q838" s="7">
        <f>IF($H838&gt;J838,MIN($H838-J838,K838-J838)*INDEX('2018_commission_structure'!$A$11:$I$14,MATCH(Calculations!$E838,'2018_commission_structure'!$A$11:$A$14,0), MATCH(Calculations!Q$1,'2018_commission_structure'!$A$11:$I$11,0)),0)</f>
        <v>0</v>
      </c>
      <c r="R838" s="7">
        <f>IF($H838&gt;K838,MIN($H838-K838,L838-K838)*INDEX('2018_commission_structure'!$A$11:$I$14,MATCH(Calculations!$E838,'2018_commission_structure'!$A$11:$A$14,0), MATCH(Calculations!R$1,'2018_commission_structure'!$A$11:$I$11,0)),0)</f>
        <v>0</v>
      </c>
      <c r="S838" s="7">
        <f>IF(H838&gt;L838,(H838-L838)*INDEX('2018_commission_structure'!$A$11:$I$14,MATCH(Calculations!$E838,'2018_commission_structure'!$A$11:$A$14,0),MATCH(Calculations!S$1,'2018_commission_structure'!$A$11:$I$11,0)),0)</f>
        <v>0</v>
      </c>
      <c r="T838" s="7">
        <f t="shared" si="122"/>
        <v>117169.44</v>
      </c>
      <c r="U838" s="7">
        <f t="shared" si="123"/>
        <v>216192.44</v>
      </c>
      <c r="V838" s="7">
        <f>MIN(H838,I838)*INDEX('2018_commission_structure'!$A$5:$J$8,MATCH(Calculations!$E838,'2018_commission_structure'!$A$5:$A$8,0),MATCH(Calculations!V$1,'2018_commission_structure'!$A$5:$J$5,0))</f>
        <v>112500</v>
      </c>
      <c r="W838" s="2">
        <f>IF($H838&gt;I838,MIN($H838-I838,J838-I838)*INDEX('2018_commission_structure'!$A$5:$J$8,MATCH(Calculations!$E838,'2018_commission_structure'!$A$5:$A$8,0),MATCH(Calculations!W$1,'2018_commission_structure'!$A$5:$J$5,0)),0)</f>
        <v>5406.72</v>
      </c>
      <c r="X838" s="2">
        <f>IF($H838&gt;J838,MIN($H838-J838,K838-J838)*INDEX('2018_commission_structure'!$A$5:$J$8,MATCH(Calculations!$E838,'2018_commission_structure'!$A$5:$A$8,0),MATCH(Calculations!X$1,'2018_commission_structure'!$A$5:$J$5,0)),0)</f>
        <v>0</v>
      </c>
      <c r="Y838" s="2">
        <f>IF($H838&gt;K838,MIN($H838-K838,L838-K838)*INDEX('2018_commission_structure'!$A$5:$J$8,MATCH(Calculations!$E838,'2018_commission_structure'!$A$5:$A$8,0),MATCH(Calculations!Y$1,'2018_commission_structure'!$A$5:$J$5,0)),0)</f>
        <v>0</v>
      </c>
      <c r="Z838" s="2">
        <f xml:space="preserve"> IF(H838&gt;L838,(H838-L838)*INDEX('2018_commission_structure'!$A$11:$I$14,MATCH(Calculations!$E838,'2018_commission_structure'!$A$11:$A$14,0),MATCH(Calculations!Z$1,'2018_commission_structure'!$A$11:$I$11,0)),0)</f>
        <v>0</v>
      </c>
      <c r="AA838" s="7">
        <f t="shared" si="124"/>
        <v>117906.72</v>
      </c>
      <c r="AB838" s="7">
        <f t="shared" si="125"/>
        <v>216929.72</v>
      </c>
    </row>
    <row r="839" spans="1:28" x14ac:dyDescent="0.25">
      <c r="A839">
        <v>1972775170</v>
      </c>
      <c r="B839" t="s">
        <v>809</v>
      </c>
      <c r="C839" t="s">
        <v>810</v>
      </c>
      <c r="D839" t="str">
        <f>B839&amp;" "&amp;C839</f>
        <v>Elaina Shelmardine</v>
      </c>
      <c r="E839" t="s">
        <v>10</v>
      </c>
      <c r="F839">
        <v>122434</v>
      </c>
      <c r="G839">
        <f>COUNTIF(deals_closed!D:D,Calculations!A839)</f>
        <v>15</v>
      </c>
      <c r="H839" s="2">
        <f>SUMIF(deals_closed!D:D,Calculations!A839,deals_closed!C:C)</f>
        <v>516313</v>
      </c>
      <c r="I839" s="2">
        <f>VLOOKUP(E839,'2018_commission_structure'!$A$11:$I$14,9,FALSE)</f>
        <v>750000</v>
      </c>
      <c r="J839" s="2">
        <f t="shared" si="117"/>
        <v>937500</v>
      </c>
      <c r="K839" s="2">
        <f t="shared" si="118"/>
        <v>1125000</v>
      </c>
      <c r="L839" s="2">
        <f t="shared" si="119"/>
        <v>1500000</v>
      </c>
      <c r="M839" s="6">
        <f t="shared" si="120"/>
        <v>0.68841733333333333</v>
      </c>
      <c r="N839" t="str">
        <f t="shared" si="121"/>
        <v>0-100%</v>
      </c>
      <c r="O839" s="7">
        <f>MIN(I839,H839)*INDEX('2018_commission_structure'!$A$11:$I$14,MATCH(Calculations!$E839,'2018_commission_structure'!$A$11:$A$14,0),MATCH(Calculations!O$1,'2018_commission_structure'!$A$11:$I$11,0))</f>
        <v>77446.95</v>
      </c>
      <c r="P839" s="7">
        <f>IF($H839&gt;I839,MIN($H839-I839,J839-I839)*INDEX('2018_commission_structure'!$A$11:$I$14,MATCH(Calculations!$E839,'2018_commission_structure'!$A$11:$A$14,0), MATCH(Calculations!P$1,'2018_commission_structure'!$A$11:$I$11,0)),0)</f>
        <v>0</v>
      </c>
      <c r="Q839" s="7">
        <f>IF($H839&gt;J839,MIN($H839-J839,K839-J839)*INDEX('2018_commission_structure'!$A$11:$I$14,MATCH(Calculations!$E839,'2018_commission_structure'!$A$11:$A$14,0), MATCH(Calculations!Q$1,'2018_commission_structure'!$A$11:$I$11,0)),0)</f>
        <v>0</v>
      </c>
      <c r="R839" s="7">
        <f>IF($H839&gt;K839,MIN($H839-K839,L839-K839)*INDEX('2018_commission_structure'!$A$11:$I$14,MATCH(Calculations!$E839,'2018_commission_structure'!$A$11:$A$14,0), MATCH(Calculations!R$1,'2018_commission_structure'!$A$11:$I$11,0)),0)</f>
        <v>0</v>
      </c>
      <c r="S839" s="7">
        <f>IF(H839&gt;L839,(H839-L839)*INDEX('2018_commission_structure'!$A$11:$I$14,MATCH(Calculations!$E839,'2018_commission_structure'!$A$11:$A$14,0),MATCH(Calculations!S$1,'2018_commission_structure'!$A$11:$I$11,0)),0)</f>
        <v>0</v>
      </c>
      <c r="T839" s="7">
        <f t="shared" si="122"/>
        <v>77446.95</v>
      </c>
      <c r="U839" s="7">
        <f t="shared" si="123"/>
        <v>199880.95</v>
      </c>
      <c r="V839" s="7">
        <f>MIN(H839,I839)*INDEX('2018_commission_structure'!$A$5:$J$8,MATCH(Calculations!$E839,'2018_commission_structure'!$A$5:$A$8,0),MATCH(Calculations!V$1,'2018_commission_structure'!$A$5:$J$5,0))</f>
        <v>77446.95</v>
      </c>
      <c r="W839" s="2">
        <f>IF($H839&gt;I839,MIN($H839-I839,J839-I839)*INDEX('2018_commission_structure'!$A$5:$J$8,MATCH(Calculations!$E839,'2018_commission_structure'!$A$5:$A$8,0),MATCH(Calculations!W$1,'2018_commission_structure'!$A$5:$J$5,0)),0)</f>
        <v>0</v>
      </c>
      <c r="X839" s="2">
        <f>IF($H839&gt;J839,MIN($H839-J839,K839-J839)*INDEX('2018_commission_structure'!$A$5:$J$8,MATCH(Calculations!$E839,'2018_commission_structure'!$A$5:$A$8,0),MATCH(Calculations!X$1,'2018_commission_structure'!$A$5:$J$5,0)),0)</f>
        <v>0</v>
      </c>
      <c r="Y839" s="2">
        <f>IF($H839&gt;K839,MIN($H839-K839,L839-K839)*INDEX('2018_commission_structure'!$A$5:$J$8,MATCH(Calculations!$E839,'2018_commission_structure'!$A$5:$A$8,0),MATCH(Calculations!Y$1,'2018_commission_structure'!$A$5:$J$5,0)),0)</f>
        <v>0</v>
      </c>
      <c r="Z839" s="2">
        <f xml:space="preserve"> IF(H839&gt;L839,(H839-L839)*INDEX('2018_commission_structure'!$A$11:$I$14,MATCH(Calculations!$E839,'2018_commission_structure'!$A$11:$A$14,0),MATCH(Calculations!Z$1,'2018_commission_structure'!$A$11:$I$11,0)),0)</f>
        <v>0</v>
      </c>
      <c r="AA839" s="7">
        <f t="shared" si="124"/>
        <v>77446.95</v>
      </c>
      <c r="AB839" s="7">
        <f t="shared" si="125"/>
        <v>199880.95</v>
      </c>
    </row>
    <row r="840" spans="1:28" x14ac:dyDescent="0.25">
      <c r="A840">
        <v>7240169995</v>
      </c>
      <c r="B840" t="s">
        <v>280</v>
      </c>
      <c r="C840" t="s">
        <v>810</v>
      </c>
      <c r="D840" t="str">
        <f>B840&amp;" "&amp;C840</f>
        <v>Titos Shelmardine</v>
      </c>
      <c r="E840" t="s">
        <v>7</v>
      </c>
      <c r="F840">
        <v>52553</v>
      </c>
      <c r="G840">
        <f>COUNTIF(deals_closed!D:D,Calculations!A840)</f>
        <v>21</v>
      </c>
      <c r="H840" s="2">
        <f>SUMIF(deals_closed!D:D,Calculations!A840,deals_closed!C:C)</f>
        <v>702700</v>
      </c>
      <c r="I840" s="2">
        <f>VLOOKUP(E840,'2018_commission_structure'!$A$11:$I$14,9,FALSE)</f>
        <v>500000</v>
      </c>
      <c r="J840" s="2">
        <f t="shared" si="117"/>
        <v>625000</v>
      </c>
      <c r="K840" s="2">
        <f t="shared" si="118"/>
        <v>750000</v>
      </c>
      <c r="L840" s="2">
        <f t="shared" si="119"/>
        <v>1000000</v>
      </c>
      <c r="M840" s="6">
        <f t="shared" si="120"/>
        <v>1.4054</v>
      </c>
      <c r="N840" t="str">
        <f t="shared" si="121"/>
        <v>125-150%</v>
      </c>
      <c r="O840" s="7">
        <f>MIN(I840,H840)*INDEX('2018_commission_structure'!$A$11:$I$14,MATCH(Calculations!$E840,'2018_commission_structure'!$A$11:$A$14,0),MATCH(Calculations!O$1,'2018_commission_structure'!$A$11:$I$11,0))</f>
        <v>50000</v>
      </c>
      <c r="P840" s="7">
        <f>IF($H840&gt;I840,MIN($H840-I840,J840-I840)*INDEX('2018_commission_structure'!$A$11:$I$14,MATCH(Calculations!$E840,'2018_commission_structure'!$A$11:$A$14,0), MATCH(Calculations!P$1,'2018_commission_structure'!$A$11:$I$11,0)),0)</f>
        <v>18750</v>
      </c>
      <c r="Q840" s="7">
        <f>IF($H840&gt;J840,MIN($H840-J840,K840-J840)*INDEX('2018_commission_structure'!$A$11:$I$14,MATCH(Calculations!$E840,'2018_commission_structure'!$A$11:$A$14,0), MATCH(Calculations!Q$1,'2018_commission_structure'!$A$11:$I$11,0)),0)</f>
        <v>13986</v>
      </c>
      <c r="R840" s="7">
        <f>IF($H840&gt;K840,MIN($H840-K840,L840-K840)*INDEX('2018_commission_structure'!$A$11:$I$14,MATCH(Calculations!$E840,'2018_commission_structure'!$A$11:$A$14,0), MATCH(Calculations!R$1,'2018_commission_structure'!$A$11:$I$11,0)),0)</f>
        <v>0</v>
      </c>
      <c r="S840" s="7">
        <f>IF(H840&gt;L840,(H840-L840)*INDEX('2018_commission_structure'!$A$11:$I$14,MATCH(Calculations!$E840,'2018_commission_structure'!$A$11:$A$14,0),MATCH(Calculations!S$1,'2018_commission_structure'!$A$11:$I$11,0)),0)</f>
        <v>0</v>
      </c>
      <c r="T840" s="7">
        <f t="shared" si="122"/>
        <v>82736</v>
      </c>
      <c r="U840" s="7">
        <f t="shared" si="123"/>
        <v>135289</v>
      </c>
      <c r="V840" s="7">
        <f>MIN(H840,I840)*INDEX('2018_commission_structure'!$A$5:$J$8,MATCH(Calculations!$E840,'2018_commission_structure'!$A$5:$A$8,0),MATCH(Calculations!V$1,'2018_commission_structure'!$A$5:$J$5,0))</f>
        <v>60000</v>
      </c>
      <c r="W840" s="2">
        <f>IF($H840&gt;I840,MIN($H840-I840,J840-I840)*INDEX('2018_commission_structure'!$A$5:$J$8,MATCH(Calculations!$E840,'2018_commission_structure'!$A$5:$A$8,0),MATCH(Calculations!W$1,'2018_commission_structure'!$A$5:$J$5,0)),0)</f>
        <v>21250</v>
      </c>
      <c r="X840" s="2">
        <f>IF($H840&gt;J840,MIN($H840-J840,K840-J840)*INDEX('2018_commission_structure'!$A$5:$J$8,MATCH(Calculations!$E840,'2018_commission_structure'!$A$5:$A$8,0),MATCH(Calculations!X$1,'2018_commission_structure'!$A$5:$J$5,0)),0)</f>
        <v>15540</v>
      </c>
      <c r="Y840" s="2">
        <f>IF($H840&gt;K840,MIN($H840-K840,L840-K840)*INDEX('2018_commission_structure'!$A$5:$J$8,MATCH(Calculations!$E840,'2018_commission_structure'!$A$5:$A$8,0),MATCH(Calculations!Y$1,'2018_commission_structure'!$A$5:$J$5,0)),0)</f>
        <v>0</v>
      </c>
      <c r="Z840" s="2">
        <f xml:space="preserve"> IF(H840&gt;L840,(H840-L840)*INDEX('2018_commission_structure'!$A$11:$I$14,MATCH(Calculations!$E840,'2018_commission_structure'!$A$11:$A$14,0),MATCH(Calculations!Z$1,'2018_commission_structure'!$A$11:$I$11,0)),0)</f>
        <v>0</v>
      </c>
      <c r="AA840" s="7">
        <f t="shared" si="124"/>
        <v>96790</v>
      </c>
      <c r="AB840" s="7">
        <f t="shared" si="125"/>
        <v>149343</v>
      </c>
    </row>
    <row r="841" spans="1:28" x14ac:dyDescent="0.25">
      <c r="A841">
        <v>6321654205</v>
      </c>
      <c r="B841" t="s">
        <v>691</v>
      </c>
      <c r="C841" t="s">
        <v>1269</v>
      </c>
      <c r="D841" t="str">
        <f>B841&amp;" "&amp;C841</f>
        <v>Phillipe Shildrake</v>
      </c>
      <c r="E841" t="s">
        <v>29</v>
      </c>
      <c r="F841">
        <v>78338</v>
      </c>
      <c r="G841">
        <f>COUNTIF(deals_closed!D:D,Calculations!A841)</f>
        <v>18</v>
      </c>
      <c r="H841" s="2">
        <f>SUMIF(deals_closed!D:D,Calculations!A841,deals_closed!C:C)</f>
        <v>732828</v>
      </c>
      <c r="I841" s="2">
        <f>VLOOKUP(E841,'2018_commission_structure'!$A$11:$I$14,9,FALSE)</f>
        <v>600000</v>
      </c>
      <c r="J841" s="2">
        <f t="shared" si="117"/>
        <v>750000</v>
      </c>
      <c r="K841" s="2">
        <f t="shared" si="118"/>
        <v>900000</v>
      </c>
      <c r="L841" s="2">
        <f t="shared" si="119"/>
        <v>1200000</v>
      </c>
      <c r="M841" s="6">
        <f t="shared" si="120"/>
        <v>1.2213799999999999</v>
      </c>
      <c r="N841" t="str">
        <f t="shared" si="121"/>
        <v>100-125%</v>
      </c>
      <c r="O841" s="7">
        <f>MIN(I841,H841)*INDEX('2018_commission_structure'!$A$11:$I$14,MATCH(Calculations!$E841,'2018_commission_structure'!$A$11:$A$14,0),MATCH(Calculations!O$1,'2018_commission_structure'!$A$11:$I$11,0))</f>
        <v>78000</v>
      </c>
      <c r="P841" s="7">
        <f>IF($H841&gt;I841,MIN($H841-I841,J841-I841)*INDEX('2018_commission_structure'!$A$11:$I$14,MATCH(Calculations!$E841,'2018_commission_structure'!$A$11:$A$14,0), MATCH(Calculations!P$1,'2018_commission_structure'!$A$11:$I$11,0)),0)</f>
        <v>22580.760000000002</v>
      </c>
      <c r="Q841" s="7">
        <f>IF($H841&gt;J841,MIN($H841-J841,K841-J841)*INDEX('2018_commission_structure'!$A$11:$I$14,MATCH(Calculations!$E841,'2018_commission_structure'!$A$11:$A$14,0), MATCH(Calculations!Q$1,'2018_commission_structure'!$A$11:$I$11,0)),0)</f>
        <v>0</v>
      </c>
      <c r="R841" s="7">
        <f>IF($H841&gt;K841,MIN($H841-K841,L841-K841)*INDEX('2018_commission_structure'!$A$11:$I$14,MATCH(Calculations!$E841,'2018_commission_structure'!$A$11:$A$14,0), MATCH(Calculations!R$1,'2018_commission_structure'!$A$11:$I$11,0)),0)</f>
        <v>0</v>
      </c>
      <c r="S841" s="7">
        <f>IF(H841&gt;L841,(H841-L841)*INDEX('2018_commission_structure'!$A$11:$I$14,MATCH(Calculations!$E841,'2018_commission_structure'!$A$11:$A$14,0),MATCH(Calculations!S$1,'2018_commission_structure'!$A$11:$I$11,0)),0)</f>
        <v>0</v>
      </c>
      <c r="T841" s="7">
        <f t="shared" si="122"/>
        <v>100580.76000000001</v>
      </c>
      <c r="U841" s="7">
        <f t="shared" si="123"/>
        <v>178918.76</v>
      </c>
      <c r="V841" s="7">
        <f>MIN(H841,I841)*INDEX('2018_commission_structure'!$A$5:$J$8,MATCH(Calculations!$E841,'2018_commission_structure'!$A$5:$A$8,0),MATCH(Calculations!V$1,'2018_commission_structure'!$A$5:$J$5,0))</f>
        <v>90000</v>
      </c>
      <c r="W841" s="2">
        <f>IF($H841&gt;I841,MIN($H841-I841,J841-I841)*INDEX('2018_commission_structure'!$A$5:$J$8,MATCH(Calculations!$E841,'2018_commission_structure'!$A$5:$A$8,0),MATCH(Calculations!W$1,'2018_commission_structure'!$A$5:$J$5,0)),0)</f>
        <v>23909.040000000001</v>
      </c>
      <c r="X841" s="2">
        <f>IF($H841&gt;J841,MIN($H841-J841,K841-J841)*INDEX('2018_commission_structure'!$A$5:$J$8,MATCH(Calculations!$E841,'2018_commission_structure'!$A$5:$A$8,0),MATCH(Calculations!X$1,'2018_commission_structure'!$A$5:$J$5,0)),0)</f>
        <v>0</v>
      </c>
      <c r="Y841" s="2">
        <f>IF($H841&gt;K841,MIN($H841-K841,L841-K841)*INDEX('2018_commission_structure'!$A$5:$J$8,MATCH(Calculations!$E841,'2018_commission_structure'!$A$5:$A$8,0),MATCH(Calculations!Y$1,'2018_commission_structure'!$A$5:$J$5,0)),0)</f>
        <v>0</v>
      </c>
      <c r="Z841" s="2">
        <f xml:space="preserve"> IF(H841&gt;L841,(H841-L841)*INDEX('2018_commission_structure'!$A$11:$I$14,MATCH(Calculations!$E841,'2018_commission_structure'!$A$11:$A$14,0),MATCH(Calculations!Z$1,'2018_commission_structure'!$A$11:$I$11,0)),0)</f>
        <v>0</v>
      </c>
      <c r="AA841" s="7">
        <f t="shared" si="124"/>
        <v>113909.04000000001</v>
      </c>
      <c r="AB841" s="7">
        <f t="shared" si="125"/>
        <v>192247.04000000001</v>
      </c>
    </row>
    <row r="842" spans="1:28" x14ac:dyDescent="0.25">
      <c r="A842">
        <v>4159390110</v>
      </c>
      <c r="B842" t="s">
        <v>167</v>
      </c>
      <c r="C842" t="s">
        <v>168</v>
      </c>
      <c r="D842" t="str">
        <f>B842&amp;" "&amp;C842</f>
        <v>Newton Shillabear</v>
      </c>
      <c r="E842" t="s">
        <v>10</v>
      </c>
      <c r="F842">
        <v>114184</v>
      </c>
      <c r="G842">
        <f>COUNTIF(deals_closed!D:D,Calculations!A842)</f>
        <v>21</v>
      </c>
      <c r="H842" s="2">
        <f>SUMIF(deals_closed!D:D,Calculations!A842,deals_closed!C:C)</f>
        <v>709663</v>
      </c>
      <c r="I842" s="2">
        <f>VLOOKUP(E842,'2018_commission_structure'!$A$11:$I$14,9,FALSE)</f>
        <v>750000</v>
      </c>
      <c r="J842" s="2">
        <f t="shared" si="117"/>
        <v>937500</v>
      </c>
      <c r="K842" s="2">
        <f t="shared" si="118"/>
        <v>1125000</v>
      </c>
      <c r="L842" s="2">
        <f t="shared" si="119"/>
        <v>1500000</v>
      </c>
      <c r="M842" s="6">
        <f t="shared" si="120"/>
        <v>0.94621733333333335</v>
      </c>
      <c r="N842" t="str">
        <f t="shared" si="121"/>
        <v>0-100%</v>
      </c>
      <c r="O842" s="7">
        <f>MIN(I842,H842)*INDEX('2018_commission_structure'!$A$11:$I$14,MATCH(Calculations!$E842,'2018_commission_structure'!$A$11:$A$14,0),MATCH(Calculations!O$1,'2018_commission_structure'!$A$11:$I$11,0))</f>
        <v>106449.45</v>
      </c>
      <c r="P842" s="7">
        <f>IF($H842&gt;I842,MIN($H842-I842,J842-I842)*INDEX('2018_commission_structure'!$A$11:$I$14,MATCH(Calculations!$E842,'2018_commission_structure'!$A$11:$A$14,0), MATCH(Calculations!P$1,'2018_commission_structure'!$A$11:$I$11,0)),0)</f>
        <v>0</v>
      </c>
      <c r="Q842" s="7">
        <f>IF($H842&gt;J842,MIN($H842-J842,K842-J842)*INDEX('2018_commission_structure'!$A$11:$I$14,MATCH(Calculations!$E842,'2018_commission_structure'!$A$11:$A$14,0), MATCH(Calculations!Q$1,'2018_commission_structure'!$A$11:$I$11,0)),0)</f>
        <v>0</v>
      </c>
      <c r="R842" s="7">
        <f>IF($H842&gt;K842,MIN($H842-K842,L842-K842)*INDEX('2018_commission_structure'!$A$11:$I$14,MATCH(Calculations!$E842,'2018_commission_structure'!$A$11:$A$14,0), MATCH(Calculations!R$1,'2018_commission_structure'!$A$11:$I$11,0)),0)</f>
        <v>0</v>
      </c>
      <c r="S842" s="7">
        <f>IF(H842&gt;L842,(H842-L842)*INDEX('2018_commission_structure'!$A$11:$I$14,MATCH(Calculations!$E842,'2018_commission_structure'!$A$11:$A$14,0),MATCH(Calculations!S$1,'2018_commission_structure'!$A$11:$I$11,0)),0)</f>
        <v>0</v>
      </c>
      <c r="T842" s="7">
        <f t="shared" si="122"/>
        <v>106449.45</v>
      </c>
      <c r="U842" s="7">
        <f t="shared" si="123"/>
        <v>220633.45</v>
      </c>
      <c r="V842" s="7">
        <f>MIN(H842,I842)*INDEX('2018_commission_structure'!$A$5:$J$8,MATCH(Calculations!$E842,'2018_commission_structure'!$A$5:$A$8,0),MATCH(Calculations!V$1,'2018_commission_structure'!$A$5:$J$5,0))</f>
        <v>106449.45</v>
      </c>
      <c r="W842" s="2">
        <f>IF($H842&gt;I842,MIN($H842-I842,J842-I842)*INDEX('2018_commission_structure'!$A$5:$J$8,MATCH(Calculations!$E842,'2018_commission_structure'!$A$5:$A$8,0),MATCH(Calculations!W$1,'2018_commission_structure'!$A$5:$J$5,0)),0)</f>
        <v>0</v>
      </c>
      <c r="X842" s="2">
        <f>IF($H842&gt;J842,MIN($H842-J842,K842-J842)*INDEX('2018_commission_structure'!$A$5:$J$8,MATCH(Calculations!$E842,'2018_commission_structure'!$A$5:$A$8,0),MATCH(Calculations!X$1,'2018_commission_structure'!$A$5:$J$5,0)),0)</f>
        <v>0</v>
      </c>
      <c r="Y842" s="2">
        <f>IF($H842&gt;K842,MIN($H842-K842,L842-K842)*INDEX('2018_commission_structure'!$A$5:$J$8,MATCH(Calculations!$E842,'2018_commission_structure'!$A$5:$A$8,0),MATCH(Calculations!Y$1,'2018_commission_structure'!$A$5:$J$5,0)),0)</f>
        <v>0</v>
      </c>
      <c r="Z842" s="2">
        <f xml:space="preserve"> IF(H842&gt;L842,(H842-L842)*INDEX('2018_commission_structure'!$A$11:$I$14,MATCH(Calculations!$E842,'2018_commission_structure'!$A$11:$A$14,0),MATCH(Calculations!Z$1,'2018_commission_structure'!$A$11:$I$11,0)),0)</f>
        <v>0</v>
      </c>
      <c r="AA842" s="7">
        <f t="shared" si="124"/>
        <v>106449.45</v>
      </c>
      <c r="AB842" s="7">
        <f t="shared" si="125"/>
        <v>220633.45</v>
      </c>
    </row>
    <row r="843" spans="1:28" x14ac:dyDescent="0.25">
      <c r="A843">
        <v>6731572691</v>
      </c>
      <c r="B843" t="s">
        <v>1241</v>
      </c>
      <c r="C843" t="s">
        <v>1242</v>
      </c>
      <c r="D843" t="str">
        <f>B843&amp;" "&amp;C843</f>
        <v>Chan Shillabeare</v>
      </c>
      <c r="E843" t="s">
        <v>7</v>
      </c>
      <c r="F843">
        <v>36362</v>
      </c>
      <c r="G843">
        <f>COUNTIF(deals_closed!D:D,Calculations!A843)</f>
        <v>22</v>
      </c>
      <c r="H843" s="2">
        <f>SUMIF(deals_closed!D:D,Calculations!A843,deals_closed!C:C)</f>
        <v>789839</v>
      </c>
      <c r="I843" s="2">
        <f>VLOOKUP(E843,'2018_commission_structure'!$A$11:$I$14,9,FALSE)</f>
        <v>500000</v>
      </c>
      <c r="J843" s="2">
        <f t="shared" si="117"/>
        <v>625000</v>
      </c>
      <c r="K843" s="2">
        <f t="shared" si="118"/>
        <v>750000</v>
      </c>
      <c r="L843" s="2">
        <f t="shared" si="119"/>
        <v>1000000</v>
      </c>
      <c r="M843" s="6">
        <f t="shared" si="120"/>
        <v>1.5796779999999999</v>
      </c>
      <c r="N843" t="str">
        <f t="shared" si="121"/>
        <v>150-200%</v>
      </c>
      <c r="O843" s="7">
        <f>MIN(I843,H843)*INDEX('2018_commission_structure'!$A$11:$I$14,MATCH(Calculations!$E843,'2018_commission_structure'!$A$11:$A$14,0),MATCH(Calculations!O$1,'2018_commission_structure'!$A$11:$I$11,0))</f>
        <v>50000</v>
      </c>
      <c r="P843" s="7">
        <f>IF($H843&gt;I843,MIN($H843-I843,J843-I843)*INDEX('2018_commission_structure'!$A$11:$I$14,MATCH(Calculations!$E843,'2018_commission_structure'!$A$11:$A$14,0), MATCH(Calculations!P$1,'2018_commission_structure'!$A$11:$I$11,0)),0)</f>
        <v>18750</v>
      </c>
      <c r="Q843" s="7">
        <f>IF($H843&gt;J843,MIN($H843-J843,K843-J843)*INDEX('2018_commission_structure'!$A$11:$I$14,MATCH(Calculations!$E843,'2018_commission_structure'!$A$11:$A$14,0), MATCH(Calculations!Q$1,'2018_commission_structure'!$A$11:$I$11,0)),0)</f>
        <v>22500</v>
      </c>
      <c r="R843" s="7">
        <f>IF($H843&gt;K843,MIN($H843-K843,L843-K843)*INDEX('2018_commission_structure'!$A$11:$I$14,MATCH(Calculations!$E843,'2018_commission_structure'!$A$11:$A$14,0), MATCH(Calculations!R$1,'2018_commission_structure'!$A$11:$I$11,0)),0)</f>
        <v>8764.58</v>
      </c>
      <c r="S843" s="7">
        <f>IF(H843&gt;L843,(H843-L843)*INDEX('2018_commission_structure'!$A$11:$I$14,MATCH(Calculations!$E843,'2018_commission_structure'!$A$11:$A$14,0),MATCH(Calculations!S$1,'2018_commission_structure'!$A$11:$I$11,0)),0)</f>
        <v>0</v>
      </c>
      <c r="T843" s="7">
        <f t="shared" si="122"/>
        <v>100014.58</v>
      </c>
      <c r="U843" s="7">
        <f t="shared" si="123"/>
        <v>136376.58000000002</v>
      </c>
      <c r="V843" s="7">
        <f>MIN(H843,I843)*INDEX('2018_commission_structure'!$A$5:$J$8,MATCH(Calculations!$E843,'2018_commission_structure'!$A$5:$A$8,0),MATCH(Calculations!V$1,'2018_commission_structure'!$A$5:$J$5,0))</f>
        <v>60000</v>
      </c>
      <c r="W843" s="2">
        <f>IF($H843&gt;I843,MIN($H843-I843,J843-I843)*INDEX('2018_commission_structure'!$A$5:$J$8,MATCH(Calculations!$E843,'2018_commission_structure'!$A$5:$A$8,0),MATCH(Calculations!W$1,'2018_commission_structure'!$A$5:$J$5,0)),0)</f>
        <v>21250</v>
      </c>
      <c r="X843" s="2">
        <f>IF($H843&gt;J843,MIN($H843-J843,K843-J843)*INDEX('2018_commission_structure'!$A$5:$J$8,MATCH(Calculations!$E843,'2018_commission_structure'!$A$5:$A$8,0),MATCH(Calculations!X$1,'2018_commission_structure'!$A$5:$J$5,0)),0)</f>
        <v>25000</v>
      </c>
      <c r="Y843" s="2">
        <f>IF($H843&gt;K843,MIN($H843-K843,L843-K843)*INDEX('2018_commission_structure'!$A$5:$J$8,MATCH(Calculations!$E843,'2018_commission_structure'!$A$5:$A$8,0),MATCH(Calculations!Y$1,'2018_commission_structure'!$A$5:$J$5,0)),0)</f>
        <v>8764.58</v>
      </c>
      <c r="Z843" s="2">
        <f xml:space="preserve"> IF(H843&gt;L843,(H843-L843)*INDEX('2018_commission_structure'!$A$11:$I$14,MATCH(Calculations!$E843,'2018_commission_structure'!$A$11:$A$14,0),MATCH(Calculations!Z$1,'2018_commission_structure'!$A$11:$I$11,0)),0)</f>
        <v>0</v>
      </c>
      <c r="AA843" s="7">
        <f t="shared" si="124"/>
        <v>115014.58</v>
      </c>
      <c r="AB843" s="7">
        <f t="shared" si="125"/>
        <v>151376.58000000002</v>
      </c>
    </row>
    <row r="844" spans="1:28" x14ac:dyDescent="0.25">
      <c r="A844">
        <v>8481632066</v>
      </c>
      <c r="B844" t="s">
        <v>1068</v>
      </c>
      <c r="C844" t="s">
        <v>1069</v>
      </c>
      <c r="D844" t="str">
        <f>B844&amp;" "&amp;C844</f>
        <v>Bengt Shillum</v>
      </c>
      <c r="E844" t="s">
        <v>10</v>
      </c>
      <c r="F844">
        <v>87295</v>
      </c>
      <c r="G844">
        <f>COUNTIF(deals_closed!D:D,Calculations!A844)</f>
        <v>14</v>
      </c>
      <c r="H844" s="2">
        <f>SUMIF(deals_closed!D:D,Calculations!A844,deals_closed!C:C)</f>
        <v>445257</v>
      </c>
      <c r="I844" s="2">
        <f>VLOOKUP(E844,'2018_commission_structure'!$A$11:$I$14,9,FALSE)</f>
        <v>750000</v>
      </c>
      <c r="J844" s="2">
        <f t="shared" si="117"/>
        <v>937500</v>
      </c>
      <c r="K844" s="2">
        <f t="shared" si="118"/>
        <v>1125000</v>
      </c>
      <c r="L844" s="2">
        <f t="shared" si="119"/>
        <v>1500000</v>
      </c>
      <c r="M844" s="6">
        <f t="shared" si="120"/>
        <v>0.59367599999999998</v>
      </c>
      <c r="N844" t="str">
        <f t="shared" si="121"/>
        <v>0-100%</v>
      </c>
      <c r="O844" s="7">
        <f>MIN(I844,H844)*INDEX('2018_commission_structure'!$A$11:$I$14,MATCH(Calculations!$E844,'2018_commission_structure'!$A$11:$A$14,0),MATCH(Calculations!O$1,'2018_commission_structure'!$A$11:$I$11,0))</f>
        <v>66788.55</v>
      </c>
      <c r="P844" s="7">
        <f>IF($H844&gt;I844,MIN($H844-I844,J844-I844)*INDEX('2018_commission_structure'!$A$11:$I$14,MATCH(Calculations!$E844,'2018_commission_structure'!$A$11:$A$14,0), MATCH(Calculations!P$1,'2018_commission_structure'!$A$11:$I$11,0)),0)</f>
        <v>0</v>
      </c>
      <c r="Q844" s="7">
        <f>IF($H844&gt;J844,MIN($H844-J844,K844-J844)*INDEX('2018_commission_structure'!$A$11:$I$14,MATCH(Calculations!$E844,'2018_commission_structure'!$A$11:$A$14,0), MATCH(Calculations!Q$1,'2018_commission_structure'!$A$11:$I$11,0)),0)</f>
        <v>0</v>
      </c>
      <c r="R844" s="7">
        <f>IF($H844&gt;K844,MIN($H844-K844,L844-K844)*INDEX('2018_commission_structure'!$A$11:$I$14,MATCH(Calculations!$E844,'2018_commission_structure'!$A$11:$A$14,0), MATCH(Calculations!R$1,'2018_commission_structure'!$A$11:$I$11,0)),0)</f>
        <v>0</v>
      </c>
      <c r="S844" s="7">
        <f>IF(H844&gt;L844,(H844-L844)*INDEX('2018_commission_structure'!$A$11:$I$14,MATCH(Calculations!$E844,'2018_commission_structure'!$A$11:$A$14,0),MATCH(Calculations!S$1,'2018_commission_structure'!$A$11:$I$11,0)),0)</f>
        <v>0</v>
      </c>
      <c r="T844" s="7">
        <f t="shared" si="122"/>
        <v>66788.55</v>
      </c>
      <c r="U844" s="7">
        <f t="shared" si="123"/>
        <v>154083.54999999999</v>
      </c>
      <c r="V844" s="7">
        <f>MIN(H844,I844)*INDEX('2018_commission_structure'!$A$5:$J$8,MATCH(Calculations!$E844,'2018_commission_structure'!$A$5:$A$8,0),MATCH(Calculations!V$1,'2018_commission_structure'!$A$5:$J$5,0))</f>
        <v>66788.55</v>
      </c>
      <c r="W844" s="2">
        <f>IF($H844&gt;I844,MIN($H844-I844,J844-I844)*INDEX('2018_commission_structure'!$A$5:$J$8,MATCH(Calculations!$E844,'2018_commission_structure'!$A$5:$A$8,0),MATCH(Calculations!W$1,'2018_commission_structure'!$A$5:$J$5,0)),0)</f>
        <v>0</v>
      </c>
      <c r="X844" s="2">
        <f>IF($H844&gt;J844,MIN($H844-J844,K844-J844)*INDEX('2018_commission_structure'!$A$5:$J$8,MATCH(Calculations!$E844,'2018_commission_structure'!$A$5:$A$8,0),MATCH(Calculations!X$1,'2018_commission_structure'!$A$5:$J$5,0)),0)</f>
        <v>0</v>
      </c>
      <c r="Y844" s="2">
        <f>IF($H844&gt;K844,MIN($H844-K844,L844-K844)*INDEX('2018_commission_structure'!$A$5:$J$8,MATCH(Calculations!$E844,'2018_commission_structure'!$A$5:$A$8,0),MATCH(Calculations!Y$1,'2018_commission_structure'!$A$5:$J$5,0)),0)</f>
        <v>0</v>
      </c>
      <c r="Z844" s="2">
        <f xml:space="preserve"> IF(H844&gt;L844,(H844-L844)*INDEX('2018_commission_structure'!$A$11:$I$14,MATCH(Calculations!$E844,'2018_commission_structure'!$A$11:$A$14,0),MATCH(Calculations!Z$1,'2018_commission_structure'!$A$11:$I$11,0)),0)</f>
        <v>0</v>
      </c>
      <c r="AA844" s="7">
        <f t="shared" si="124"/>
        <v>66788.55</v>
      </c>
      <c r="AB844" s="7">
        <f t="shared" si="125"/>
        <v>154083.54999999999</v>
      </c>
    </row>
    <row r="845" spans="1:28" x14ac:dyDescent="0.25">
      <c r="A845">
        <v>8728207157</v>
      </c>
      <c r="B845" t="s">
        <v>1496</v>
      </c>
      <c r="C845" t="s">
        <v>1497</v>
      </c>
      <c r="D845" t="str">
        <f>B845&amp;" "&amp;C845</f>
        <v>Gaby Shilston</v>
      </c>
      <c r="E845" t="s">
        <v>10</v>
      </c>
      <c r="F845">
        <v>100924</v>
      </c>
      <c r="G845">
        <f>COUNTIF(deals_closed!D:D,Calculations!A845)</f>
        <v>23</v>
      </c>
      <c r="H845" s="2">
        <f>SUMIF(deals_closed!D:D,Calculations!A845,deals_closed!C:C)</f>
        <v>728077</v>
      </c>
      <c r="I845" s="2">
        <f>VLOOKUP(E845,'2018_commission_structure'!$A$11:$I$14,9,FALSE)</f>
        <v>750000</v>
      </c>
      <c r="J845" s="2">
        <f t="shared" si="117"/>
        <v>937500</v>
      </c>
      <c r="K845" s="2">
        <f t="shared" si="118"/>
        <v>1125000</v>
      </c>
      <c r="L845" s="2">
        <f t="shared" si="119"/>
        <v>1500000</v>
      </c>
      <c r="M845" s="6">
        <f t="shared" si="120"/>
        <v>0.97076933333333337</v>
      </c>
      <c r="N845" t="str">
        <f t="shared" si="121"/>
        <v>0-100%</v>
      </c>
      <c r="O845" s="7">
        <f>MIN(I845,H845)*INDEX('2018_commission_structure'!$A$11:$I$14,MATCH(Calculations!$E845,'2018_commission_structure'!$A$11:$A$14,0),MATCH(Calculations!O$1,'2018_commission_structure'!$A$11:$I$11,0))</f>
        <v>109211.55</v>
      </c>
      <c r="P845" s="7">
        <f>IF($H845&gt;I845,MIN($H845-I845,J845-I845)*INDEX('2018_commission_structure'!$A$11:$I$14,MATCH(Calculations!$E845,'2018_commission_structure'!$A$11:$A$14,0), MATCH(Calculations!P$1,'2018_commission_structure'!$A$11:$I$11,0)),0)</f>
        <v>0</v>
      </c>
      <c r="Q845" s="7">
        <f>IF($H845&gt;J845,MIN($H845-J845,K845-J845)*INDEX('2018_commission_structure'!$A$11:$I$14,MATCH(Calculations!$E845,'2018_commission_structure'!$A$11:$A$14,0), MATCH(Calculations!Q$1,'2018_commission_structure'!$A$11:$I$11,0)),0)</f>
        <v>0</v>
      </c>
      <c r="R845" s="7">
        <f>IF($H845&gt;K845,MIN($H845-K845,L845-K845)*INDEX('2018_commission_structure'!$A$11:$I$14,MATCH(Calculations!$E845,'2018_commission_structure'!$A$11:$A$14,0), MATCH(Calculations!R$1,'2018_commission_structure'!$A$11:$I$11,0)),0)</f>
        <v>0</v>
      </c>
      <c r="S845" s="7">
        <f>IF(H845&gt;L845,(H845-L845)*INDEX('2018_commission_structure'!$A$11:$I$14,MATCH(Calculations!$E845,'2018_commission_structure'!$A$11:$A$14,0),MATCH(Calculations!S$1,'2018_commission_structure'!$A$11:$I$11,0)),0)</f>
        <v>0</v>
      </c>
      <c r="T845" s="7">
        <f t="shared" si="122"/>
        <v>109211.55</v>
      </c>
      <c r="U845" s="7">
        <f t="shared" si="123"/>
        <v>210135.55</v>
      </c>
      <c r="V845" s="7">
        <f>MIN(H845,I845)*INDEX('2018_commission_structure'!$A$5:$J$8,MATCH(Calculations!$E845,'2018_commission_structure'!$A$5:$A$8,0),MATCH(Calculations!V$1,'2018_commission_structure'!$A$5:$J$5,0))</f>
        <v>109211.55</v>
      </c>
      <c r="W845" s="2">
        <f>IF($H845&gt;I845,MIN($H845-I845,J845-I845)*INDEX('2018_commission_structure'!$A$5:$J$8,MATCH(Calculations!$E845,'2018_commission_structure'!$A$5:$A$8,0),MATCH(Calculations!W$1,'2018_commission_structure'!$A$5:$J$5,0)),0)</f>
        <v>0</v>
      </c>
      <c r="X845" s="2">
        <f>IF($H845&gt;J845,MIN($H845-J845,K845-J845)*INDEX('2018_commission_structure'!$A$5:$J$8,MATCH(Calculations!$E845,'2018_commission_structure'!$A$5:$A$8,0),MATCH(Calculations!X$1,'2018_commission_structure'!$A$5:$J$5,0)),0)</f>
        <v>0</v>
      </c>
      <c r="Y845" s="2">
        <f>IF($H845&gt;K845,MIN($H845-K845,L845-K845)*INDEX('2018_commission_structure'!$A$5:$J$8,MATCH(Calculations!$E845,'2018_commission_structure'!$A$5:$A$8,0),MATCH(Calculations!Y$1,'2018_commission_structure'!$A$5:$J$5,0)),0)</f>
        <v>0</v>
      </c>
      <c r="Z845" s="2">
        <f xml:space="preserve"> IF(H845&gt;L845,(H845-L845)*INDEX('2018_commission_structure'!$A$11:$I$14,MATCH(Calculations!$E845,'2018_commission_structure'!$A$11:$A$14,0),MATCH(Calculations!Z$1,'2018_commission_structure'!$A$11:$I$11,0)),0)</f>
        <v>0</v>
      </c>
      <c r="AA845" s="7">
        <f t="shared" si="124"/>
        <v>109211.55</v>
      </c>
      <c r="AB845" s="7">
        <f t="shared" si="125"/>
        <v>210135.55</v>
      </c>
    </row>
    <row r="846" spans="1:28" x14ac:dyDescent="0.25">
      <c r="A846">
        <v>8832488175</v>
      </c>
      <c r="B846" t="s">
        <v>81</v>
      </c>
      <c r="C846" t="s">
        <v>1497</v>
      </c>
      <c r="D846" t="str">
        <f>B846&amp;" "&amp;C846</f>
        <v>Eddy Shilston</v>
      </c>
      <c r="E846" t="s">
        <v>29</v>
      </c>
      <c r="F846">
        <v>50688</v>
      </c>
      <c r="G846">
        <f>COUNTIF(deals_closed!D:D,Calculations!A846)</f>
        <v>25</v>
      </c>
      <c r="H846" s="2">
        <f>SUMIF(deals_closed!D:D,Calculations!A846,deals_closed!C:C)</f>
        <v>855507</v>
      </c>
      <c r="I846" s="2">
        <f>VLOOKUP(E846,'2018_commission_structure'!$A$11:$I$14,9,FALSE)</f>
        <v>600000</v>
      </c>
      <c r="J846" s="2">
        <f t="shared" si="117"/>
        <v>750000</v>
      </c>
      <c r="K846" s="2">
        <f t="shared" si="118"/>
        <v>900000</v>
      </c>
      <c r="L846" s="2">
        <f t="shared" si="119"/>
        <v>1200000</v>
      </c>
      <c r="M846" s="6">
        <f t="shared" si="120"/>
        <v>1.425845</v>
      </c>
      <c r="N846" t="str">
        <f t="shared" si="121"/>
        <v>125-150%</v>
      </c>
      <c r="O846" s="7">
        <f>MIN(I846,H846)*INDEX('2018_commission_structure'!$A$11:$I$14,MATCH(Calculations!$E846,'2018_commission_structure'!$A$11:$A$14,0),MATCH(Calculations!O$1,'2018_commission_structure'!$A$11:$I$11,0))</f>
        <v>78000</v>
      </c>
      <c r="P846" s="7">
        <f>IF($H846&gt;I846,MIN($H846-I846,J846-I846)*INDEX('2018_commission_structure'!$A$11:$I$14,MATCH(Calculations!$E846,'2018_commission_structure'!$A$11:$A$14,0), MATCH(Calculations!P$1,'2018_commission_structure'!$A$11:$I$11,0)),0)</f>
        <v>25500.000000000004</v>
      </c>
      <c r="Q846" s="7">
        <f>IF($H846&gt;J846,MIN($H846-J846,K846-J846)*INDEX('2018_commission_structure'!$A$11:$I$14,MATCH(Calculations!$E846,'2018_commission_structure'!$A$11:$A$14,0), MATCH(Calculations!Q$1,'2018_commission_structure'!$A$11:$I$11,0)),0)</f>
        <v>22156.469999999998</v>
      </c>
      <c r="R846" s="7">
        <f>IF($H846&gt;K846,MIN($H846-K846,L846-K846)*INDEX('2018_commission_structure'!$A$11:$I$14,MATCH(Calculations!$E846,'2018_commission_structure'!$A$11:$A$14,0), MATCH(Calculations!R$1,'2018_commission_structure'!$A$11:$I$11,0)),0)</f>
        <v>0</v>
      </c>
      <c r="S846" s="7">
        <f>IF(H846&gt;L846,(H846-L846)*INDEX('2018_commission_structure'!$A$11:$I$14,MATCH(Calculations!$E846,'2018_commission_structure'!$A$11:$A$14,0),MATCH(Calculations!S$1,'2018_commission_structure'!$A$11:$I$11,0)),0)</f>
        <v>0</v>
      </c>
      <c r="T846" s="7">
        <f t="shared" si="122"/>
        <v>125656.47</v>
      </c>
      <c r="U846" s="7">
        <f t="shared" si="123"/>
        <v>176344.47</v>
      </c>
      <c r="V846" s="7">
        <f>MIN(H846,I846)*INDEX('2018_commission_structure'!$A$5:$J$8,MATCH(Calculations!$E846,'2018_commission_structure'!$A$5:$A$8,0),MATCH(Calculations!V$1,'2018_commission_structure'!$A$5:$J$5,0))</f>
        <v>90000</v>
      </c>
      <c r="W846" s="2">
        <f>IF($H846&gt;I846,MIN($H846-I846,J846-I846)*INDEX('2018_commission_structure'!$A$5:$J$8,MATCH(Calculations!$E846,'2018_commission_structure'!$A$5:$A$8,0),MATCH(Calculations!W$1,'2018_commission_structure'!$A$5:$J$5,0)),0)</f>
        <v>27000</v>
      </c>
      <c r="X846" s="2">
        <f>IF($H846&gt;J846,MIN($H846-J846,K846-J846)*INDEX('2018_commission_structure'!$A$5:$J$8,MATCH(Calculations!$E846,'2018_commission_structure'!$A$5:$A$8,0),MATCH(Calculations!X$1,'2018_commission_structure'!$A$5:$J$5,0)),0)</f>
        <v>26376.75</v>
      </c>
      <c r="Y846" s="2">
        <f>IF($H846&gt;K846,MIN($H846-K846,L846-K846)*INDEX('2018_commission_structure'!$A$5:$J$8,MATCH(Calculations!$E846,'2018_commission_structure'!$A$5:$A$8,0),MATCH(Calculations!Y$1,'2018_commission_structure'!$A$5:$J$5,0)),0)</f>
        <v>0</v>
      </c>
      <c r="Z846" s="2">
        <f xml:space="preserve"> IF(H846&gt;L846,(H846-L846)*INDEX('2018_commission_structure'!$A$11:$I$14,MATCH(Calculations!$E846,'2018_commission_structure'!$A$11:$A$14,0),MATCH(Calculations!Z$1,'2018_commission_structure'!$A$11:$I$11,0)),0)</f>
        <v>0</v>
      </c>
      <c r="AA846" s="7">
        <f t="shared" si="124"/>
        <v>143376.75</v>
      </c>
      <c r="AB846" s="7">
        <f t="shared" si="125"/>
        <v>194064.75</v>
      </c>
    </row>
    <row r="847" spans="1:28" x14ac:dyDescent="0.25">
      <c r="A847">
        <v>1266227768</v>
      </c>
      <c r="B847" t="s">
        <v>52</v>
      </c>
      <c r="C847" t="s">
        <v>53</v>
      </c>
      <c r="D847" t="str">
        <f>B847&amp;" "&amp;C847</f>
        <v>Latrina Shropsheir</v>
      </c>
      <c r="E847" t="s">
        <v>29</v>
      </c>
      <c r="F847">
        <v>64839</v>
      </c>
      <c r="G847">
        <f>COUNTIF(deals_closed!D:D,Calculations!A847)</f>
        <v>12</v>
      </c>
      <c r="H847" s="2">
        <f>SUMIF(deals_closed!D:D,Calculations!A847,deals_closed!C:C)</f>
        <v>329383</v>
      </c>
      <c r="I847" s="2">
        <f>VLOOKUP(E847,'2018_commission_structure'!$A$11:$I$14,9,FALSE)</f>
        <v>600000</v>
      </c>
      <c r="J847" s="2">
        <f t="shared" si="117"/>
        <v>750000</v>
      </c>
      <c r="K847" s="2">
        <f t="shared" si="118"/>
        <v>900000</v>
      </c>
      <c r="L847" s="2">
        <f t="shared" si="119"/>
        <v>1200000</v>
      </c>
      <c r="M847" s="6">
        <f t="shared" si="120"/>
        <v>0.54897166666666664</v>
      </c>
      <c r="N847" t="str">
        <f t="shared" si="121"/>
        <v>0-100%</v>
      </c>
      <c r="O847" s="7">
        <f>MIN(I847,H847)*INDEX('2018_commission_structure'!$A$11:$I$14,MATCH(Calculations!$E847,'2018_commission_structure'!$A$11:$A$14,0),MATCH(Calculations!O$1,'2018_commission_structure'!$A$11:$I$11,0))</f>
        <v>42819.79</v>
      </c>
      <c r="P847" s="7">
        <f>IF($H847&gt;I847,MIN($H847-I847,J847-I847)*INDEX('2018_commission_structure'!$A$11:$I$14,MATCH(Calculations!$E847,'2018_commission_structure'!$A$11:$A$14,0), MATCH(Calculations!P$1,'2018_commission_structure'!$A$11:$I$11,0)),0)</f>
        <v>0</v>
      </c>
      <c r="Q847" s="7">
        <f>IF($H847&gt;J847,MIN($H847-J847,K847-J847)*INDEX('2018_commission_structure'!$A$11:$I$14,MATCH(Calculations!$E847,'2018_commission_structure'!$A$11:$A$14,0), MATCH(Calculations!Q$1,'2018_commission_structure'!$A$11:$I$11,0)),0)</f>
        <v>0</v>
      </c>
      <c r="R847" s="7">
        <f>IF($H847&gt;K847,MIN($H847-K847,L847-K847)*INDEX('2018_commission_structure'!$A$11:$I$14,MATCH(Calculations!$E847,'2018_commission_structure'!$A$11:$A$14,0), MATCH(Calculations!R$1,'2018_commission_structure'!$A$11:$I$11,0)),0)</f>
        <v>0</v>
      </c>
      <c r="S847" s="7">
        <f>IF(H847&gt;L847,(H847-L847)*INDEX('2018_commission_structure'!$A$11:$I$14,MATCH(Calculations!$E847,'2018_commission_structure'!$A$11:$A$14,0),MATCH(Calculations!S$1,'2018_commission_structure'!$A$11:$I$11,0)),0)</f>
        <v>0</v>
      </c>
      <c r="T847" s="7">
        <f t="shared" si="122"/>
        <v>42819.79</v>
      </c>
      <c r="U847" s="7">
        <f t="shared" si="123"/>
        <v>107658.79000000001</v>
      </c>
      <c r="V847" s="7">
        <f>MIN(H847,I847)*INDEX('2018_commission_structure'!$A$5:$J$8,MATCH(Calculations!$E847,'2018_commission_structure'!$A$5:$A$8,0),MATCH(Calculations!V$1,'2018_commission_structure'!$A$5:$J$5,0))</f>
        <v>49407.45</v>
      </c>
      <c r="W847" s="2">
        <f>IF($H847&gt;I847,MIN($H847-I847,J847-I847)*INDEX('2018_commission_structure'!$A$5:$J$8,MATCH(Calculations!$E847,'2018_commission_structure'!$A$5:$A$8,0),MATCH(Calculations!W$1,'2018_commission_structure'!$A$5:$J$5,0)),0)</f>
        <v>0</v>
      </c>
      <c r="X847" s="2">
        <f>IF($H847&gt;J847,MIN($H847-J847,K847-J847)*INDEX('2018_commission_structure'!$A$5:$J$8,MATCH(Calculations!$E847,'2018_commission_structure'!$A$5:$A$8,0),MATCH(Calculations!X$1,'2018_commission_structure'!$A$5:$J$5,0)),0)</f>
        <v>0</v>
      </c>
      <c r="Y847" s="2">
        <f>IF($H847&gt;K847,MIN($H847-K847,L847-K847)*INDEX('2018_commission_structure'!$A$5:$J$8,MATCH(Calculations!$E847,'2018_commission_structure'!$A$5:$A$8,0),MATCH(Calculations!Y$1,'2018_commission_structure'!$A$5:$J$5,0)),0)</f>
        <v>0</v>
      </c>
      <c r="Z847" s="2">
        <f xml:space="preserve"> IF(H847&gt;L847,(H847-L847)*INDEX('2018_commission_structure'!$A$11:$I$14,MATCH(Calculations!$E847,'2018_commission_structure'!$A$11:$A$14,0),MATCH(Calculations!Z$1,'2018_commission_structure'!$A$11:$I$11,0)),0)</f>
        <v>0</v>
      </c>
      <c r="AA847" s="7">
        <f t="shared" si="124"/>
        <v>49407.45</v>
      </c>
      <c r="AB847" s="7">
        <f t="shared" si="125"/>
        <v>114246.45</v>
      </c>
    </row>
    <row r="848" spans="1:28" x14ac:dyDescent="0.25">
      <c r="A848">
        <v>5863557389</v>
      </c>
      <c r="B848" t="s">
        <v>1680</v>
      </c>
      <c r="C848" t="s">
        <v>1681</v>
      </c>
      <c r="D848" t="str">
        <f>B848&amp;" "&amp;C848</f>
        <v>Maddalena Shurrock</v>
      </c>
      <c r="E848" t="s">
        <v>29</v>
      </c>
      <c r="F848">
        <v>78580</v>
      </c>
      <c r="G848">
        <f>COUNTIF(deals_closed!D:D,Calculations!A848)</f>
        <v>19</v>
      </c>
      <c r="H848" s="2">
        <f>SUMIF(deals_closed!D:D,Calculations!A848,deals_closed!C:C)</f>
        <v>680191</v>
      </c>
      <c r="I848" s="2">
        <f>VLOOKUP(E848,'2018_commission_structure'!$A$11:$I$14,9,FALSE)</f>
        <v>600000</v>
      </c>
      <c r="J848" s="2">
        <f t="shared" si="117"/>
        <v>750000</v>
      </c>
      <c r="K848" s="2">
        <f t="shared" si="118"/>
        <v>900000</v>
      </c>
      <c r="L848" s="2">
        <f t="shared" si="119"/>
        <v>1200000</v>
      </c>
      <c r="M848" s="6">
        <f t="shared" si="120"/>
        <v>1.1336516666666667</v>
      </c>
      <c r="N848" t="str">
        <f t="shared" si="121"/>
        <v>100-125%</v>
      </c>
      <c r="O848" s="7">
        <f>MIN(I848,H848)*INDEX('2018_commission_structure'!$A$11:$I$14,MATCH(Calculations!$E848,'2018_commission_structure'!$A$11:$A$14,0),MATCH(Calculations!O$1,'2018_commission_structure'!$A$11:$I$11,0))</f>
        <v>78000</v>
      </c>
      <c r="P848" s="7">
        <f>IF($H848&gt;I848,MIN($H848-I848,J848-I848)*INDEX('2018_commission_structure'!$A$11:$I$14,MATCH(Calculations!$E848,'2018_commission_structure'!$A$11:$A$14,0), MATCH(Calculations!P$1,'2018_commission_structure'!$A$11:$I$11,0)),0)</f>
        <v>13632.470000000001</v>
      </c>
      <c r="Q848" s="7">
        <f>IF($H848&gt;J848,MIN($H848-J848,K848-J848)*INDEX('2018_commission_structure'!$A$11:$I$14,MATCH(Calculations!$E848,'2018_commission_structure'!$A$11:$A$14,0), MATCH(Calculations!Q$1,'2018_commission_structure'!$A$11:$I$11,0)),0)</f>
        <v>0</v>
      </c>
      <c r="R848" s="7">
        <f>IF($H848&gt;K848,MIN($H848-K848,L848-K848)*INDEX('2018_commission_structure'!$A$11:$I$14,MATCH(Calculations!$E848,'2018_commission_structure'!$A$11:$A$14,0), MATCH(Calculations!R$1,'2018_commission_structure'!$A$11:$I$11,0)),0)</f>
        <v>0</v>
      </c>
      <c r="S848" s="7">
        <f>IF(H848&gt;L848,(H848-L848)*INDEX('2018_commission_structure'!$A$11:$I$14,MATCH(Calculations!$E848,'2018_commission_structure'!$A$11:$A$14,0),MATCH(Calculations!S$1,'2018_commission_structure'!$A$11:$I$11,0)),0)</f>
        <v>0</v>
      </c>
      <c r="T848" s="7">
        <f t="shared" si="122"/>
        <v>91632.47</v>
      </c>
      <c r="U848" s="7">
        <f t="shared" si="123"/>
        <v>170212.47</v>
      </c>
      <c r="V848" s="7">
        <f>MIN(H848,I848)*INDEX('2018_commission_structure'!$A$5:$J$8,MATCH(Calculations!$E848,'2018_commission_structure'!$A$5:$A$8,0),MATCH(Calculations!V$1,'2018_commission_structure'!$A$5:$J$5,0))</f>
        <v>90000</v>
      </c>
      <c r="W848" s="2">
        <f>IF($H848&gt;I848,MIN($H848-I848,J848-I848)*INDEX('2018_commission_structure'!$A$5:$J$8,MATCH(Calculations!$E848,'2018_commission_structure'!$A$5:$A$8,0),MATCH(Calculations!W$1,'2018_commission_structure'!$A$5:$J$5,0)),0)</f>
        <v>14434.38</v>
      </c>
      <c r="X848" s="2">
        <f>IF($H848&gt;J848,MIN($H848-J848,K848-J848)*INDEX('2018_commission_structure'!$A$5:$J$8,MATCH(Calculations!$E848,'2018_commission_structure'!$A$5:$A$8,0),MATCH(Calculations!X$1,'2018_commission_structure'!$A$5:$J$5,0)),0)</f>
        <v>0</v>
      </c>
      <c r="Y848" s="2">
        <f>IF($H848&gt;K848,MIN($H848-K848,L848-K848)*INDEX('2018_commission_structure'!$A$5:$J$8,MATCH(Calculations!$E848,'2018_commission_structure'!$A$5:$A$8,0),MATCH(Calculations!Y$1,'2018_commission_structure'!$A$5:$J$5,0)),0)</f>
        <v>0</v>
      </c>
      <c r="Z848" s="2">
        <f xml:space="preserve"> IF(H848&gt;L848,(H848-L848)*INDEX('2018_commission_structure'!$A$11:$I$14,MATCH(Calculations!$E848,'2018_commission_structure'!$A$11:$A$14,0),MATCH(Calculations!Z$1,'2018_commission_structure'!$A$11:$I$11,0)),0)</f>
        <v>0</v>
      </c>
      <c r="AA848" s="7">
        <f t="shared" si="124"/>
        <v>104434.38</v>
      </c>
      <c r="AB848" s="7">
        <f t="shared" si="125"/>
        <v>183014.38</v>
      </c>
    </row>
    <row r="849" spans="1:28" x14ac:dyDescent="0.25">
      <c r="A849">
        <v>3379645060</v>
      </c>
      <c r="B849" t="s">
        <v>68</v>
      </c>
      <c r="C849" t="s">
        <v>69</v>
      </c>
      <c r="D849" t="str">
        <f>B849&amp;" "&amp;C849</f>
        <v>Rasla Shutte</v>
      </c>
      <c r="E849" t="s">
        <v>7</v>
      </c>
      <c r="F849">
        <v>45353</v>
      </c>
      <c r="G849">
        <f>COUNTIF(deals_closed!D:D,Calculations!A849)</f>
        <v>23</v>
      </c>
      <c r="H849" s="2">
        <f>SUMIF(deals_closed!D:D,Calculations!A849,deals_closed!C:C)</f>
        <v>852910</v>
      </c>
      <c r="I849" s="2">
        <f>VLOOKUP(E849,'2018_commission_structure'!$A$11:$I$14,9,FALSE)</f>
        <v>500000</v>
      </c>
      <c r="J849" s="2">
        <f t="shared" si="117"/>
        <v>625000</v>
      </c>
      <c r="K849" s="2">
        <f t="shared" si="118"/>
        <v>750000</v>
      </c>
      <c r="L849" s="2">
        <f t="shared" si="119"/>
        <v>1000000</v>
      </c>
      <c r="M849" s="6">
        <f t="shared" si="120"/>
        <v>1.7058199999999999</v>
      </c>
      <c r="N849" t="str">
        <f t="shared" si="121"/>
        <v>150-200%</v>
      </c>
      <c r="O849" s="7">
        <f>MIN(I849,H849)*INDEX('2018_commission_structure'!$A$11:$I$14,MATCH(Calculations!$E849,'2018_commission_structure'!$A$11:$A$14,0),MATCH(Calculations!O$1,'2018_commission_structure'!$A$11:$I$11,0))</f>
        <v>50000</v>
      </c>
      <c r="P849" s="7">
        <f>IF($H849&gt;I849,MIN($H849-I849,J849-I849)*INDEX('2018_commission_structure'!$A$11:$I$14,MATCH(Calculations!$E849,'2018_commission_structure'!$A$11:$A$14,0), MATCH(Calculations!P$1,'2018_commission_structure'!$A$11:$I$11,0)),0)</f>
        <v>18750</v>
      </c>
      <c r="Q849" s="7">
        <f>IF($H849&gt;J849,MIN($H849-J849,K849-J849)*INDEX('2018_commission_structure'!$A$11:$I$14,MATCH(Calculations!$E849,'2018_commission_structure'!$A$11:$A$14,0), MATCH(Calculations!Q$1,'2018_commission_structure'!$A$11:$I$11,0)),0)</f>
        <v>22500</v>
      </c>
      <c r="R849" s="7">
        <f>IF($H849&gt;K849,MIN($H849-K849,L849-K849)*INDEX('2018_commission_structure'!$A$11:$I$14,MATCH(Calculations!$E849,'2018_commission_structure'!$A$11:$A$14,0), MATCH(Calculations!R$1,'2018_commission_structure'!$A$11:$I$11,0)),0)</f>
        <v>22640.2</v>
      </c>
      <c r="S849" s="7">
        <f>IF(H849&gt;L849,(H849-L849)*INDEX('2018_commission_structure'!$A$11:$I$14,MATCH(Calculations!$E849,'2018_commission_structure'!$A$11:$A$14,0),MATCH(Calculations!S$1,'2018_commission_structure'!$A$11:$I$11,0)),0)</f>
        <v>0</v>
      </c>
      <c r="T849" s="7">
        <f t="shared" si="122"/>
        <v>113890.2</v>
      </c>
      <c r="U849" s="7">
        <f t="shared" si="123"/>
        <v>159243.20000000001</v>
      </c>
      <c r="V849" s="7">
        <f>MIN(H849,I849)*INDEX('2018_commission_structure'!$A$5:$J$8,MATCH(Calculations!$E849,'2018_commission_structure'!$A$5:$A$8,0),MATCH(Calculations!V$1,'2018_commission_structure'!$A$5:$J$5,0))</f>
        <v>60000</v>
      </c>
      <c r="W849" s="2">
        <f>IF($H849&gt;I849,MIN($H849-I849,J849-I849)*INDEX('2018_commission_structure'!$A$5:$J$8,MATCH(Calculations!$E849,'2018_commission_structure'!$A$5:$A$8,0),MATCH(Calculations!W$1,'2018_commission_structure'!$A$5:$J$5,0)),0)</f>
        <v>21250</v>
      </c>
      <c r="X849" s="2">
        <f>IF($H849&gt;J849,MIN($H849-J849,K849-J849)*INDEX('2018_commission_structure'!$A$5:$J$8,MATCH(Calculations!$E849,'2018_commission_structure'!$A$5:$A$8,0),MATCH(Calculations!X$1,'2018_commission_structure'!$A$5:$J$5,0)),0)</f>
        <v>25000</v>
      </c>
      <c r="Y849" s="2">
        <f>IF($H849&gt;K849,MIN($H849-K849,L849-K849)*INDEX('2018_commission_structure'!$A$5:$J$8,MATCH(Calculations!$E849,'2018_commission_structure'!$A$5:$A$8,0),MATCH(Calculations!Y$1,'2018_commission_structure'!$A$5:$J$5,0)),0)</f>
        <v>22640.2</v>
      </c>
      <c r="Z849" s="2">
        <f xml:space="preserve"> IF(H849&gt;L849,(H849-L849)*INDEX('2018_commission_structure'!$A$11:$I$14,MATCH(Calculations!$E849,'2018_commission_structure'!$A$11:$A$14,0),MATCH(Calculations!Z$1,'2018_commission_structure'!$A$11:$I$11,0)),0)</f>
        <v>0</v>
      </c>
      <c r="AA849" s="7">
        <f t="shared" si="124"/>
        <v>128890.2</v>
      </c>
      <c r="AB849" s="7">
        <f t="shared" si="125"/>
        <v>174243.20000000001</v>
      </c>
    </row>
    <row r="850" spans="1:28" x14ac:dyDescent="0.25">
      <c r="A850">
        <v>7152427402</v>
      </c>
      <c r="B850" t="s">
        <v>821</v>
      </c>
      <c r="C850" t="s">
        <v>822</v>
      </c>
      <c r="D850" t="str">
        <f>B850&amp;" "&amp;C850</f>
        <v>Billye Shwalbe</v>
      </c>
      <c r="E850" t="s">
        <v>7</v>
      </c>
      <c r="F850">
        <v>31747</v>
      </c>
      <c r="G850">
        <f>COUNTIF(deals_closed!D:D,Calculations!A850)</f>
        <v>22</v>
      </c>
      <c r="H850" s="2">
        <f>SUMIF(deals_closed!D:D,Calculations!A850,deals_closed!C:C)</f>
        <v>661132</v>
      </c>
      <c r="I850" s="2">
        <f>VLOOKUP(E850,'2018_commission_structure'!$A$11:$I$14,9,FALSE)</f>
        <v>500000</v>
      </c>
      <c r="J850" s="2">
        <f t="shared" si="117"/>
        <v>625000</v>
      </c>
      <c r="K850" s="2">
        <f t="shared" si="118"/>
        <v>750000</v>
      </c>
      <c r="L850" s="2">
        <f t="shared" si="119"/>
        <v>1000000</v>
      </c>
      <c r="M850" s="6">
        <f t="shared" si="120"/>
        <v>1.3222640000000001</v>
      </c>
      <c r="N850" t="str">
        <f t="shared" si="121"/>
        <v>125-150%</v>
      </c>
      <c r="O850" s="7">
        <f>MIN(I850,H850)*INDEX('2018_commission_structure'!$A$11:$I$14,MATCH(Calculations!$E850,'2018_commission_structure'!$A$11:$A$14,0),MATCH(Calculations!O$1,'2018_commission_structure'!$A$11:$I$11,0))</f>
        <v>50000</v>
      </c>
      <c r="P850" s="7">
        <f>IF($H850&gt;I850,MIN($H850-I850,J850-I850)*INDEX('2018_commission_structure'!$A$11:$I$14,MATCH(Calculations!$E850,'2018_commission_structure'!$A$11:$A$14,0), MATCH(Calculations!P$1,'2018_commission_structure'!$A$11:$I$11,0)),0)</f>
        <v>18750</v>
      </c>
      <c r="Q850" s="7">
        <f>IF($H850&gt;J850,MIN($H850-J850,K850-J850)*INDEX('2018_commission_structure'!$A$11:$I$14,MATCH(Calculations!$E850,'2018_commission_structure'!$A$11:$A$14,0), MATCH(Calculations!Q$1,'2018_commission_structure'!$A$11:$I$11,0)),0)</f>
        <v>6503.7599999999993</v>
      </c>
      <c r="R850" s="7">
        <f>IF($H850&gt;K850,MIN($H850-K850,L850-K850)*INDEX('2018_commission_structure'!$A$11:$I$14,MATCH(Calculations!$E850,'2018_commission_structure'!$A$11:$A$14,0), MATCH(Calculations!R$1,'2018_commission_structure'!$A$11:$I$11,0)),0)</f>
        <v>0</v>
      </c>
      <c r="S850" s="7">
        <f>IF(H850&gt;L850,(H850-L850)*INDEX('2018_commission_structure'!$A$11:$I$14,MATCH(Calculations!$E850,'2018_commission_structure'!$A$11:$A$14,0),MATCH(Calculations!S$1,'2018_commission_structure'!$A$11:$I$11,0)),0)</f>
        <v>0</v>
      </c>
      <c r="T850" s="7">
        <f t="shared" si="122"/>
        <v>75253.759999999995</v>
      </c>
      <c r="U850" s="7">
        <f t="shared" si="123"/>
        <v>107000.76</v>
      </c>
      <c r="V850" s="7">
        <f>MIN(H850,I850)*INDEX('2018_commission_structure'!$A$5:$J$8,MATCH(Calculations!$E850,'2018_commission_structure'!$A$5:$A$8,0),MATCH(Calculations!V$1,'2018_commission_structure'!$A$5:$J$5,0))</f>
        <v>60000</v>
      </c>
      <c r="W850" s="2">
        <f>IF($H850&gt;I850,MIN($H850-I850,J850-I850)*INDEX('2018_commission_structure'!$A$5:$J$8,MATCH(Calculations!$E850,'2018_commission_structure'!$A$5:$A$8,0),MATCH(Calculations!W$1,'2018_commission_structure'!$A$5:$J$5,0)),0)</f>
        <v>21250</v>
      </c>
      <c r="X850" s="2">
        <f>IF($H850&gt;J850,MIN($H850-J850,K850-J850)*INDEX('2018_commission_structure'!$A$5:$J$8,MATCH(Calculations!$E850,'2018_commission_structure'!$A$5:$A$8,0),MATCH(Calculations!X$1,'2018_commission_structure'!$A$5:$J$5,0)),0)</f>
        <v>7226.4000000000005</v>
      </c>
      <c r="Y850" s="2">
        <f>IF($H850&gt;K850,MIN($H850-K850,L850-K850)*INDEX('2018_commission_structure'!$A$5:$J$8,MATCH(Calculations!$E850,'2018_commission_structure'!$A$5:$A$8,0),MATCH(Calculations!Y$1,'2018_commission_structure'!$A$5:$J$5,0)),0)</f>
        <v>0</v>
      </c>
      <c r="Z850" s="2">
        <f xml:space="preserve"> IF(H850&gt;L850,(H850-L850)*INDEX('2018_commission_structure'!$A$11:$I$14,MATCH(Calculations!$E850,'2018_commission_structure'!$A$11:$A$14,0),MATCH(Calculations!Z$1,'2018_commission_structure'!$A$11:$I$11,0)),0)</f>
        <v>0</v>
      </c>
      <c r="AA850" s="7">
        <f t="shared" si="124"/>
        <v>88476.4</v>
      </c>
      <c r="AB850" s="7">
        <f t="shared" si="125"/>
        <v>120223.4</v>
      </c>
    </row>
    <row r="851" spans="1:28" x14ac:dyDescent="0.25">
      <c r="A851">
        <v>7479962290</v>
      </c>
      <c r="B851" t="s">
        <v>1385</v>
      </c>
      <c r="C851" t="s">
        <v>1386</v>
      </c>
      <c r="D851" t="str">
        <f>B851&amp;" "&amp;C851</f>
        <v>Paulo Sibbert</v>
      </c>
      <c r="E851" t="s">
        <v>7</v>
      </c>
      <c r="F851">
        <v>44582</v>
      </c>
      <c r="G851">
        <f>COUNTIF(deals_closed!D:D,Calculations!A851)</f>
        <v>18</v>
      </c>
      <c r="H851" s="2">
        <f>SUMIF(deals_closed!D:D,Calculations!A851,deals_closed!C:C)</f>
        <v>605849</v>
      </c>
      <c r="I851" s="2">
        <f>VLOOKUP(E851,'2018_commission_structure'!$A$11:$I$14,9,FALSE)</f>
        <v>500000</v>
      </c>
      <c r="J851" s="2">
        <f t="shared" si="117"/>
        <v>625000</v>
      </c>
      <c r="K851" s="2">
        <f t="shared" si="118"/>
        <v>750000</v>
      </c>
      <c r="L851" s="2">
        <f t="shared" si="119"/>
        <v>1000000</v>
      </c>
      <c r="M851" s="6">
        <f t="shared" si="120"/>
        <v>1.2116979999999999</v>
      </c>
      <c r="N851" t="str">
        <f t="shared" si="121"/>
        <v>100-125%</v>
      </c>
      <c r="O851" s="7">
        <f>MIN(I851,H851)*INDEX('2018_commission_structure'!$A$11:$I$14,MATCH(Calculations!$E851,'2018_commission_structure'!$A$11:$A$14,0),MATCH(Calculations!O$1,'2018_commission_structure'!$A$11:$I$11,0))</f>
        <v>50000</v>
      </c>
      <c r="P851" s="7">
        <f>IF($H851&gt;I851,MIN($H851-I851,J851-I851)*INDEX('2018_commission_structure'!$A$11:$I$14,MATCH(Calculations!$E851,'2018_commission_structure'!$A$11:$A$14,0), MATCH(Calculations!P$1,'2018_commission_structure'!$A$11:$I$11,0)),0)</f>
        <v>15877.349999999999</v>
      </c>
      <c r="Q851" s="7">
        <f>IF($H851&gt;J851,MIN($H851-J851,K851-J851)*INDEX('2018_commission_structure'!$A$11:$I$14,MATCH(Calculations!$E851,'2018_commission_structure'!$A$11:$A$14,0), MATCH(Calculations!Q$1,'2018_commission_structure'!$A$11:$I$11,0)),0)</f>
        <v>0</v>
      </c>
      <c r="R851" s="7">
        <f>IF($H851&gt;K851,MIN($H851-K851,L851-K851)*INDEX('2018_commission_structure'!$A$11:$I$14,MATCH(Calculations!$E851,'2018_commission_structure'!$A$11:$A$14,0), MATCH(Calculations!R$1,'2018_commission_structure'!$A$11:$I$11,0)),0)</f>
        <v>0</v>
      </c>
      <c r="S851" s="7">
        <f>IF(H851&gt;L851,(H851-L851)*INDEX('2018_commission_structure'!$A$11:$I$14,MATCH(Calculations!$E851,'2018_commission_structure'!$A$11:$A$14,0),MATCH(Calculations!S$1,'2018_commission_structure'!$A$11:$I$11,0)),0)</f>
        <v>0</v>
      </c>
      <c r="T851" s="7">
        <f t="shared" si="122"/>
        <v>65877.350000000006</v>
      </c>
      <c r="U851" s="7">
        <f t="shared" si="123"/>
        <v>110459.35</v>
      </c>
      <c r="V851" s="7">
        <f>MIN(H851,I851)*INDEX('2018_commission_structure'!$A$5:$J$8,MATCH(Calculations!$E851,'2018_commission_structure'!$A$5:$A$8,0),MATCH(Calculations!V$1,'2018_commission_structure'!$A$5:$J$5,0))</f>
        <v>60000</v>
      </c>
      <c r="W851" s="2">
        <f>IF($H851&gt;I851,MIN($H851-I851,J851-I851)*INDEX('2018_commission_structure'!$A$5:$J$8,MATCH(Calculations!$E851,'2018_commission_structure'!$A$5:$A$8,0),MATCH(Calculations!W$1,'2018_commission_structure'!$A$5:$J$5,0)),0)</f>
        <v>17994.330000000002</v>
      </c>
      <c r="X851" s="2">
        <f>IF($H851&gt;J851,MIN($H851-J851,K851-J851)*INDEX('2018_commission_structure'!$A$5:$J$8,MATCH(Calculations!$E851,'2018_commission_structure'!$A$5:$A$8,0),MATCH(Calculations!X$1,'2018_commission_structure'!$A$5:$J$5,0)),0)</f>
        <v>0</v>
      </c>
      <c r="Y851" s="2">
        <f>IF($H851&gt;K851,MIN($H851-K851,L851-K851)*INDEX('2018_commission_structure'!$A$5:$J$8,MATCH(Calculations!$E851,'2018_commission_structure'!$A$5:$A$8,0),MATCH(Calculations!Y$1,'2018_commission_structure'!$A$5:$J$5,0)),0)</f>
        <v>0</v>
      </c>
      <c r="Z851" s="2">
        <f xml:space="preserve"> IF(H851&gt;L851,(H851-L851)*INDEX('2018_commission_structure'!$A$11:$I$14,MATCH(Calculations!$E851,'2018_commission_structure'!$A$11:$A$14,0),MATCH(Calculations!Z$1,'2018_commission_structure'!$A$11:$I$11,0)),0)</f>
        <v>0</v>
      </c>
      <c r="AA851" s="7">
        <f t="shared" si="124"/>
        <v>77994.33</v>
      </c>
      <c r="AB851" s="7">
        <f t="shared" si="125"/>
        <v>122576.33</v>
      </c>
    </row>
    <row r="852" spans="1:28" x14ac:dyDescent="0.25">
      <c r="A852">
        <v>7268478941</v>
      </c>
      <c r="B852" t="s">
        <v>1286</v>
      </c>
      <c r="C852" t="s">
        <v>1287</v>
      </c>
      <c r="D852" t="str">
        <f>B852&amp;" "&amp;C852</f>
        <v>Winfred Siggee</v>
      </c>
      <c r="E852" t="s">
        <v>29</v>
      </c>
      <c r="F852">
        <v>62721</v>
      </c>
      <c r="G852">
        <f>COUNTIF(deals_closed!D:D,Calculations!A852)</f>
        <v>18</v>
      </c>
      <c r="H852" s="2">
        <f>SUMIF(deals_closed!D:D,Calculations!A852,deals_closed!C:C)</f>
        <v>695864</v>
      </c>
      <c r="I852" s="2">
        <f>VLOOKUP(E852,'2018_commission_structure'!$A$11:$I$14,9,FALSE)</f>
        <v>600000</v>
      </c>
      <c r="J852" s="2">
        <f t="shared" si="117"/>
        <v>750000</v>
      </c>
      <c r="K852" s="2">
        <f t="shared" si="118"/>
        <v>900000</v>
      </c>
      <c r="L852" s="2">
        <f t="shared" si="119"/>
        <v>1200000</v>
      </c>
      <c r="M852" s="6">
        <f t="shared" si="120"/>
        <v>1.1597733333333333</v>
      </c>
      <c r="N852" t="str">
        <f t="shared" si="121"/>
        <v>100-125%</v>
      </c>
      <c r="O852" s="7">
        <f>MIN(I852,H852)*INDEX('2018_commission_structure'!$A$11:$I$14,MATCH(Calculations!$E852,'2018_commission_structure'!$A$11:$A$14,0),MATCH(Calculations!O$1,'2018_commission_structure'!$A$11:$I$11,0))</f>
        <v>78000</v>
      </c>
      <c r="P852" s="7">
        <f>IF($H852&gt;I852,MIN($H852-I852,J852-I852)*INDEX('2018_commission_structure'!$A$11:$I$14,MATCH(Calculations!$E852,'2018_commission_structure'!$A$11:$A$14,0), MATCH(Calculations!P$1,'2018_commission_structure'!$A$11:$I$11,0)),0)</f>
        <v>16296.880000000001</v>
      </c>
      <c r="Q852" s="7">
        <f>IF($H852&gt;J852,MIN($H852-J852,K852-J852)*INDEX('2018_commission_structure'!$A$11:$I$14,MATCH(Calculations!$E852,'2018_commission_structure'!$A$11:$A$14,0), MATCH(Calculations!Q$1,'2018_commission_structure'!$A$11:$I$11,0)),0)</f>
        <v>0</v>
      </c>
      <c r="R852" s="7">
        <f>IF($H852&gt;K852,MIN($H852-K852,L852-K852)*INDEX('2018_commission_structure'!$A$11:$I$14,MATCH(Calculations!$E852,'2018_commission_structure'!$A$11:$A$14,0), MATCH(Calculations!R$1,'2018_commission_structure'!$A$11:$I$11,0)),0)</f>
        <v>0</v>
      </c>
      <c r="S852" s="7">
        <f>IF(H852&gt;L852,(H852-L852)*INDEX('2018_commission_structure'!$A$11:$I$14,MATCH(Calculations!$E852,'2018_commission_structure'!$A$11:$A$14,0),MATCH(Calculations!S$1,'2018_commission_structure'!$A$11:$I$11,0)),0)</f>
        <v>0</v>
      </c>
      <c r="T852" s="7">
        <f t="shared" si="122"/>
        <v>94296.88</v>
      </c>
      <c r="U852" s="7">
        <f t="shared" si="123"/>
        <v>157017.88</v>
      </c>
      <c r="V852" s="7">
        <f>MIN(H852,I852)*INDEX('2018_commission_structure'!$A$5:$J$8,MATCH(Calculations!$E852,'2018_commission_structure'!$A$5:$A$8,0),MATCH(Calculations!V$1,'2018_commission_structure'!$A$5:$J$5,0))</f>
        <v>90000</v>
      </c>
      <c r="W852" s="2">
        <f>IF($H852&gt;I852,MIN($H852-I852,J852-I852)*INDEX('2018_commission_structure'!$A$5:$J$8,MATCH(Calculations!$E852,'2018_commission_structure'!$A$5:$A$8,0),MATCH(Calculations!W$1,'2018_commission_structure'!$A$5:$J$5,0)),0)</f>
        <v>17255.52</v>
      </c>
      <c r="X852" s="2">
        <f>IF($H852&gt;J852,MIN($H852-J852,K852-J852)*INDEX('2018_commission_structure'!$A$5:$J$8,MATCH(Calculations!$E852,'2018_commission_structure'!$A$5:$A$8,0),MATCH(Calculations!X$1,'2018_commission_structure'!$A$5:$J$5,0)),0)</f>
        <v>0</v>
      </c>
      <c r="Y852" s="2">
        <f>IF($H852&gt;K852,MIN($H852-K852,L852-K852)*INDEX('2018_commission_structure'!$A$5:$J$8,MATCH(Calculations!$E852,'2018_commission_structure'!$A$5:$A$8,0),MATCH(Calculations!Y$1,'2018_commission_structure'!$A$5:$J$5,0)),0)</f>
        <v>0</v>
      </c>
      <c r="Z852" s="2">
        <f xml:space="preserve"> IF(H852&gt;L852,(H852-L852)*INDEX('2018_commission_structure'!$A$11:$I$14,MATCH(Calculations!$E852,'2018_commission_structure'!$A$11:$A$14,0),MATCH(Calculations!Z$1,'2018_commission_structure'!$A$11:$I$11,0)),0)</f>
        <v>0</v>
      </c>
      <c r="AA852" s="7">
        <f t="shared" si="124"/>
        <v>107255.52</v>
      </c>
      <c r="AB852" s="7">
        <f t="shared" si="125"/>
        <v>169976.52000000002</v>
      </c>
    </row>
    <row r="853" spans="1:28" x14ac:dyDescent="0.25">
      <c r="A853">
        <v>3292353998</v>
      </c>
      <c r="B853" t="s">
        <v>389</v>
      </c>
      <c r="C853" t="s">
        <v>390</v>
      </c>
      <c r="D853" t="str">
        <f>B853&amp;" "&amp;C853</f>
        <v>Denys Siggers</v>
      </c>
      <c r="E853" t="s">
        <v>29</v>
      </c>
      <c r="F853">
        <v>66896</v>
      </c>
      <c r="G853">
        <f>COUNTIF(deals_closed!D:D,Calculations!A853)</f>
        <v>16</v>
      </c>
      <c r="H853" s="2">
        <f>SUMIF(deals_closed!D:D,Calculations!A853,deals_closed!C:C)</f>
        <v>550598</v>
      </c>
      <c r="I853" s="2">
        <f>VLOOKUP(E853,'2018_commission_structure'!$A$11:$I$14,9,FALSE)</f>
        <v>600000</v>
      </c>
      <c r="J853" s="2">
        <f t="shared" si="117"/>
        <v>750000</v>
      </c>
      <c r="K853" s="2">
        <f t="shared" si="118"/>
        <v>900000</v>
      </c>
      <c r="L853" s="2">
        <f t="shared" si="119"/>
        <v>1200000</v>
      </c>
      <c r="M853" s="6">
        <f t="shared" si="120"/>
        <v>0.91766333333333339</v>
      </c>
      <c r="N853" t="str">
        <f t="shared" si="121"/>
        <v>0-100%</v>
      </c>
      <c r="O853" s="7">
        <f>MIN(I853,H853)*INDEX('2018_commission_structure'!$A$11:$I$14,MATCH(Calculations!$E853,'2018_commission_structure'!$A$11:$A$14,0),MATCH(Calculations!O$1,'2018_commission_structure'!$A$11:$I$11,0))</f>
        <v>71577.740000000005</v>
      </c>
      <c r="P853" s="7">
        <f>IF($H853&gt;I853,MIN($H853-I853,J853-I853)*INDEX('2018_commission_structure'!$A$11:$I$14,MATCH(Calculations!$E853,'2018_commission_structure'!$A$11:$A$14,0), MATCH(Calculations!P$1,'2018_commission_structure'!$A$11:$I$11,0)),0)</f>
        <v>0</v>
      </c>
      <c r="Q853" s="7">
        <f>IF($H853&gt;J853,MIN($H853-J853,K853-J853)*INDEX('2018_commission_structure'!$A$11:$I$14,MATCH(Calculations!$E853,'2018_commission_structure'!$A$11:$A$14,0), MATCH(Calculations!Q$1,'2018_commission_structure'!$A$11:$I$11,0)),0)</f>
        <v>0</v>
      </c>
      <c r="R853" s="7">
        <f>IF($H853&gt;K853,MIN($H853-K853,L853-K853)*INDEX('2018_commission_structure'!$A$11:$I$14,MATCH(Calculations!$E853,'2018_commission_structure'!$A$11:$A$14,0), MATCH(Calculations!R$1,'2018_commission_structure'!$A$11:$I$11,0)),0)</f>
        <v>0</v>
      </c>
      <c r="S853" s="7">
        <f>IF(H853&gt;L853,(H853-L853)*INDEX('2018_commission_structure'!$A$11:$I$14,MATCH(Calculations!$E853,'2018_commission_structure'!$A$11:$A$14,0),MATCH(Calculations!S$1,'2018_commission_structure'!$A$11:$I$11,0)),0)</f>
        <v>0</v>
      </c>
      <c r="T853" s="7">
        <f t="shared" si="122"/>
        <v>71577.740000000005</v>
      </c>
      <c r="U853" s="7">
        <f t="shared" si="123"/>
        <v>138473.74</v>
      </c>
      <c r="V853" s="7">
        <f>MIN(H853,I853)*INDEX('2018_commission_structure'!$A$5:$J$8,MATCH(Calculations!$E853,'2018_commission_structure'!$A$5:$A$8,0),MATCH(Calculations!V$1,'2018_commission_structure'!$A$5:$J$5,0))</f>
        <v>82589.7</v>
      </c>
      <c r="W853" s="2">
        <f>IF($H853&gt;I853,MIN($H853-I853,J853-I853)*INDEX('2018_commission_structure'!$A$5:$J$8,MATCH(Calculations!$E853,'2018_commission_structure'!$A$5:$A$8,0),MATCH(Calculations!W$1,'2018_commission_structure'!$A$5:$J$5,0)),0)</f>
        <v>0</v>
      </c>
      <c r="X853" s="2">
        <f>IF($H853&gt;J853,MIN($H853-J853,K853-J853)*INDEX('2018_commission_structure'!$A$5:$J$8,MATCH(Calculations!$E853,'2018_commission_structure'!$A$5:$A$8,0),MATCH(Calculations!X$1,'2018_commission_structure'!$A$5:$J$5,0)),0)</f>
        <v>0</v>
      </c>
      <c r="Y853" s="2">
        <f>IF($H853&gt;K853,MIN($H853-K853,L853-K853)*INDEX('2018_commission_structure'!$A$5:$J$8,MATCH(Calculations!$E853,'2018_commission_structure'!$A$5:$A$8,0),MATCH(Calculations!Y$1,'2018_commission_structure'!$A$5:$J$5,0)),0)</f>
        <v>0</v>
      </c>
      <c r="Z853" s="2">
        <f xml:space="preserve"> IF(H853&gt;L853,(H853-L853)*INDEX('2018_commission_structure'!$A$11:$I$14,MATCH(Calculations!$E853,'2018_commission_structure'!$A$11:$A$14,0),MATCH(Calculations!Z$1,'2018_commission_structure'!$A$11:$I$11,0)),0)</f>
        <v>0</v>
      </c>
      <c r="AA853" s="7">
        <f t="shared" si="124"/>
        <v>82589.7</v>
      </c>
      <c r="AB853" s="7">
        <f t="shared" si="125"/>
        <v>149485.70000000001</v>
      </c>
    </row>
    <row r="854" spans="1:28" x14ac:dyDescent="0.25">
      <c r="A854">
        <v>2973558387</v>
      </c>
      <c r="B854" t="s">
        <v>1597</v>
      </c>
      <c r="C854" t="s">
        <v>1598</v>
      </c>
      <c r="D854" t="str">
        <f>B854&amp;" "&amp;C854</f>
        <v>Myrtie Silversmid</v>
      </c>
      <c r="E854" t="s">
        <v>29</v>
      </c>
      <c r="F854">
        <v>67150</v>
      </c>
      <c r="G854">
        <f>COUNTIF(deals_closed!D:D,Calculations!A854)</f>
        <v>19</v>
      </c>
      <c r="H854" s="2">
        <f>SUMIF(deals_closed!D:D,Calculations!A854,deals_closed!C:C)</f>
        <v>662484</v>
      </c>
      <c r="I854" s="2">
        <f>VLOOKUP(E854,'2018_commission_structure'!$A$11:$I$14,9,FALSE)</f>
        <v>600000</v>
      </c>
      <c r="J854" s="2">
        <f t="shared" si="117"/>
        <v>750000</v>
      </c>
      <c r="K854" s="2">
        <f t="shared" si="118"/>
        <v>900000</v>
      </c>
      <c r="L854" s="2">
        <f t="shared" si="119"/>
        <v>1200000</v>
      </c>
      <c r="M854" s="6">
        <f t="shared" si="120"/>
        <v>1.1041399999999999</v>
      </c>
      <c r="N854" t="str">
        <f t="shared" si="121"/>
        <v>100-125%</v>
      </c>
      <c r="O854" s="7">
        <f>MIN(I854,H854)*INDEX('2018_commission_structure'!$A$11:$I$14,MATCH(Calculations!$E854,'2018_commission_structure'!$A$11:$A$14,0),MATCH(Calculations!O$1,'2018_commission_structure'!$A$11:$I$11,0))</f>
        <v>78000</v>
      </c>
      <c r="P854" s="7">
        <f>IF($H854&gt;I854,MIN($H854-I854,J854-I854)*INDEX('2018_commission_structure'!$A$11:$I$14,MATCH(Calculations!$E854,'2018_commission_structure'!$A$11:$A$14,0), MATCH(Calculations!P$1,'2018_commission_structure'!$A$11:$I$11,0)),0)</f>
        <v>10622.28</v>
      </c>
      <c r="Q854" s="7">
        <f>IF($H854&gt;J854,MIN($H854-J854,K854-J854)*INDEX('2018_commission_structure'!$A$11:$I$14,MATCH(Calculations!$E854,'2018_commission_structure'!$A$11:$A$14,0), MATCH(Calculations!Q$1,'2018_commission_structure'!$A$11:$I$11,0)),0)</f>
        <v>0</v>
      </c>
      <c r="R854" s="7">
        <f>IF($H854&gt;K854,MIN($H854-K854,L854-K854)*INDEX('2018_commission_structure'!$A$11:$I$14,MATCH(Calculations!$E854,'2018_commission_structure'!$A$11:$A$14,0), MATCH(Calculations!R$1,'2018_commission_structure'!$A$11:$I$11,0)),0)</f>
        <v>0</v>
      </c>
      <c r="S854" s="7">
        <f>IF(H854&gt;L854,(H854-L854)*INDEX('2018_commission_structure'!$A$11:$I$14,MATCH(Calculations!$E854,'2018_commission_structure'!$A$11:$A$14,0),MATCH(Calculations!S$1,'2018_commission_structure'!$A$11:$I$11,0)),0)</f>
        <v>0</v>
      </c>
      <c r="T854" s="7">
        <f t="shared" si="122"/>
        <v>88622.28</v>
      </c>
      <c r="U854" s="7">
        <f t="shared" si="123"/>
        <v>155772.28</v>
      </c>
      <c r="V854" s="7">
        <f>MIN(H854,I854)*INDEX('2018_commission_structure'!$A$5:$J$8,MATCH(Calculations!$E854,'2018_commission_structure'!$A$5:$A$8,0),MATCH(Calculations!V$1,'2018_commission_structure'!$A$5:$J$5,0))</f>
        <v>90000</v>
      </c>
      <c r="W854" s="2">
        <f>IF($H854&gt;I854,MIN($H854-I854,J854-I854)*INDEX('2018_commission_structure'!$A$5:$J$8,MATCH(Calculations!$E854,'2018_commission_structure'!$A$5:$A$8,0),MATCH(Calculations!W$1,'2018_commission_structure'!$A$5:$J$5,0)),0)</f>
        <v>11247.119999999999</v>
      </c>
      <c r="X854" s="2">
        <f>IF($H854&gt;J854,MIN($H854-J854,K854-J854)*INDEX('2018_commission_structure'!$A$5:$J$8,MATCH(Calculations!$E854,'2018_commission_structure'!$A$5:$A$8,0),MATCH(Calculations!X$1,'2018_commission_structure'!$A$5:$J$5,0)),0)</f>
        <v>0</v>
      </c>
      <c r="Y854" s="2">
        <f>IF($H854&gt;K854,MIN($H854-K854,L854-K854)*INDEX('2018_commission_structure'!$A$5:$J$8,MATCH(Calculations!$E854,'2018_commission_structure'!$A$5:$A$8,0),MATCH(Calculations!Y$1,'2018_commission_structure'!$A$5:$J$5,0)),0)</f>
        <v>0</v>
      </c>
      <c r="Z854" s="2">
        <f xml:space="preserve"> IF(H854&gt;L854,(H854-L854)*INDEX('2018_commission_structure'!$A$11:$I$14,MATCH(Calculations!$E854,'2018_commission_structure'!$A$11:$A$14,0),MATCH(Calculations!Z$1,'2018_commission_structure'!$A$11:$I$11,0)),0)</f>
        <v>0</v>
      </c>
      <c r="AA854" s="7">
        <f t="shared" si="124"/>
        <v>101247.12</v>
      </c>
      <c r="AB854" s="7">
        <f t="shared" si="125"/>
        <v>168397.12</v>
      </c>
    </row>
    <row r="855" spans="1:28" x14ac:dyDescent="0.25">
      <c r="A855">
        <v>4838770758</v>
      </c>
      <c r="B855" t="s">
        <v>862</v>
      </c>
      <c r="C855" t="s">
        <v>863</v>
      </c>
      <c r="D855" t="str">
        <f>B855&amp;" "&amp;C855</f>
        <v>Lianne Simeoni</v>
      </c>
      <c r="E855" t="s">
        <v>7</v>
      </c>
      <c r="F855">
        <v>43669</v>
      </c>
      <c r="G855">
        <f>COUNTIF(deals_closed!D:D,Calculations!A855)</f>
        <v>16</v>
      </c>
      <c r="H855" s="2">
        <f>SUMIF(deals_closed!D:D,Calculations!A855,deals_closed!C:C)</f>
        <v>505908</v>
      </c>
      <c r="I855" s="2">
        <f>VLOOKUP(E855,'2018_commission_structure'!$A$11:$I$14,9,FALSE)</f>
        <v>500000</v>
      </c>
      <c r="J855" s="2">
        <f t="shared" si="117"/>
        <v>625000</v>
      </c>
      <c r="K855" s="2">
        <f t="shared" si="118"/>
        <v>750000</v>
      </c>
      <c r="L855" s="2">
        <f t="shared" si="119"/>
        <v>1000000</v>
      </c>
      <c r="M855" s="6">
        <f t="shared" si="120"/>
        <v>1.011816</v>
      </c>
      <c r="N855" t="str">
        <f t="shared" si="121"/>
        <v>100-125%</v>
      </c>
      <c r="O855" s="7">
        <f>MIN(I855,H855)*INDEX('2018_commission_structure'!$A$11:$I$14,MATCH(Calculations!$E855,'2018_commission_structure'!$A$11:$A$14,0),MATCH(Calculations!O$1,'2018_commission_structure'!$A$11:$I$11,0))</f>
        <v>50000</v>
      </c>
      <c r="P855" s="7">
        <f>IF($H855&gt;I855,MIN($H855-I855,J855-I855)*INDEX('2018_commission_structure'!$A$11:$I$14,MATCH(Calculations!$E855,'2018_commission_structure'!$A$11:$A$14,0), MATCH(Calculations!P$1,'2018_commission_structure'!$A$11:$I$11,0)),0)</f>
        <v>886.19999999999993</v>
      </c>
      <c r="Q855" s="7">
        <f>IF($H855&gt;J855,MIN($H855-J855,K855-J855)*INDEX('2018_commission_structure'!$A$11:$I$14,MATCH(Calculations!$E855,'2018_commission_structure'!$A$11:$A$14,0), MATCH(Calculations!Q$1,'2018_commission_structure'!$A$11:$I$11,0)),0)</f>
        <v>0</v>
      </c>
      <c r="R855" s="7">
        <f>IF($H855&gt;K855,MIN($H855-K855,L855-K855)*INDEX('2018_commission_structure'!$A$11:$I$14,MATCH(Calculations!$E855,'2018_commission_structure'!$A$11:$A$14,0), MATCH(Calculations!R$1,'2018_commission_structure'!$A$11:$I$11,0)),0)</f>
        <v>0</v>
      </c>
      <c r="S855" s="7">
        <f>IF(H855&gt;L855,(H855-L855)*INDEX('2018_commission_structure'!$A$11:$I$14,MATCH(Calculations!$E855,'2018_commission_structure'!$A$11:$A$14,0),MATCH(Calculations!S$1,'2018_commission_structure'!$A$11:$I$11,0)),0)</f>
        <v>0</v>
      </c>
      <c r="T855" s="7">
        <f t="shared" si="122"/>
        <v>50886.2</v>
      </c>
      <c r="U855" s="7">
        <f t="shared" si="123"/>
        <v>94555.199999999997</v>
      </c>
      <c r="V855" s="7">
        <f>MIN(H855,I855)*INDEX('2018_commission_structure'!$A$5:$J$8,MATCH(Calculations!$E855,'2018_commission_structure'!$A$5:$A$8,0),MATCH(Calculations!V$1,'2018_commission_structure'!$A$5:$J$5,0))</f>
        <v>60000</v>
      </c>
      <c r="W855" s="2">
        <f>IF($H855&gt;I855,MIN($H855-I855,J855-I855)*INDEX('2018_commission_structure'!$A$5:$J$8,MATCH(Calculations!$E855,'2018_commission_structure'!$A$5:$A$8,0),MATCH(Calculations!W$1,'2018_commission_structure'!$A$5:$J$5,0)),0)</f>
        <v>1004.3600000000001</v>
      </c>
      <c r="X855" s="2">
        <f>IF($H855&gt;J855,MIN($H855-J855,K855-J855)*INDEX('2018_commission_structure'!$A$5:$J$8,MATCH(Calculations!$E855,'2018_commission_structure'!$A$5:$A$8,0),MATCH(Calculations!X$1,'2018_commission_structure'!$A$5:$J$5,0)),0)</f>
        <v>0</v>
      </c>
      <c r="Y855" s="2">
        <f>IF($H855&gt;K855,MIN($H855-K855,L855-K855)*INDEX('2018_commission_structure'!$A$5:$J$8,MATCH(Calculations!$E855,'2018_commission_structure'!$A$5:$A$8,0),MATCH(Calculations!Y$1,'2018_commission_structure'!$A$5:$J$5,0)),0)</f>
        <v>0</v>
      </c>
      <c r="Z855" s="2">
        <f xml:space="preserve"> IF(H855&gt;L855,(H855-L855)*INDEX('2018_commission_structure'!$A$11:$I$14,MATCH(Calculations!$E855,'2018_commission_structure'!$A$11:$A$14,0),MATCH(Calculations!Z$1,'2018_commission_structure'!$A$11:$I$11,0)),0)</f>
        <v>0</v>
      </c>
      <c r="AA855" s="7">
        <f t="shared" si="124"/>
        <v>61004.36</v>
      </c>
      <c r="AB855" s="7">
        <f t="shared" si="125"/>
        <v>104673.36</v>
      </c>
    </row>
    <row r="856" spans="1:28" x14ac:dyDescent="0.25">
      <c r="A856">
        <v>5756920838</v>
      </c>
      <c r="B856" t="s">
        <v>1865</v>
      </c>
      <c r="C856" t="s">
        <v>1866</v>
      </c>
      <c r="D856" t="str">
        <f>B856&amp;" "&amp;C856</f>
        <v>Jamie Simmings</v>
      </c>
      <c r="E856" t="s">
        <v>7</v>
      </c>
      <c r="F856">
        <v>34761</v>
      </c>
      <c r="G856">
        <f>COUNTIF(deals_closed!D:D,Calculations!A856)</f>
        <v>13</v>
      </c>
      <c r="H856" s="2">
        <f>SUMIF(deals_closed!D:D,Calculations!A856,deals_closed!C:C)</f>
        <v>468615</v>
      </c>
      <c r="I856" s="2">
        <f>VLOOKUP(E856,'2018_commission_structure'!$A$11:$I$14,9,FALSE)</f>
        <v>500000</v>
      </c>
      <c r="J856" s="2">
        <f t="shared" si="117"/>
        <v>625000</v>
      </c>
      <c r="K856" s="2">
        <f t="shared" si="118"/>
        <v>750000</v>
      </c>
      <c r="L856" s="2">
        <f t="shared" si="119"/>
        <v>1000000</v>
      </c>
      <c r="M856" s="6">
        <f t="shared" si="120"/>
        <v>0.93723000000000001</v>
      </c>
      <c r="N856" t="str">
        <f t="shared" si="121"/>
        <v>0-100%</v>
      </c>
      <c r="O856" s="7">
        <f>MIN(I856,H856)*INDEX('2018_commission_structure'!$A$11:$I$14,MATCH(Calculations!$E856,'2018_commission_structure'!$A$11:$A$14,0),MATCH(Calculations!O$1,'2018_commission_structure'!$A$11:$I$11,0))</f>
        <v>46861.5</v>
      </c>
      <c r="P856" s="7">
        <f>IF($H856&gt;I856,MIN($H856-I856,J856-I856)*INDEX('2018_commission_structure'!$A$11:$I$14,MATCH(Calculations!$E856,'2018_commission_structure'!$A$11:$A$14,0), MATCH(Calculations!P$1,'2018_commission_structure'!$A$11:$I$11,0)),0)</f>
        <v>0</v>
      </c>
      <c r="Q856" s="7">
        <f>IF($H856&gt;J856,MIN($H856-J856,K856-J856)*INDEX('2018_commission_structure'!$A$11:$I$14,MATCH(Calculations!$E856,'2018_commission_structure'!$A$11:$A$14,0), MATCH(Calculations!Q$1,'2018_commission_structure'!$A$11:$I$11,0)),0)</f>
        <v>0</v>
      </c>
      <c r="R856" s="7">
        <f>IF($H856&gt;K856,MIN($H856-K856,L856-K856)*INDEX('2018_commission_structure'!$A$11:$I$14,MATCH(Calculations!$E856,'2018_commission_structure'!$A$11:$A$14,0), MATCH(Calculations!R$1,'2018_commission_structure'!$A$11:$I$11,0)),0)</f>
        <v>0</v>
      </c>
      <c r="S856" s="7">
        <f>IF(H856&gt;L856,(H856-L856)*INDEX('2018_commission_structure'!$A$11:$I$14,MATCH(Calculations!$E856,'2018_commission_structure'!$A$11:$A$14,0),MATCH(Calculations!S$1,'2018_commission_structure'!$A$11:$I$11,0)),0)</f>
        <v>0</v>
      </c>
      <c r="T856" s="7">
        <f t="shared" si="122"/>
        <v>46861.5</v>
      </c>
      <c r="U856" s="7">
        <f t="shared" si="123"/>
        <v>81622.5</v>
      </c>
      <c r="V856" s="7">
        <f>MIN(H856,I856)*INDEX('2018_commission_structure'!$A$5:$J$8,MATCH(Calculations!$E856,'2018_commission_structure'!$A$5:$A$8,0),MATCH(Calculations!V$1,'2018_commission_structure'!$A$5:$J$5,0))</f>
        <v>56233.799999999996</v>
      </c>
      <c r="W856" s="2">
        <f>IF($H856&gt;I856,MIN($H856-I856,J856-I856)*INDEX('2018_commission_structure'!$A$5:$J$8,MATCH(Calculations!$E856,'2018_commission_structure'!$A$5:$A$8,0),MATCH(Calculations!W$1,'2018_commission_structure'!$A$5:$J$5,0)),0)</f>
        <v>0</v>
      </c>
      <c r="X856" s="2">
        <f>IF($H856&gt;J856,MIN($H856-J856,K856-J856)*INDEX('2018_commission_structure'!$A$5:$J$8,MATCH(Calculations!$E856,'2018_commission_structure'!$A$5:$A$8,0),MATCH(Calculations!X$1,'2018_commission_structure'!$A$5:$J$5,0)),0)</f>
        <v>0</v>
      </c>
      <c r="Y856" s="2">
        <f>IF($H856&gt;K856,MIN($H856-K856,L856-K856)*INDEX('2018_commission_structure'!$A$5:$J$8,MATCH(Calculations!$E856,'2018_commission_structure'!$A$5:$A$8,0),MATCH(Calculations!Y$1,'2018_commission_structure'!$A$5:$J$5,0)),0)</f>
        <v>0</v>
      </c>
      <c r="Z856" s="2">
        <f xml:space="preserve"> IF(H856&gt;L856,(H856-L856)*INDEX('2018_commission_structure'!$A$11:$I$14,MATCH(Calculations!$E856,'2018_commission_structure'!$A$11:$A$14,0),MATCH(Calculations!Z$1,'2018_commission_structure'!$A$11:$I$11,0)),0)</f>
        <v>0</v>
      </c>
      <c r="AA856" s="7">
        <f t="shared" si="124"/>
        <v>56233.799999999996</v>
      </c>
      <c r="AB856" s="7">
        <f t="shared" si="125"/>
        <v>90994.799999999988</v>
      </c>
    </row>
    <row r="857" spans="1:28" x14ac:dyDescent="0.25">
      <c r="A857">
        <v>9057758911</v>
      </c>
      <c r="B857" t="s">
        <v>787</v>
      </c>
      <c r="C857" t="s">
        <v>788</v>
      </c>
      <c r="D857" t="str">
        <f>B857&amp;" "&amp;C857</f>
        <v>Desmond Simmins</v>
      </c>
      <c r="E857" t="s">
        <v>29</v>
      </c>
      <c r="F857">
        <v>54346</v>
      </c>
      <c r="G857">
        <f>COUNTIF(deals_closed!D:D,Calculations!A857)</f>
        <v>17</v>
      </c>
      <c r="H857" s="2">
        <f>SUMIF(deals_closed!D:D,Calculations!A857,deals_closed!C:C)</f>
        <v>608913</v>
      </c>
      <c r="I857" s="2">
        <f>VLOOKUP(E857,'2018_commission_structure'!$A$11:$I$14,9,FALSE)</f>
        <v>600000</v>
      </c>
      <c r="J857" s="2">
        <f t="shared" si="117"/>
        <v>750000</v>
      </c>
      <c r="K857" s="2">
        <f t="shared" si="118"/>
        <v>900000</v>
      </c>
      <c r="L857" s="2">
        <f t="shared" si="119"/>
        <v>1200000</v>
      </c>
      <c r="M857" s="6">
        <f t="shared" si="120"/>
        <v>1.0148550000000001</v>
      </c>
      <c r="N857" t="str">
        <f t="shared" si="121"/>
        <v>100-125%</v>
      </c>
      <c r="O857" s="7">
        <f>MIN(I857,H857)*INDEX('2018_commission_structure'!$A$11:$I$14,MATCH(Calculations!$E857,'2018_commission_structure'!$A$11:$A$14,0),MATCH(Calculations!O$1,'2018_commission_structure'!$A$11:$I$11,0))</f>
        <v>78000</v>
      </c>
      <c r="P857" s="7">
        <f>IF($H857&gt;I857,MIN($H857-I857,J857-I857)*INDEX('2018_commission_structure'!$A$11:$I$14,MATCH(Calculations!$E857,'2018_commission_structure'!$A$11:$A$14,0), MATCH(Calculations!P$1,'2018_commission_structure'!$A$11:$I$11,0)),0)</f>
        <v>1515.21</v>
      </c>
      <c r="Q857" s="7">
        <f>IF($H857&gt;J857,MIN($H857-J857,K857-J857)*INDEX('2018_commission_structure'!$A$11:$I$14,MATCH(Calculations!$E857,'2018_commission_structure'!$A$11:$A$14,0), MATCH(Calculations!Q$1,'2018_commission_structure'!$A$11:$I$11,0)),0)</f>
        <v>0</v>
      </c>
      <c r="R857" s="7">
        <f>IF($H857&gt;K857,MIN($H857-K857,L857-K857)*INDEX('2018_commission_structure'!$A$11:$I$14,MATCH(Calculations!$E857,'2018_commission_structure'!$A$11:$A$14,0), MATCH(Calculations!R$1,'2018_commission_structure'!$A$11:$I$11,0)),0)</f>
        <v>0</v>
      </c>
      <c r="S857" s="7">
        <f>IF(H857&gt;L857,(H857-L857)*INDEX('2018_commission_structure'!$A$11:$I$14,MATCH(Calculations!$E857,'2018_commission_structure'!$A$11:$A$14,0),MATCH(Calculations!S$1,'2018_commission_structure'!$A$11:$I$11,0)),0)</f>
        <v>0</v>
      </c>
      <c r="T857" s="7">
        <f t="shared" si="122"/>
        <v>79515.210000000006</v>
      </c>
      <c r="U857" s="7">
        <f t="shared" si="123"/>
        <v>133861.21000000002</v>
      </c>
      <c r="V857" s="7">
        <f>MIN(H857,I857)*INDEX('2018_commission_structure'!$A$5:$J$8,MATCH(Calculations!$E857,'2018_commission_structure'!$A$5:$A$8,0),MATCH(Calculations!V$1,'2018_commission_structure'!$A$5:$J$5,0))</f>
        <v>90000</v>
      </c>
      <c r="W857" s="2">
        <f>IF($H857&gt;I857,MIN($H857-I857,J857-I857)*INDEX('2018_commission_structure'!$A$5:$J$8,MATCH(Calculations!$E857,'2018_commission_structure'!$A$5:$A$8,0),MATCH(Calculations!W$1,'2018_commission_structure'!$A$5:$J$5,0)),0)</f>
        <v>1604.34</v>
      </c>
      <c r="X857" s="2">
        <f>IF($H857&gt;J857,MIN($H857-J857,K857-J857)*INDEX('2018_commission_structure'!$A$5:$J$8,MATCH(Calculations!$E857,'2018_commission_structure'!$A$5:$A$8,0),MATCH(Calculations!X$1,'2018_commission_structure'!$A$5:$J$5,0)),0)</f>
        <v>0</v>
      </c>
      <c r="Y857" s="2">
        <f>IF($H857&gt;K857,MIN($H857-K857,L857-K857)*INDEX('2018_commission_structure'!$A$5:$J$8,MATCH(Calculations!$E857,'2018_commission_structure'!$A$5:$A$8,0),MATCH(Calculations!Y$1,'2018_commission_structure'!$A$5:$J$5,0)),0)</f>
        <v>0</v>
      </c>
      <c r="Z857" s="2">
        <f xml:space="preserve"> IF(H857&gt;L857,(H857-L857)*INDEX('2018_commission_structure'!$A$11:$I$14,MATCH(Calculations!$E857,'2018_commission_structure'!$A$11:$A$14,0),MATCH(Calculations!Z$1,'2018_commission_structure'!$A$11:$I$11,0)),0)</f>
        <v>0</v>
      </c>
      <c r="AA857" s="7">
        <f t="shared" si="124"/>
        <v>91604.34</v>
      </c>
      <c r="AB857" s="7">
        <f t="shared" si="125"/>
        <v>145950.34</v>
      </c>
    </row>
    <row r="858" spans="1:28" x14ac:dyDescent="0.25">
      <c r="A858">
        <v>4323727860</v>
      </c>
      <c r="B858" t="s">
        <v>1229</v>
      </c>
      <c r="C858" t="s">
        <v>1230</v>
      </c>
      <c r="D858" t="str">
        <f>B858&amp;" "&amp;C858</f>
        <v>Dyanne Simper</v>
      </c>
      <c r="E858" t="s">
        <v>7</v>
      </c>
      <c r="F858">
        <v>62832</v>
      </c>
      <c r="G858">
        <f>COUNTIF(deals_closed!D:D,Calculations!A858)</f>
        <v>23</v>
      </c>
      <c r="H858" s="2">
        <f>SUMIF(deals_closed!D:D,Calculations!A858,deals_closed!C:C)</f>
        <v>798230</v>
      </c>
      <c r="I858" s="2">
        <f>VLOOKUP(E858,'2018_commission_structure'!$A$11:$I$14,9,FALSE)</f>
        <v>500000</v>
      </c>
      <c r="J858" s="2">
        <f t="shared" si="117"/>
        <v>625000</v>
      </c>
      <c r="K858" s="2">
        <f t="shared" si="118"/>
        <v>750000</v>
      </c>
      <c r="L858" s="2">
        <f t="shared" si="119"/>
        <v>1000000</v>
      </c>
      <c r="M858" s="6">
        <f t="shared" si="120"/>
        <v>1.59646</v>
      </c>
      <c r="N858" t="str">
        <f t="shared" si="121"/>
        <v>150-200%</v>
      </c>
      <c r="O858" s="7">
        <f>MIN(I858,H858)*INDEX('2018_commission_structure'!$A$11:$I$14,MATCH(Calculations!$E858,'2018_commission_structure'!$A$11:$A$14,0),MATCH(Calculations!O$1,'2018_commission_structure'!$A$11:$I$11,0))</f>
        <v>50000</v>
      </c>
      <c r="P858" s="7">
        <f>IF($H858&gt;I858,MIN($H858-I858,J858-I858)*INDEX('2018_commission_structure'!$A$11:$I$14,MATCH(Calculations!$E858,'2018_commission_structure'!$A$11:$A$14,0), MATCH(Calculations!P$1,'2018_commission_structure'!$A$11:$I$11,0)),0)</f>
        <v>18750</v>
      </c>
      <c r="Q858" s="7">
        <f>IF($H858&gt;J858,MIN($H858-J858,K858-J858)*INDEX('2018_commission_structure'!$A$11:$I$14,MATCH(Calculations!$E858,'2018_commission_structure'!$A$11:$A$14,0), MATCH(Calculations!Q$1,'2018_commission_structure'!$A$11:$I$11,0)),0)</f>
        <v>22500</v>
      </c>
      <c r="R858" s="7">
        <f>IF($H858&gt;K858,MIN($H858-K858,L858-K858)*INDEX('2018_commission_structure'!$A$11:$I$14,MATCH(Calculations!$E858,'2018_commission_structure'!$A$11:$A$14,0), MATCH(Calculations!R$1,'2018_commission_structure'!$A$11:$I$11,0)),0)</f>
        <v>10610.6</v>
      </c>
      <c r="S858" s="7">
        <f>IF(H858&gt;L858,(H858-L858)*INDEX('2018_commission_structure'!$A$11:$I$14,MATCH(Calculations!$E858,'2018_commission_structure'!$A$11:$A$14,0),MATCH(Calculations!S$1,'2018_commission_structure'!$A$11:$I$11,0)),0)</f>
        <v>0</v>
      </c>
      <c r="T858" s="7">
        <f t="shared" si="122"/>
        <v>101860.6</v>
      </c>
      <c r="U858" s="7">
        <f t="shared" si="123"/>
        <v>164692.6</v>
      </c>
      <c r="V858" s="7">
        <f>MIN(H858,I858)*INDEX('2018_commission_structure'!$A$5:$J$8,MATCH(Calculations!$E858,'2018_commission_structure'!$A$5:$A$8,0),MATCH(Calculations!V$1,'2018_commission_structure'!$A$5:$J$5,0))</f>
        <v>60000</v>
      </c>
      <c r="W858" s="2">
        <f>IF($H858&gt;I858,MIN($H858-I858,J858-I858)*INDEX('2018_commission_structure'!$A$5:$J$8,MATCH(Calculations!$E858,'2018_commission_structure'!$A$5:$A$8,0),MATCH(Calculations!W$1,'2018_commission_structure'!$A$5:$J$5,0)),0)</f>
        <v>21250</v>
      </c>
      <c r="X858" s="2">
        <f>IF($H858&gt;J858,MIN($H858-J858,K858-J858)*INDEX('2018_commission_structure'!$A$5:$J$8,MATCH(Calculations!$E858,'2018_commission_structure'!$A$5:$A$8,0),MATCH(Calculations!X$1,'2018_commission_structure'!$A$5:$J$5,0)),0)</f>
        <v>25000</v>
      </c>
      <c r="Y858" s="2">
        <f>IF($H858&gt;K858,MIN($H858-K858,L858-K858)*INDEX('2018_commission_structure'!$A$5:$J$8,MATCH(Calculations!$E858,'2018_commission_structure'!$A$5:$A$8,0),MATCH(Calculations!Y$1,'2018_commission_structure'!$A$5:$J$5,0)),0)</f>
        <v>10610.6</v>
      </c>
      <c r="Z858" s="2">
        <f xml:space="preserve"> IF(H858&gt;L858,(H858-L858)*INDEX('2018_commission_structure'!$A$11:$I$14,MATCH(Calculations!$E858,'2018_commission_structure'!$A$11:$A$14,0),MATCH(Calculations!Z$1,'2018_commission_structure'!$A$11:$I$11,0)),0)</f>
        <v>0</v>
      </c>
      <c r="AA858" s="7">
        <f t="shared" si="124"/>
        <v>116860.6</v>
      </c>
      <c r="AB858" s="7">
        <f t="shared" si="125"/>
        <v>179692.6</v>
      </c>
    </row>
    <row r="859" spans="1:28" x14ac:dyDescent="0.25">
      <c r="A859">
        <v>273083503</v>
      </c>
      <c r="B859" t="s">
        <v>1841</v>
      </c>
      <c r="C859" t="s">
        <v>1842</v>
      </c>
      <c r="D859" t="str">
        <f>B859&amp;" "&amp;C859</f>
        <v>Welbie Siveyer</v>
      </c>
      <c r="E859" t="s">
        <v>29</v>
      </c>
      <c r="F859">
        <v>69476</v>
      </c>
      <c r="G859">
        <f>COUNTIF(deals_closed!D:D,Calculations!A859)</f>
        <v>12</v>
      </c>
      <c r="H859" s="2">
        <f>SUMIF(deals_closed!D:D,Calculations!A859,deals_closed!C:C)</f>
        <v>480183</v>
      </c>
      <c r="I859" s="2">
        <f>VLOOKUP(E859,'2018_commission_structure'!$A$11:$I$14,9,FALSE)</f>
        <v>600000</v>
      </c>
      <c r="J859" s="2">
        <f t="shared" si="117"/>
        <v>750000</v>
      </c>
      <c r="K859" s="2">
        <f t="shared" si="118"/>
        <v>900000</v>
      </c>
      <c r="L859" s="2">
        <f t="shared" si="119"/>
        <v>1200000</v>
      </c>
      <c r="M859" s="6">
        <f t="shared" si="120"/>
        <v>0.80030500000000004</v>
      </c>
      <c r="N859" t="str">
        <f t="shared" si="121"/>
        <v>0-100%</v>
      </c>
      <c r="O859" s="7">
        <f>MIN(I859,H859)*INDEX('2018_commission_structure'!$A$11:$I$14,MATCH(Calculations!$E859,'2018_commission_structure'!$A$11:$A$14,0),MATCH(Calculations!O$1,'2018_commission_structure'!$A$11:$I$11,0))</f>
        <v>62423.79</v>
      </c>
      <c r="P859" s="7">
        <f>IF($H859&gt;I859,MIN($H859-I859,J859-I859)*INDEX('2018_commission_structure'!$A$11:$I$14,MATCH(Calculations!$E859,'2018_commission_structure'!$A$11:$A$14,0), MATCH(Calculations!P$1,'2018_commission_structure'!$A$11:$I$11,0)),0)</f>
        <v>0</v>
      </c>
      <c r="Q859" s="7">
        <f>IF($H859&gt;J859,MIN($H859-J859,K859-J859)*INDEX('2018_commission_structure'!$A$11:$I$14,MATCH(Calculations!$E859,'2018_commission_structure'!$A$11:$A$14,0), MATCH(Calculations!Q$1,'2018_commission_structure'!$A$11:$I$11,0)),0)</f>
        <v>0</v>
      </c>
      <c r="R859" s="7">
        <f>IF($H859&gt;K859,MIN($H859-K859,L859-K859)*INDEX('2018_commission_structure'!$A$11:$I$14,MATCH(Calculations!$E859,'2018_commission_structure'!$A$11:$A$14,0), MATCH(Calculations!R$1,'2018_commission_structure'!$A$11:$I$11,0)),0)</f>
        <v>0</v>
      </c>
      <c r="S859" s="7">
        <f>IF(H859&gt;L859,(H859-L859)*INDEX('2018_commission_structure'!$A$11:$I$14,MATCH(Calculations!$E859,'2018_commission_structure'!$A$11:$A$14,0),MATCH(Calculations!S$1,'2018_commission_structure'!$A$11:$I$11,0)),0)</f>
        <v>0</v>
      </c>
      <c r="T859" s="7">
        <f t="shared" si="122"/>
        <v>62423.79</v>
      </c>
      <c r="U859" s="7">
        <f t="shared" si="123"/>
        <v>131899.79</v>
      </c>
      <c r="V859" s="7">
        <f>MIN(H859,I859)*INDEX('2018_commission_structure'!$A$5:$J$8,MATCH(Calculations!$E859,'2018_commission_structure'!$A$5:$A$8,0),MATCH(Calculations!V$1,'2018_commission_structure'!$A$5:$J$5,0))</f>
        <v>72027.45</v>
      </c>
      <c r="W859" s="2">
        <f>IF($H859&gt;I859,MIN($H859-I859,J859-I859)*INDEX('2018_commission_structure'!$A$5:$J$8,MATCH(Calculations!$E859,'2018_commission_structure'!$A$5:$A$8,0),MATCH(Calculations!W$1,'2018_commission_structure'!$A$5:$J$5,0)),0)</f>
        <v>0</v>
      </c>
      <c r="X859" s="2">
        <f>IF($H859&gt;J859,MIN($H859-J859,K859-J859)*INDEX('2018_commission_structure'!$A$5:$J$8,MATCH(Calculations!$E859,'2018_commission_structure'!$A$5:$A$8,0),MATCH(Calculations!X$1,'2018_commission_structure'!$A$5:$J$5,0)),0)</f>
        <v>0</v>
      </c>
      <c r="Y859" s="2">
        <f>IF($H859&gt;K859,MIN($H859-K859,L859-K859)*INDEX('2018_commission_structure'!$A$5:$J$8,MATCH(Calculations!$E859,'2018_commission_structure'!$A$5:$A$8,0),MATCH(Calculations!Y$1,'2018_commission_structure'!$A$5:$J$5,0)),0)</f>
        <v>0</v>
      </c>
      <c r="Z859" s="2">
        <f xml:space="preserve"> IF(H859&gt;L859,(H859-L859)*INDEX('2018_commission_structure'!$A$11:$I$14,MATCH(Calculations!$E859,'2018_commission_structure'!$A$11:$A$14,0),MATCH(Calculations!Z$1,'2018_commission_structure'!$A$11:$I$11,0)),0)</f>
        <v>0</v>
      </c>
      <c r="AA859" s="7">
        <f t="shared" si="124"/>
        <v>72027.45</v>
      </c>
      <c r="AB859" s="7">
        <f t="shared" si="125"/>
        <v>141503.45000000001</v>
      </c>
    </row>
    <row r="860" spans="1:28" x14ac:dyDescent="0.25">
      <c r="A860">
        <v>8109358470</v>
      </c>
      <c r="B860" t="s">
        <v>1516</v>
      </c>
      <c r="C860" t="s">
        <v>1517</v>
      </c>
      <c r="D860" t="str">
        <f>B860&amp;" "&amp;C860</f>
        <v>Marysa Skalls</v>
      </c>
      <c r="E860" t="s">
        <v>29</v>
      </c>
      <c r="F860">
        <v>74649</v>
      </c>
      <c r="G860">
        <f>COUNTIF(deals_closed!D:D,Calculations!A860)</f>
        <v>18</v>
      </c>
      <c r="H860" s="2">
        <f>SUMIF(deals_closed!D:D,Calculations!A860,deals_closed!C:C)</f>
        <v>646149</v>
      </c>
      <c r="I860" s="2">
        <f>VLOOKUP(E860,'2018_commission_structure'!$A$11:$I$14,9,FALSE)</f>
        <v>600000</v>
      </c>
      <c r="J860" s="2">
        <f t="shared" si="117"/>
        <v>750000</v>
      </c>
      <c r="K860" s="2">
        <f t="shared" si="118"/>
        <v>900000</v>
      </c>
      <c r="L860" s="2">
        <f t="shared" si="119"/>
        <v>1200000</v>
      </c>
      <c r="M860" s="6">
        <f t="shared" si="120"/>
        <v>1.0769150000000001</v>
      </c>
      <c r="N860" t="str">
        <f t="shared" si="121"/>
        <v>100-125%</v>
      </c>
      <c r="O860" s="7">
        <f>MIN(I860,H860)*INDEX('2018_commission_structure'!$A$11:$I$14,MATCH(Calculations!$E860,'2018_commission_structure'!$A$11:$A$14,0),MATCH(Calculations!O$1,'2018_commission_structure'!$A$11:$I$11,0))</f>
        <v>78000</v>
      </c>
      <c r="P860" s="7">
        <f>IF($H860&gt;I860,MIN($H860-I860,J860-I860)*INDEX('2018_commission_structure'!$A$11:$I$14,MATCH(Calculations!$E860,'2018_commission_structure'!$A$11:$A$14,0), MATCH(Calculations!P$1,'2018_commission_structure'!$A$11:$I$11,0)),0)</f>
        <v>7845.3300000000008</v>
      </c>
      <c r="Q860" s="7">
        <f>IF($H860&gt;J860,MIN($H860-J860,K860-J860)*INDEX('2018_commission_structure'!$A$11:$I$14,MATCH(Calculations!$E860,'2018_commission_structure'!$A$11:$A$14,0), MATCH(Calculations!Q$1,'2018_commission_structure'!$A$11:$I$11,0)),0)</f>
        <v>0</v>
      </c>
      <c r="R860" s="7">
        <f>IF($H860&gt;K860,MIN($H860-K860,L860-K860)*INDEX('2018_commission_structure'!$A$11:$I$14,MATCH(Calculations!$E860,'2018_commission_structure'!$A$11:$A$14,0), MATCH(Calculations!R$1,'2018_commission_structure'!$A$11:$I$11,0)),0)</f>
        <v>0</v>
      </c>
      <c r="S860" s="7">
        <f>IF(H860&gt;L860,(H860-L860)*INDEX('2018_commission_structure'!$A$11:$I$14,MATCH(Calculations!$E860,'2018_commission_structure'!$A$11:$A$14,0),MATCH(Calculations!S$1,'2018_commission_structure'!$A$11:$I$11,0)),0)</f>
        <v>0</v>
      </c>
      <c r="T860" s="7">
        <f t="shared" si="122"/>
        <v>85845.33</v>
      </c>
      <c r="U860" s="7">
        <f t="shared" si="123"/>
        <v>160494.33000000002</v>
      </c>
      <c r="V860" s="7">
        <f>MIN(H860,I860)*INDEX('2018_commission_structure'!$A$5:$J$8,MATCH(Calculations!$E860,'2018_commission_structure'!$A$5:$A$8,0),MATCH(Calculations!V$1,'2018_commission_structure'!$A$5:$J$5,0))</f>
        <v>90000</v>
      </c>
      <c r="W860" s="2">
        <f>IF($H860&gt;I860,MIN($H860-I860,J860-I860)*INDEX('2018_commission_structure'!$A$5:$J$8,MATCH(Calculations!$E860,'2018_commission_structure'!$A$5:$A$8,0),MATCH(Calculations!W$1,'2018_commission_structure'!$A$5:$J$5,0)),0)</f>
        <v>8306.82</v>
      </c>
      <c r="X860" s="2">
        <f>IF($H860&gt;J860,MIN($H860-J860,K860-J860)*INDEX('2018_commission_structure'!$A$5:$J$8,MATCH(Calculations!$E860,'2018_commission_structure'!$A$5:$A$8,0),MATCH(Calculations!X$1,'2018_commission_structure'!$A$5:$J$5,0)),0)</f>
        <v>0</v>
      </c>
      <c r="Y860" s="2">
        <f>IF($H860&gt;K860,MIN($H860-K860,L860-K860)*INDEX('2018_commission_structure'!$A$5:$J$8,MATCH(Calculations!$E860,'2018_commission_structure'!$A$5:$A$8,0),MATCH(Calculations!Y$1,'2018_commission_structure'!$A$5:$J$5,0)),0)</f>
        <v>0</v>
      </c>
      <c r="Z860" s="2">
        <f xml:space="preserve"> IF(H860&gt;L860,(H860-L860)*INDEX('2018_commission_structure'!$A$11:$I$14,MATCH(Calculations!$E860,'2018_commission_structure'!$A$11:$A$14,0),MATCH(Calculations!Z$1,'2018_commission_structure'!$A$11:$I$11,0)),0)</f>
        <v>0</v>
      </c>
      <c r="AA860" s="7">
        <f t="shared" si="124"/>
        <v>98306.82</v>
      </c>
      <c r="AB860" s="7">
        <f t="shared" si="125"/>
        <v>172955.82</v>
      </c>
    </row>
    <row r="861" spans="1:28" x14ac:dyDescent="0.25">
      <c r="A861">
        <v>9447906176</v>
      </c>
      <c r="B861" t="s">
        <v>891</v>
      </c>
      <c r="C861" t="s">
        <v>892</v>
      </c>
      <c r="D861" t="str">
        <f>B861&amp;" "&amp;C861</f>
        <v>Zebulen Skeemor</v>
      </c>
      <c r="E861" t="s">
        <v>7</v>
      </c>
      <c r="F861">
        <v>54699</v>
      </c>
      <c r="G861">
        <f>COUNTIF(deals_closed!D:D,Calculations!A861)</f>
        <v>17</v>
      </c>
      <c r="H861" s="2">
        <f>SUMIF(deals_closed!D:D,Calculations!A861,deals_closed!C:C)</f>
        <v>550688</v>
      </c>
      <c r="I861" s="2">
        <f>VLOOKUP(E861,'2018_commission_structure'!$A$11:$I$14,9,FALSE)</f>
        <v>500000</v>
      </c>
      <c r="J861" s="2">
        <f t="shared" si="117"/>
        <v>625000</v>
      </c>
      <c r="K861" s="2">
        <f t="shared" si="118"/>
        <v>750000</v>
      </c>
      <c r="L861" s="2">
        <f t="shared" si="119"/>
        <v>1000000</v>
      </c>
      <c r="M861" s="6">
        <f t="shared" si="120"/>
        <v>1.1013759999999999</v>
      </c>
      <c r="N861" t="str">
        <f t="shared" si="121"/>
        <v>100-125%</v>
      </c>
      <c r="O861" s="7">
        <f>MIN(I861,H861)*INDEX('2018_commission_structure'!$A$11:$I$14,MATCH(Calculations!$E861,'2018_commission_structure'!$A$11:$A$14,0),MATCH(Calculations!O$1,'2018_commission_structure'!$A$11:$I$11,0))</f>
        <v>50000</v>
      </c>
      <c r="P861" s="7">
        <f>IF($H861&gt;I861,MIN($H861-I861,J861-I861)*INDEX('2018_commission_structure'!$A$11:$I$14,MATCH(Calculations!$E861,'2018_commission_structure'!$A$11:$A$14,0), MATCH(Calculations!P$1,'2018_commission_structure'!$A$11:$I$11,0)),0)</f>
        <v>7603.2</v>
      </c>
      <c r="Q861" s="7">
        <f>IF($H861&gt;J861,MIN($H861-J861,K861-J861)*INDEX('2018_commission_structure'!$A$11:$I$14,MATCH(Calculations!$E861,'2018_commission_structure'!$A$11:$A$14,0), MATCH(Calculations!Q$1,'2018_commission_structure'!$A$11:$I$11,0)),0)</f>
        <v>0</v>
      </c>
      <c r="R861" s="7">
        <f>IF($H861&gt;K861,MIN($H861-K861,L861-K861)*INDEX('2018_commission_structure'!$A$11:$I$14,MATCH(Calculations!$E861,'2018_commission_structure'!$A$11:$A$14,0), MATCH(Calculations!R$1,'2018_commission_structure'!$A$11:$I$11,0)),0)</f>
        <v>0</v>
      </c>
      <c r="S861" s="7">
        <f>IF(H861&gt;L861,(H861-L861)*INDEX('2018_commission_structure'!$A$11:$I$14,MATCH(Calculations!$E861,'2018_commission_structure'!$A$11:$A$14,0),MATCH(Calculations!S$1,'2018_commission_structure'!$A$11:$I$11,0)),0)</f>
        <v>0</v>
      </c>
      <c r="T861" s="7">
        <f t="shared" si="122"/>
        <v>57603.199999999997</v>
      </c>
      <c r="U861" s="7">
        <f t="shared" si="123"/>
        <v>112302.2</v>
      </c>
      <c r="V861" s="7">
        <f>MIN(H861,I861)*INDEX('2018_commission_structure'!$A$5:$J$8,MATCH(Calculations!$E861,'2018_commission_structure'!$A$5:$A$8,0),MATCH(Calculations!V$1,'2018_commission_structure'!$A$5:$J$5,0))</f>
        <v>60000</v>
      </c>
      <c r="W861" s="2">
        <f>IF($H861&gt;I861,MIN($H861-I861,J861-I861)*INDEX('2018_commission_structure'!$A$5:$J$8,MATCH(Calculations!$E861,'2018_commission_structure'!$A$5:$A$8,0),MATCH(Calculations!W$1,'2018_commission_structure'!$A$5:$J$5,0)),0)</f>
        <v>8616.9600000000009</v>
      </c>
      <c r="X861" s="2">
        <f>IF($H861&gt;J861,MIN($H861-J861,K861-J861)*INDEX('2018_commission_structure'!$A$5:$J$8,MATCH(Calculations!$E861,'2018_commission_structure'!$A$5:$A$8,0),MATCH(Calculations!X$1,'2018_commission_structure'!$A$5:$J$5,0)),0)</f>
        <v>0</v>
      </c>
      <c r="Y861" s="2">
        <f>IF($H861&gt;K861,MIN($H861-K861,L861-K861)*INDEX('2018_commission_structure'!$A$5:$J$8,MATCH(Calculations!$E861,'2018_commission_structure'!$A$5:$A$8,0),MATCH(Calculations!Y$1,'2018_commission_structure'!$A$5:$J$5,0)),0)</f>
        <v>0</v>
      </c>
      <c r="Z861" s="2">
        <f xml:space="preserve"> IF(H861&gt;L861,(H861-L861)*INDEX('2018_commission_structure'!$A$11:$I$14,MATCH(Calculations!$E861,'2018_commission_structure'!$A$11:$A$14,0),MATCH(Calculations!Z$1,'2018_commission_structure'!$A$11:$I$11,0)),0)</f>
        <v>0</v>
      </c>
      <c r="AA861" s="7">
        <f t="shared" si="124"/>
        <v>68616.960000000006</v>
      </c>
      <c r="AB861" s="7">
        <f t="shared" si="125"/>
        <v>123315.96</v>
      </c>
    </row>
    <row r="862" spans="1:28" x14ac:dyDescent="0.25">
      <c r="A862">
        <v>2405876701</v>
      </c>
      <c r="B862" t="s">
        <v>1605</v>
      </c>
      <c r="C862" t="s">
        <v>1606</v>
      </c>
      <c r="D862" t="str">
        <f>B862&amp;" "&amp;C862</f>
        <v>Scot Skoughman</v>
      </c>
      <c r="E862" t="s">
        <v>10</v>
      </c>
      <c r="F862">
        <v>118003</v>
      </c>
      <c r="G862">
        <f>COUNTIF(deals_closed!D:D,Calculations!A862)</f>
        <v>20</v>
      </c>
      <c r="H862" s="2">
        <f>SUMIF(deals_closed!D:D,Calculations!A862,deals_closed!C:C)</f>
        <v>787996</v>
      </c>
      <c r="I862" s="2">
        <f>VLOOKUP(E862,'2018_commission_structure'!$A$11:$I$14,9,FALSE)</f>
        <v>750000</v>
      </c>
      <c r="J862" s="2">
        <f t="shared" si="117"/>
        <v>937500</v>
      </c>
      <c r="K862" s="2">
        <f t="shared" si="118"/>
        <v>1125000</v>
      </c>
      <c r="L862" s="2">
        <f t="shared" si="119"/>
        <v>1500000</v>
      </c>
      <c r="M862" s="6">
        <f t="shared" si="120"/>
        <v>1.0506613333333332</v>
      </c>
      <c r="N862" t="str">
        <f t="shared" si="121"/>
        <v>100-125%</v>
      </c>
      <c r="O862" s="7">
        <f>MIN(I862,H862)*INDEX('2018_commission_structure'!$A$11:$I$14,MATCH(Calculations!$E862,'2018_commission_structure'!$A$11:$A$14,0),MATCH(Calculations!O$1,'2018_commission_structure'!$A$11:$I$11,0))</f>
        <v>112500</v>
      </c>
      <c r="P862" s="7">
        <f>IF($H862&gt;I862,MIN($H862-I862,J862-I862)*INDEX('2018_commission_structure'!$A$11:$I$14,MATCH(Calculations!$E862,'2018_commission_structure'!$A$11:$A$14,0), MATCH(Calculations!P$1,'2018_commission_structure'!$A$11:$I$11,0)),0)</f>
        <v>7219.24</v>
      </c>
      <c r="Q862" s="7">
        <f>IF($H862&gt;J862,MIN($H862-J862,K862-J862)*INDEX('2018_commission_structure'!$A$11:$I$14,MATCH(Calculations!$E862,'2018_commission_structure'!$A$11:$A$14,0), MATCH(Calculations!Q$1,'2018_commission_structure'!$A$11:$I$11,0)),0)</f>
        <v>0</v>
      </c>
      <c r="R862" s="7">
        <f>IF($H862&gt;K862,MIN($H862-K862,L862-K862)*INDEX('2018_commission_structure'!$A$11:$I$14,MATCH(Calculations!$E862,'2018_commission_structure'!$A$11:$A$14,0), MATCH(Calculations!R$1,'2018_commission_structure'!$A$11:$I$11,0)),0)</f>
        <v>0</v>
      </c>
      <c r="S862" s="7">
        <f>IF(H862&gt;L862,(H862-L862)*INDEX('2018_commission_structure'!$A$11:$I$14,MATCH(Calculations!$E862,'2018_commission_structure'!$A$11:$A$14,0),MATCH(Calculations!S$1,'2018_commission_structure'!$A$11:$I$11,0)),0)</f>
        <v>0</v>
      </c>
      <c r="T862" s="7">
        <f t="shared" si="122"/>
        <v>119719.24</v>
      </c>
      <c r="U862" s="7">
        <f t="shared" si="123"/>
        <v>237722.23999999999</v>
      </c>
      <c r="V862" s="7">
        <f>MIN(H862,I862)*INDEX('2018_commission_structure'!$A$5:$J$8,MATCH(Calculations!$E862,'2018_commission_structure'!$A$5:$A$8,0),MATCH(Calculations!V$1,'2018_commission_structure'!$A$5:$J$5,0))</f>
        <v>112500</v>
      </c>
      <c r="W862" s="2">
        <f>IF($H862&gt;I862,MIN($H862-I862,J862-I862)*INDEX('2018_commission_structure'!$A$5:$J$8,MATCH(Calculations!$E862,'2018_commission_structure'!$A$5:$A$8,0),MATCH(Calculations!W$1,'2018_commission_structure'!$A$5:$J$5,0)),0)</f>
        <v>8359.1200000000008</v>
      </c>
      <c r="X862" s="2">
        <f>IF($H862&gt;J862,MIN($H862-J862,K862-J862)*INDEX('2018_commission_structure'!$A$5:$J$8,MATCH(Calculations!$E862,'2018_commission_structure'!$A$5:$A$8,0),MATCH(Calculations!X$1,'2018_commission_structure'!$A$5:$J$5,0)),0)</f>
        <v>0</v>
      </c>
      <c r="Y862" s="2">
        <f>IF($H862&gt;K862,MIN($H862-K862,L862-K862)*INDEX('2018_commission_structure'!$A$5:$J$8,MATCH(Calculations!$E862,'2018_commission_structure'!$A$5:$A$8,0),MATCH(Calculations!Y$1,'2018_commission_structure'!$A$5:$J$5,0)),0)</f>
        <v>0</v>
      </c>
      <c r="Z862" s="2">
        <f xml:space="preserve"> IF(H862&gt;L862,(H862-L862)*INDEX('2018_commission_structure'!$A$11:$I$14,MATCH(Calculations!$E862,'2018_commission_structure'!$A$11:$A$14,0),MATCH(Calculations!Z$1,'2018_commission_structure'!$A$11:$I$11,0)),0)</f>
        <v>0</v>
      </c>
      <c r="AA862" s="7">
        <f t="shared" si="124"/>
        <v>120859.12</v>
      </c>
      <c r="AB862" s="7">
        <f t="shared" si="125"/>
        <v>238862.12</v>
      </c>
    </row>
    <row r="863" spans="1:28" x14ac:dyDescent="0.25">
      <c r="A863">
        <v>7205288142</v>
      </c>
      <c r="B863" t="s">
        <v>1578</v>
      </c>
      <c r="C863" t="s">
        <v>1579</v>
      </c>
      <c r="D863" t="str">
        <f>B863&amp;" "&amp;C863</f>
        <v>Rolph Slatcher</v>
      </c>
      <c r="E863" t="s">
        <v>10</v>
      </c>
      <c r="F863">
        <v>89937</v>
      </c>
      <c r="G863">
        <f>COUNTIF(deals_closed!D:D,Calculations!A863)</f>
        <v>19</v>
      </c>
      <c r="H863" s="2">
        <f>SUMIF(deals_closed!D:D,Calculations!A863,deals_closed!C:C)</f>
        <v>632661</v>
      </c>
      <c r="I863" s="2">
        <f>VLOOKUP(E863,'2018_commission_structure'!$A$11:$I$14,9,FALSE)</f>
        <v>750000</v>
      </c>
      <c r="J863" s="2">
        <f t="shared" si="117"/>
        <v>937500</v>
      </c>
      <c r="K863" s="2">
        <f t="shared" si="118"/>
        <v>1125000</v>
      </c>
      <c r="L863" s="2">
        <f t="shared" si="119"/>
        <v>1500000</v>
      </c>
      <c r="M863" s="6">
        <f t="shared" si="120"/>
        <v>0.84354799999999996</v>
      </c>
      <c r="N863" t="str">
        <f t="shared" si="121"/>
        <v>0-100%</v>
      </c>
      <c r="O863" s="7">
        <f>MIN(I863,H863)*INDEX('2018_commission_structure'!$A$11:$I$14,MATCH(Calculations!$E863,'2018_commission_structure'!$A$11:$A$14,0),MATCH(Calculations!O$1,'2018_commission_structure'!$A$11:$I$11,0))</f>
        <v>94899.15</v>
      </c>
      <c r="P863" s="7">
        <f>IF($H863&gt;I863,MIN($H863-I863,J863-I863)*INDEX('2018_commission_structure'!$A$11:$I$14,MATCH(Calculations!$E863,'2018_commission_structure'!$A$11:$A$14,0), MATCH(Calculations!P$1,'2018_commission_structure'!$A$11:$I$11,0)),0)</f>
        <v>0</v>
      </c>
      <c r="Q863" s="7">
        <f>IF($H863&gt;J863,MIN($H863-J863,K863-J863)*INDEX('2018_commission_structure'!$A$11:$I$14,MATCH(Calculations!$E863,'2018_commission_structure'!$A$11:$A$14,0), MATCH(Calculations!Q$1,'2018_commission_structure'!$A$11:$I$11,0)),0)</f>
        <v>0</v>
      </c>
      <c r="R863" s="7">
        <f>IF($H863&gt;K863,MIN($H863-K863,L863-K863)*INDEX('2018_commission_structure'!$A$11:$I$14,MATCH(Calculations!$E863,'2018_commission_structure'!$A$11:$A$14,0), MATCH(Calculations!R$1,'2018_commission_structure'!$A$11:$I$11,0)),0)</f>
        <v>0</v>
      </c>
      <c r="S863" s="7">
        <f>IF(H863&gt;L863,(H863-L863)*INDEX('2018_commission_structure'!$A$11:$I$14,MATCH(Calculations!$E863,'2018_commission_structure'!$A$11:$A$14,0),MATCH(Calculations!S$1,'2018_commission_structure'!$A$11:$I$11,0)),0)</f>
        <v>0</v>
      </c>
      <c r="T863" s="7">
        <f t="shared" si="122"/>
        <v>94899.15</v>
      </c>
      <c r="U863" s="7">
        <f t="shared" si="123"/>
        <v>184836.15</v>
      </c>
      <c r="V863" s="7">
        <f>MIN(H863,I863)*INDEX('2018_commission_structure'!$A$5:$J$8,MATCH(Calculations!$E863,'2018_commission_structure'!$A$5:$A$8,0),MATCH(Calculations!V$1,'2018_commission_structure'!$A$5:$J$5,0))</f>
        <v>94899.15</v>
      </c>
      <c r="W863" s="2">
        <f>IF($H863&gt;I863,MIN($H863-I863,J863-I863)*INDEX('2018_commission_structure'!$A$5:$J$8,MATCH(Calculations!$E863,'2018_commission_structure'!$A$5:$A$8,0),MATCH(Calculations!W$1,'2018_commission_structure'!$A$5:$J$5,0)),0)</f>
        <v>0</v>
      </c>
      <c r="X863" s="2">
        <f>IF($H863&gt;J863,MIN($H863-J863,K863-J863)*INDEX('2018_commission_structure'!$A$5:$J$8,MATCH(Calculations!$E863,'2018_commission_structure'!$A$5:$A$8,0),MATCH(Calculations!X$1,'2018_commission_structure'!$A$5:$J$5,0)),0)</f>
        <v>0</v>
      </c>
      <c r="Y863" s="2">
        <f>IF($H863&gt;K863,MIN($H863-K863,L863-K863)*INDEX('2018_commission_structure'!$A$5:$J$8,MATCH(Calculations!$E863,'2018_commission_structure'!$A$5:$A$8,0),MATCH(Calculations!Y$1,'2018_commission_structure'!$A$5:$J$5,0)),0)</f>
        <v>0</v>
      </c>
      <c r="Z863" s="2">
        <f xml:space="preserve"> IF(H863&gt;L863,(H863-L863)*INDEX('2018_commission_structure'!$A$11:$I$14,MATCH(Calculations!$E863,'2018_commission_structure'!$A$11:$A$14,0),MATCH(Calculations!Z$1,'2018_commission_structure'!$A$11:$I$11,0)),0)</f>
        <v>0</v>
      </c>
      <c r="AA863" s="7">
        <f t="shared" si="124"/>
        <v>94899.15</v>
      </c>
      <c r="AB863" s="7">
        <f t="shared" si="125"/>
        <v>184836.15</v>
      </c>
    </row>
    <row r="864" spans="1:28" x14ac:dyDescent="0.25">
      <c r="A864">
        <v>2873915978</v>
      </c>
      <c r="B864" t="s">
        <v>790</v>
      </c>
      <c r="C864" t="s">
        <v>791</v>
      </c>
      <c r="D864" t="str">
        <f>B864&amp;" "&amp;C864</f>
        <v>Jone Sleep</v>
      </c>
      <c r="E864" t="s">
        <v>29</v>
      </c>
      <c r="F864">
        <v>73164</v>
      </c>
      <c r="G864">
        <f>COUNTIF(deals_closed!D:D,Calculations!A864)</f>
        <v>25</v>
      </c>
      <c r="H864" s="2">
        <f>SUMIF(deals_closed!D:D,Calculations!A864,deals_closed!C:C)</f>
        <v>833825</v>
      </c>
      <c r="I864" s="2">
        <f>VLOOKUP(E864,'2018_commission_structure'!$A$11:$I$14,9,FALSE)</f>
        <v>600000</v>
      </c>
      <c r="J864" s="2">
        <f t="shared" si="117"/>
        <v>750000</v>
      </c>
      <c r="K864" s="2">
        <f t="shared" si="118"/>
        <v>900000</v>
      </c>
      <c r="L864" s="2">
        <f t="shared" si="119"/>
        <v>1200000</v>
      </c>
      <c r="M864" s="6">
        <f t="shared" si="120"/>
        <v>1.3897083333333333</v>
      </c>
      <c r="N864" t="str">
        <f t="shared" si="121"/>
        <v>125-150%</v>
      </c>
      <c r="O864" s="7">
        <f>MIN(I864,H864)*INDEX('2018_commission_structure'!$A$11:$I$14,MATCH(Calculations!$E864,'2018_commission_structure'!$A$11:$A$14,0),MATCH(Calculations!O$1,'2018_commission_structure'!$A$11:$I$11,0))</f>
        <v>78000</v>
      </c>
      <c r="P864" s="7">
        <f>IF($H864&gt;I864,MIN($H864-I864,J864-I864)*INDEX('2018_commission_structure'!$A$11:$I$14,MATCH(Calculations!$E864,'2018_commission_structure'!$A$11:$A$14,0), MATCH(Calculations!P$1,'2018_commission_structure'!$A$11:$I$11,0)),0)</f>
        <v>25500.000000000004</v>
      </c>
      <c r="Q864" s="7">
        <f>IF($H864&gt;J864,MIN($H864-J864,K864-J864)*INDEX('2018_commission_structure'!$A$11:$I$14,MATCH(Calculations!$E864,'2018_commission_structure'!$A$11:$A$14,0), MATCH(Calculations!Q$1,'2018_commission_structure'!$A$11:$I$11,0)),0)</f>
        <v>17603.25</v>
      </c>
      <c r="R864" s="7">
        <f>IF($H864&gt;K864,MIN($H864-K864,L864-K864)*INDEX('2018_commission_structure'!$A$11:$I$14,MATCH(Calculations!$E864,'2018_commission_structure'!$A$11:$A$14,0), MATCH(Calculations!R$1,'2018_commission_structure'!$A$11:$I$11,0)),0)</f>
        <v>0</v>
      </c>
      <c r="S864" s="7">
        <f>IF(H864&gt;L864,(H864-L864)*INDEX('2018_commission_structure'!$A$11:$I$14,MATCH(Calculations!$E864,'2018_commission_structure'!$A$11:$A$14,0),MATCH(Calculations!S$1,'2018_commission_structure'!$A$11:$I$11,0)),0)</f>
        <v>0</v>
      </c>
      <c r="T864" s="7">
        <f t="shared" si="122"/>
        <v>121103.25</v>
      </c>
      <c r="U864" s="7">
        <f t="shared" si="123"/>
        <v>194267.25</v>
      </c>
      <c r="V864" s="7">
        <f>MIN(H864,I864)*INDEX('2018_commission_structure'!$A$5:$J$8,MATCH(Calculations!$E864,'2018_commission_structure'!$A$5:$A$8,0),MATCH(Calculations!V$1,'2018_commission_structure'!$A$5:$J$5,0))</f>
        <v>90000</v>
      </c>
      <c r="W864" s="2">
        <f>IF($H864&gt;I864,MIN($H864-I864,J864-I864)*INDEX('2018_commission_structure'!$A$5:$J$8,MATCH(Calculations!$E864,'2018_commission_structure'!$A$5:$A$8,0),MATCH(Calculations!W$1,'2018_commission_structure'!$A$5:$J$5,0)),0)</f>
        <v>27000</v>
      </c>
      <c r="X864" s="2">
        <f>IF($H864&gt;J864,MIN($H864-J864,K864-J864)*INDEX('2018_commission_structure'!$A$5:$J$8,MATCH(Calculations!$E864,'2018_commission_structure'!$A$5:$A$8,0),MATCH(Calculations!X$1,'2018_commission_structure'!$A$5:$J$5,0)),0)</f>
        <v>20956.25</v>
      </c>
      <c r="Y864" s="2">
        <f>IF($H864&gt;K864,MIN($H864-K864,L864-K864)*INDEX('2018_commission_structure'!$A$5:$J$8,MATCH(Calculations!$E864,'2018_commission_structure'!$A$5:$A$8,0),MATCH(Calculations!Y$1,'2018_commission_structure'!$A$5:$J$5,0)),0)</f>
        <v>0</v>
      </c>
      <c r="Z864" s="2">
        <f xml:space="preserve"> IF(H864&gt;L864,(H864-L864)*INDEX('2018_commission_structure'!$A$11:$I$14,MATCH(Calculations!$E864,'2018_commission_structure'!$A$11:$A$14,0),MATCH(Calculations!Z$1,'2018_commission_structure'!$A$11:$I$11,0)),0)</f>
        <v>0</v>
      </c>
      <c r="AA864" s="7">
        <f t="shared" si="124"/>
        <v>137956.25</v>
      </c>
      <c r="AB864" s="7">
        <f t="shared" si="125"/>
        <v>211120.25</v>
      </c>
    </row>
    <row r="865" spans="1:28" x14ac:dyDescent="0.25">
      <c r="A865">
        <v>3738218785</v>
      </c>
      <c r="B865" t="s">
        <v>288</v>
      </c>
      <c r="C865" t="s">
        <v>289</v>
      </c>
      <c r="D865" t="str">
        <f>B865&amp;" "&amp;C865</f>
        <v>Cull Slott</v>
      </c>
      <c r="E865" t="s">
        <v>7</v>
      </c>
      <c r="F865">
        <v>64849</v>
      </c>
      <c r="G865">
        <f>COUNTIF(deals_closed!D:D,Calculations!A865)</f>
        <v>18</v>
      </c>
      <c r="H865" s="2">
        <f>SUMIF(deals_closed!D:D,Calculations!A865,deals_closed!C:C)</f>
        <v>718775</v>
      </c>
      <c r="I865" s="2">
        <f>VLOOKUP(E865,'2018_commission_structure'!$A$11:$I$14,9,FALSE)</f>
        <v>500000</v>
      </c>
      <c r="J865" s="2">
        <f t="shared" si="117"/>
        <v>625000</v>
      </c>
      <c r="K865" s="2">
        <f t="shared" si="118"/>
        <v>750000</v>
      </c>
      <c r="L865" s="2">
        <f t="shared" si="119"/>
        <v>1000000</v>
      </c>
      <c r="M865" s="6">
        <f t="shared" si="120"/>
        <v>1.4375500000000001</v>
      </c>
      <c r="N865" t="str">
        <f t="shared" si="121"/>
        <v>125-150%</v>
      </c>
      <c r="O865" s="7">
        <f>MIN(I865,H865)*INDEX('2018_commission_structure'!$A$11:$I$14,MATCH(Calculations!$E865,'2018_commission_structure'!$A$11:$A$14,0),MATCH(Calculations!O$1,'2018_commission_structure'!$A$11:$I$11,0))</f>
        <v>50000</v>
      </c>
      <c r="P865" s="7">
        <f>IF($H865&gt;I865,MIN($H865-I865,J865-I865)*INDEX('2018_commission_structure'!$A$11:$I$14,MATCH(Calculations!$E865,'2018_commission_structure'!$A$11:$A$14,0), MATCH(Calculations!P$1,'2018_commission_structure'!$A$11:$I$11,0)),0)</f>
        <v>18750</v>
      </c>
      <c r="Q865" s="7">
        <f>IF($H865&gt;J865,MIN($H865-J865,K865-J865)*INDEX('2018_commission_structure'!$A$11:$I$14,MATCH(Calculations!$E865,'2018_commission_structure'!$A$11:$A$14,0), MATCH(Calculations!Q$1,'2018_commission_structure'!$A$11:$I$11,0)),0)</f>
        <v>16879.5</v>
      </c>
      <c r="R865" s="7">
        <f>IF($H865&gt;K865,MIN($H865-K865,L865-K865)*INDEX('2018_commission_structure'!$A$11:$I$14,MATCH(Calculations!$E865,'2018_commission_structure'!$A$11:$A$14,0), MATCH(Calculations!R$1,'2018_commission_structure'!$A$11:$I$11,0)),0)</f>
        <v>0</v>
      </c>
      <c r="S865" s="7">
        <f>IF(H865&gt;L865,(H865-L865)*INDEX('2018_commission_structure'!$A$11:$I$14,MATCH(Calculations!$E865,'2018_commission_structure'!$A$11:$A$14,0),MATCH(Calculations!S$1,'2018_commission_structure'!$A$11:$I$11,0)),0)</f>
        <v>0</v>
      </c>
      <c r="T865" s="7">
        <f t="shared" si="122"/>
        <v>85629.5</v>
      </c>
      <c r="U865" s="7">
        <f t="shared" si="123"/>
        <v>150478.5</v>
      </c>
      <c r="V865" s="7">
        <f>MIN(H865,I865)*INDEX('2018_commission_structure'!$A$5:$J$8,MATCH(Calculations!$E865,'2018_commission_structure'!$A$5:$A$8,0),MATCH(Calculations!V$1,'2018_commission_structure'!$A$5:$J$5,0))</f>
        <v>60000</v>
      </c>
      <c r="W865" s="2">
        <f>IF($H865&gt;I865,MIN($H865-I865,J865-I865)*INDEX('2018_commission_structure'!$A$5:$J$8,MATCH(Calculations!$E865,'2018_commission_structure'!$A$5:$A$8,0),MATCH(Calculations!W$1,'2018_commission_structure'!$A$5:$J$5,0)),0)</f>
        <v>21250</v>
      </c>
      <c r="X865" s="2">
        <f>IF($H865&gt;J865,MIN($H865-J865,K865-J865)*INDEX('2018_commission_structure'!$A$5:$J$8,MATCH(Calculations!$E865,'2018_commission_structure'!$A$5:$A$8,0),MATCH(Calculations!X$1,'2018_commission_structure'!$A$5:$J$5,0)),0)</f>
        <v>18755</v>
      </c>
      <c r="Y865" s="2">
        <f>IF($H865&gt;K865,MIN($H865-K865,L865-K865)*INDEX('2018_commission_structure'!$A$5:$J$8,MATCH(Calculations!$E865,'2018_commission_structure'!$A$5:$A$8,0),MATCH(Calculations!Y$1,'2018_commission_structure'!$A$5:$J$5,0)),0)</f>
        <v>0</v>
      </c>
      <c r="Z865" s="2">
        <f xml:space="preserve"> IF(H865&gt;L865,(H865-L865)*INDEX('2018_commission_structure'!$A$11:$I$14,MATCH(Calculations!$E865,'2018_commission_structure'!$A$11:$A$14,0),MATCH(Calculations!Z$1,'2018_commission_structure'!$A$11:$I$11,0)),0)</f>
        <v>0</v>
      </c>
      <c r="AA865" s="7">
        <f t="shared" si="124"/>
        <v>100005</v>
      </c>
      <c r="AB865" s="7">
        <f t="shared" si="125"/>
        <v>164854</v>
      </c>
    </row>
    <row r="866" spans="1:28" x14ac:dyDescent="0.25">
      <c r="A866">
        <v>1472093461</v>
      </c>
      <c r="B866" t="s">
        <v>418</v>
      </c>
      <c r="C866" t="s">
        <v>419</v>
      </c>
      <c r="D866" t="str">
        <f>B866&amp;" "&amp;C866</f>
        <v>Hynda Smee</v>
      </c>
      <c r="E866" t="s">
        <v>29</v>
      </c>
      <c r="F866">
        <v>72605</v>
      </c>
      <c r="G866">
        <f>COUNTIF(deals_closed!D:D,Calculations!A866)</f>
        <v>25</v>
      </c>
      <c r="H866" s="2">
        <f>SUMIF(deals_closed!D:D,Calculations!A866,deals_closed!C:C)</f>
        <v>878309</v>
      </c>
      <c r="I866" s="2">
        <f>VLOOKUP(E866,'2018_commission_structure'!$A$11:$I$14,9,FALSE)</f>
        <v>600000</v>
      </c>
      <c r="J866" s="2">
        <f t="shared" si="117"/>
        <v>750000</v>
      </c>
      <c r="K866" s="2">
        <f t="shared" si="118"/>
        <v>900000</v>
      </c>
      <c r="L866" s="2">
        <f t="shared" si="119"/>
        <v>1200000</v>
      </c>
      <c r="M866" s="6">
        <f t="shared" si="120"/>
        <v>1.4638483333333334</v>
      </c>
      <c r="N866" t="str">
        <f t="shared" si="121"/>
        <v>125-150%</v>
      </c>
      <c r="O866" s="7">
        <f>MIN(I866,H866)*INDEX('2018_commission_structure'!$A$11:$I$14,MATCH(Calculations!$E866,'2018_commission_structure'!$A$11:$A$14,0),MATCH(Calculations!O$1,'2018_commission_structure'!$A$11:$I$11,0))</f>
        <v>78000</v>
      </c>
      <c r="P866" s="7">
        <f>IF($H866&gt;I866,MIN($H866-I866,J866-I866)*INDEX('2018_commission_structure'!$A$11:$I$14,MATCH(Calculations!$E866,'2018_commission_structure'!$A$11:$A$14,0), MATCH(Calculations!P$1,'2018_commission_structure'!$A$11:$I$11,0)),0)</f>
        <v>25500.000000000004</v>
      </c>
      <c r="Q866" s="7">
        <f>IF($H866&gt;J866,MIN($H866-J866,K866-J866)*INDEX('2018_commission_structure'!$A$11:$I$14,MATCH(Calculations!$E866,'2018_commission_structure'!$A$11:$A$14,0), MATCH(Calculations!Q$1,'2018_commission_structure'!$A$11:$I$11,0)),0)</f>
        <v>26944.89</v>
      </c>
      <c r="R866" s="7">
        <f>IF($H866&gt;K866,MIN($H866-K866,L866-K866)*INDEX('2018_commission_structure'!$A$11:$I$14,MATCH(Calculations!$E866,'2018_commission_structure'!$A$11:$A$14,0), MATCH(Calculations!R$1,'2018_commission_structure'!$A$11:$I$11,0)),0)</f>
        <v>0</v>
      </c>
      <c r="S866" s="7">
        <f>IF(H866&gt;L866,(H866-L866)*INDEX('2018_commission_structure'!$A$11:$I$14,MATCH(Calculations!$E866,'2018_commission_structure'!$A$11:$A$14,0),MATCH(Calculations!S$1,'2018_commission_structure'!$A$11:$I$11,0)),0)</f>
        <v>0</v>
      </c>
      <c r="T866" s="7">
        <f t="shared" si="122"/>
        <v>130444.89</v>
      </c>
      <c r="U866" s="7">
        <f t="shared" si="123"/>
        <v>203049.89</v>
      </c>
      <c r="V866" s="7">
        <f>MIN(H866,I866)*INDEX('2018_commission_structure'!$A$5:$J$8,MATCH(Calculations!$E866,'2018_commission_structure'!$A$5:$A$8,0),MATCH(Calculations!V$1,'2018_commission_structure'!$A$5:$J$5,0))</f>
        <v>90000</v>
      </c>
      <c r="W866" s="2">
        <f>IF($H866&gt;I866,MIN($H866-I866,J866-I866)*INDEX('2018_commission_structure'!$A$5:$J$8,MATCH(Calculations!$E866,'2018_commission_structure'!$A$5:$A$8,0),MATCH(Calculations!W$1,'2018_commission_structure'!$A$5:$J$5,0)),0)</f>
        <v>27000</v>
      </c>
      <c r="X866" s="2">
        <f>IF($H866&gt;J866,MIN($H866-J866,K866-J866)*INDEX('2018_commission_structure'!$A$5:$J$8,MATCH(Calculations!$E866,'2018_commission_structure'!$A$5:$A$8,0),MATCH(Calculations!X$1,'2018_commission_structure'!$A$5:$J$5,0)),0)</f>
        <v>32077.25</v>
      </c>
      <c r="Y866" s="2">
        <f>IF($H866&gt;K866,MIN($H866-K866,L866-K866)*INDEX('2018_commission_structure'!$A$5:$J$8,MATCH(Calculations!$E866,'2018_commission_structure'!$A$5:$A$8,0),MATCH(Calculations!Y$1,'2018_commission_structure'!$A$5:$J$5,0)),0)</f>
        <v>0</v>
      </c>
      <c r="Z866" s="2">
        <f xml:space="preserve"> IF(H866&gt;L866,(H866-L866)*INDEX('2018_commission_structure'!$A$11:$I$14,MATCH(Calculations!$E866,'2018_commission_structure'!$A$11:$A$14,0),MATCH(Calculations!Z$1,'2018_commission_structure'!$A$11:$I$11,0)),0)</f>
        <v>0</v>
      </c>
      <c r="AA866" s="7">
        <f t="shared" si="124"/>
        <v>149077.25</v>
      </c>
      <c r="AB866" s="7">
        <f t="shared" si="125"/>
        <v>221682.25</v>
      </c>
    </row>
    <row r="867" spans="1:28" x14ac:dyDescent="0.25">
      <c r="A867">
        <v>9287480133</v>
      </c>
      <c r="B867" t="s">
        <v>1075</v>
      </c>
      <c r="C867" t="s">
        <v>1076</v>
      </c>
      <c r="D867" t="str">
        <f>B867&amp;" "&amp;C867</f>
        <v>Rufe Smerdon</v>
      </c>
      <c r="E867" t="s">
        <v>10</v>
      </c>
      <c r="F867">
        <v>98734</v>
      </c>
      <c r="G867">
        <f>COUNTIF(deals_closed!D:D,Calculations!A867)</f>
        <v>18</v>
      </c>
      <c r="H867" s="2">
        <f>SUMIF(deals_closed!D:D,Calculations!A867,deals_closed!C:C)</f>
        <v>704901</v>
      </c>
      <c r="I867" s="2">
        <f>VLOOKUP(E867,'2018_commission_structure'!$A$11:$I$14,9,FALSE)</f>
        <v>750000</v>
      </c>
      <c r="J867" s="2">
        <f t="shared" si="117"/>
        <v>937500</v>
      </c>
      <c r="K867" s="2">
        <f t="shared" si="118"/>
        <v>1125000</v>
      </c>
      <c r="L867" s="2">
        <f t="shared" si="119"/>
        <v>1500000</v>
      </c>
      <c r="M867" s="6">
        <f t="shared" si="120"/>
        <v>0.93986800000000004</v>
      </c>
      <c r="N867" t="str">
        <f t="shared" si="121"/>
        <v>0-100%</v>
      </c>
      <c r="O867" s="7">
        <f>MIN(I867,H867)*INDEX('2018_commission_structure'!$A$11:$I$14,MATCH(Calculations!$E867,'2018_commission_structure'!$A$11:$A$14,0),MATCH(Calculations!O$1,'2018_commission_structure'!$A$11:$I$11,0))</f>
        <v>105735.15</v>
      </c>
      <c r="P867" s="7">
        <f>IF($H867&gt;I867,MIN($H867-I867,J867-I867)*INDEX('2018_commission_structure'!$A$11:$I$14,MATCH(Calculations!$E867,'2018_commission_structure'!$A$11:$A$14,0), MATCH(Calculations!P$1,'2018_commission_structure'!$A$11:$I$11,0)),0)</f>
        <v>0</v>
      </c>
      <c r="Q867" s="7">
        <f>IF($H867&gt;J867,MIN($H867-J867,K867-J867)*INDEX('2018_commission_structure'!$A$11:$I$14,MATCH(Calculations!$E867,'2018_commission_structure'!$A$11:$A$14,0), MATCH(Calculations!Q$1,'2018_commission_structure'!$A$11:$I$11,0)),0)</f>
        <v>0</v>
      </c>
      <c r="R867" s="7">
        <f>IF($H867&gt;K867,MIN($H867-K867,L867-K867)*INDEX('2018_commission_structure'!$A$11:$I$14,MATCH(Calculations!$E867,'2018_commission_structure'!$A$11:$A$14,0), MATCH(Calculations!R$1,'2018_commission_structure'!$A$11:$I$11,0)),0)</f>
        <v>0</v>
      </c>
      <c r="S867" s="7">
        <f>IF(H867&gt;L867,(H867-L867)*INDEX('2018_commission_structure'!$A$11:$I$14,MATCH(Calculations!$E867,'2018_commission_structure'!$A$11:$A$14,0),MATCH(Calculations!S$1,'2018_commission_structure'!$A$11:$I$11,0)),0)</f>
        <v>0</v>
      </c>
      <c r="T867" s="7">
        <f t="shared" si="122"/>
        <v>105735.15</v>
      </c>
      <c r="U867" s="7">
        <f t="shared" si="123"/>
        <v>204469.15</v>
      </c>
      <c r="V867" s="7">
        <f>MIN(H867,I867)*INDEX('2018_commission_structure'!$A$5:$J$8,MATCH(Calculations!$E867,'2018_commission_structure'!$A$5:$A$8,0),MATCH(Calculations!V$1,'2018_commission_structure'!$A$5:$J$5,0))</f>
        <v>105735.15</v>
      </c>
      <c r="W867" s="2">
        <f>IF($H867&gt;I867,MIN($H867-I867,J867-I867)*INDEX('2018_commission_structure'!$A$5:$J$8,MATCH(Calculations!$E867,'2018_commission_structure'!$A$5:$A$8,0),MATCH(Calculations!W$1,'2018_commission_structure'!$A$5:$J$5,0)),0)</f>
        <v>0</v>
      </c>
      <c r="X867" s="2">
        <f>IF($H867&gt;J867,MIN($H867-J867,K867-J867)*INDEX('2018_commission_structure'!$A$5:$J$8,MATCH(Calculations!$E867,'2018_commission_structure'!$A$5:$A$8,0),MATCH(Calculations!X$1,'2018_commission_structure'!$A$5:$J$5,0)),0)</f>
        <v>0</v>
      </c>
      <c r="Y867" s="2">
        <f>IF($H867&gt;K867,MIN($H867-K867,L867-K867)*INDEX('2018_commission_structure'!$A$5:$J$8,MATCH(Calculations!$E867,'2018_commission_structure'!$A$5:$A$8,0),MATCH(Calculations!Y$1,'2018_commission_structure'!$A$5:$J$5,0)),0)</f>
        <v>0</v>
      </c>
      <c r="Z867" s="2">
        <f xml:space="preserve"> IF(H867&gt;L867,(H867-L867)*INDEX('2018_commission_structure'!$A$11:$I$14,MATCH(Calculations!$E867,'2018_commission_structure'!$A$11:$A$14,0),MATCH(Calculations!Z$1,'2018_commission_structure'!$A$11:$I$11,0)),0)</f>
        <v>0</v>
      </c>
      <c r="AA867" s="7">
        <f t="shared" si="124"/>
        <v>105735.15</v>
      </c>
      <c r="AB867" s="7">
        <f t="shared" si="125"/>
        <v>204469.15</v>
      </c>
    </row>
    <row r="868" spans="1:28" x14ac:dyDescent="0.25">
      <c r="A868">
        <v>101658508</v>
      </c>
      <c r="B868" t="s">
        <v>19</v>
      </c>
      <c r="C868" t="s">
        <v>20</v>
      </c>
      <c r="D868" t="str">
        <f>B868&amp;" "&amp;C868</f>
        <v>Foster Smith</v>
      </c>
      <c r="E868" t="s">
        <v>7</v>
      </c>
      <c r="F868">
        <v>63106</v>
      </c>
      <c r="G868">
        <f>COUNTIF(deals_closed!D:D,Calculations!A868)</f>
        <v>22</v>
      </c>
      <c r="H868" s="2">
        <f>SUMIF(deals_closed!D:D,Calculations!A868,deals_closed!C:C)</f>
        <v>703757</v>
      </c>
      <c r="I868" s="2">
        <f>VLOOKUP(E868,'2018_commission_structure'!$A$11:$I$14,9,FALSE)</f>
        <v>500000</v>
      </c>
      <c r="J868" s="2">
        <f t="shared" si="117"/>
        <v>625000</v>
      </c>
      <c r="K868" s="2">
        <f t="shared" si="118"/>
        <v>750000</v>
      </c>
      <c r="L868" s="2">
        <f t="shared" si="119"/>
        <v>1000000</v>
      </c>
      <c r="M868" s="6">
        <f t="shared" si="120"/>
        <v>1.4075139999999999</v>
      </c>
      <c r="N868" t="str">
        <f t="shared" si="121"/>
        <v>125-150%</v>
      </c>
      <c r="O868" s="7">
        <f>MIN(I868,H868)*INDEX('2018_commission_structure'!$A$11:$I$14,MATCH(Calculations!$E868,'2018_commission_structure'!$A$11:$A$14,0),MATCH(Calculations!O$1,'2018_commission_structure'!$A$11:$I$11,0))</f>
        <v>50000</v>
      </c>
      <c r="P868" s="7">
        <f>IF($H868&gt;I868,MIN($H868-I868,J868-I868)*INDEX('2018_commission_structure'!$A$11:$I$14,MATCH(Calculations!$E868,'2018_commission_structure'!$A$11:$A$14,0), MATCH(Calculations!P$1,'2018_commission_structure'!$A$11:$I$11,0)),0)</f>
        <v>18750</v>
      </c>
      <c r="Q868" s="7">
        <f>IF($H868&gt;J868,MIN($H868-J868,K868-J868)*INDEX('2018_commission_structure'!$A$11:$I$14,MATCH(Calculations!$E868,'2018_commission_structure'!$A$11:$A$14,0), MATCH(Calculations!Q$1,'2018_commission_structure'!$A$11:$I$11,0)),0)</f>
        <v>14176.26</v>
      </c>
      <c r="R868" s="7">
        <f>IF($H868&gt;K868,MIN($H868-K868,L868-K868)*INDEX('2018_commission_structure'!$A$11:$I$14,MATCH(Calculations!$E868,'2018_commission_structure'!$A$11:$A$14,0), MATCH(Calculations!R$1,'2018_commission_structure'!$A$11:$I$11,0)),0)</f>
        <v>0</v>
      </c>
      <c r="S868" s="7">
        <f>IF(H868&gt;L868,(H868-L868)*INDEX('2018_commission_structure'!$A$11:$I$14,MATCH(Calculations!$E868,'2018_commission_structure'!$A$11:$A$14,0),MATCH(Calculations!S$1,'2018_commission_structure'!$A$11:$I$11,0)),0)</f>
        <v>0</v>
      </c>
      <c r="T868" s="7">
        <f t="shared" si="122"/>
        <v>82926.259999999995</v>
      </c>
      <c r="U868" s="7">
        <f t="shared" si="123"/>
        <v>146032.26</v>
      </c>
      <c r="V868" s="7">
        <f>MIN(H868,I868)*INDEX('2018_commission_structure'!$A$5:$J$8,MATCH(Calculations!$E868,'2018_commission_structure'!$A$5:$A$8,0),MATCH(Calculations!V$1,'2018_commission_structure'!$A$5:$J$5,0))</f>
        <v>60000</v>
      </c>
      <c r="W868" s="2">
        <f>IF($H868&gt;I868,MIN($H868-I868,J868-I868)*INDEX('2018_commission_structure'!$A$5:$J$8,MATCH(Calculations!$E868,'2018_commission_structure'!$A$5:$A$8,0),MATCH(Calculations!W$1,'2018_commission_structure'!$A$5:$J$5,0)),0)</f>
        <v>21250</v>
      </c>
      <c r="X868" s="2">
        <f>IF($H868&gt;J868,MIN($H868-J868,K868-J868)*INDEX('2018_commission_structure'!$A$5:$J$8,MATCH(Calculations!$E868,'2018_commission_structure'!$A$5:$A$8,0),MATCH(Calculations!X$1,'2018_commission_structure'!$A$5:$J$5,0)),0)</f>
        <v>15751.400000000001</v>
      </c>
      <c r="Y868" s="2">
        <f>IF($H868&gt;K868,MIN($H868-K868,L868-K868)*INDEX('2018_commission_structure'!$A$5:$J$8,MATCH(Calculations!$E868,'2018_commission_structure'!$A$5:$A$8,0),MATCH(Calculations!Y$1,'2018_commission_structure'!$A$5:$J$5,0)),0)</f>
        <v>0</v>
      </c>
      <c r="Z868" s="2">
        <f xml:space="preserve"> IF(H868&gt;L868,(H868-L868)*INDEX('2018_commission_structure'!$A$11:$I$14,MATCH(Calculations!$E868,'2018_commission_structure'!$A$11:$A$14,0),MATCH(Calculations!Z$1,'2018_commission_structure'!$A$11:$I$11,0)),0)</f>
        <v>0</v>
      </c>
      <c r="AA868" s="7">
        <f t="shared" si="124"/>
        <v>97001.4</v>
      </c>
      <c r="AB868" s="7">
        <f t="shared" si="125"/>
        <v>160107.4</v>
      </c>
    </row>
    <row r="869" spans="1:28" x14ac:dyDescent="0.25">
      <c r="A869">
        <v>7760701055</v>
      </c>
      <c r="B869" t="s">
        <v>1098</v>
      </c>
      <c r="C869" t="s">
        <v>1099</v>
      </c>
      <c r="D869" t="str">
        <f>B869&amp;" "&amp;C869</f>
        <v>Mauricio Smooth</v>
      </c>
      <c r="E869" t="s">
        <v>29</v>
      </c>
      <c r="F869">
        <v>63518</v>
      </c>
      <c r="G869">
        <f>COUNTIF(deals_closed!D:D,Calculations!A869)</f>
        <v>24</v>
      </c>
      <c r="H869" s="2">
        <f>SUMIF(deals_closed!D:D,Calculations!A869,deals_closed!C:C)</f>
        <v>820444</v>
      </c>
      <c r="I869" s="2">
        <f>VLOOKUP(E869,'2018_commission_structure'!$A$11:$I$14,9,FALSE)</f>
        <v>600000</v>
      </c>
      <c r="J869" s="2">
        <f t="shared" si="117"/>
        <v>750000</v>
      </c>
      <c r="K869" s="2">
        <f t="shared" si="118"/>
        <v>900000</v>
      </c>
      <c r="L869" s="2">
        <f t="shared" si="119"/>
        <v>1200000</v>
      </c>
      <c r="M869" s="6">
        <f t="shared" si="120"/>
        <v>1.3674066666666667</v>
      </c>
      <c r="N869" t="str">
        <f t="shared" si="121"/>
        <v>125-150%</v>
      </c>
      <c r="O869" s="7">
        <f>MIN(I869,H869)*INDEX('2018_commission_structure'!$A$11:$I$14,MATCH(Calculations!$E869,'2018_commission_structure'!$A$11:$A$14,0),MATCH(Calculations!O$1,'2018_commission_structure'!$A$11:$I$11,0))</f>
        <v>78000</v>
      </c>
      <c r="P869" s="7">
        <f>IF($H869&gt;I869,MIN($H869-I869,J869-I869)*INDEX('2018_commission_structure'!$A$11:$I$14,MATCH(Calculations!$E869,'2018_commission_structure'!$A$11:$A$14,0), MATCH(Calculations!P$1,'2018_commission_structure'!$A$11:$I$11,0)),0)</f>
        <v>25500.000000000004</v>
      </c>
      <c r="Q869" s="7">
        <f>IF($H869&gt;J869,MIN($H869-J869,K869-J869)*INDEX('2018_commission_structure'!$A$11:$I$14,MATCH(Calculations!$E869,'2018_commission_structure'!$A$11:$A$14,0), MATCH(Calculations!Q$1,'2018_commission_structure'!$A$11:$I$11,0)),0)</f>
        <v>14793.24</v>
      </c>
      <c r="R869" s="7">
        <f>IF($H869&gt;K869,MIN($H869-K869,L869-K869)*INDEX('2018_commission_structure'!$A$11:$I$14,MATCH(Calculations!$E869,'2018_commission_structure'!$A$11:$A$14,0), MATCH(Calculations!R$1,'2018_commission_structure'!$A$11:$I$11,0)),0)</f>
        <v>0</v>
      </c>
      <c r="S869" s="7">
        <f>IF(H869&gt;L869,(H869-L869)*INDEX('2018_commission_structure'!$A$11:$I$14,MATCH(Calculations!$E869,'2018_commission_structure'!$A$11:$A$14,0),MATCH(Calculations!S$1,'2018_commission_structure'!$A$11:$I$11,0)),0)</f>
        <v>0</v>
      </c>
      <c r="T869" s="7">
        <f t="shared" si="122"/>
        <v>118293.24</v>
      </c>
      <c r="U869" s="7">
        <f t="shared" si="123"/>
        <v>181811.24</v>
      </c>
      <c r="V869" s="7">
        <f>MIN(H869,I869)*INDEX('2018_commission_structure'!$A$5:$J$8,MATCH(Calculations!$E869,'2018_commission_structure'!$A$5:$A$8,0),MATCH(Calculations!V$1,'2018_commission_structure'!$A$5:$J$5,0))</f>
        <v>90000</v>
      </c>
      <c r="W869" s="2">
        <f>IF($H869&gt;I869,MIN($H869-I869,J869-I869)*INDEX('2018_commission_structure'!$A$5:$J$8,MATCH(Calculations!$E869,'2018_commission_structure'!$A$5:$A$8,0),MATCH(Calculations!W$1,'2018_commission_structure'!$A$5:$J$5,0)),0)</f>
        <v>27000</v>
      </c>
      <c r="X869" s="2">
        <f>IF($H869&gt;J869,MIN($H869-J869,K869-J869)*INDEX('2018_commission_structure'!$A$5:$J$8,MATCH(Calculations!$E869,'2018_commission_structure'!$A$5:$A$8,0),MATCH(Calculations!X$1,'2018_commission_structure'!$A$5:$J$5,0)),0)</f>
        <v>17611</v>
      </c>
      <c r="Y869" s="2">
        <f>IF($H869&gt;K869,MIN($H869-K869,L869-K869)*INDEX('2018_commission_structure'!$A$5:$J$8,MATCH(Calculations!$E869,'2018_commission_structure'!$A$5:$A$8,0),MATCH(Calculations!Y$1,'2018_commission_structure'!$A$5:$J$5,0)),0)</f>
        <v>0</v>
      </c>
      <c r="Z869" s="2">
        <f xml:space="preserve"> IF(H869&gt;L869,(H869-L869)*INDEX('2018_commission_structure'!$A$11:$I$14,MATCH(Calculations!$E869,'2018_commission_structure'!$A$11:$A$14,0),MATCH(Calculations!Z$1,'2018_commission_structure'!$A$11:$I$11,0)),0)</f>
        <v>0</v>
      </c>
      <c r="AA869" s="7">
        <f t="shared" si="124"/>
        <v>134611</v>
      </c>
      <c r="AB869" s="7">
        <f t="shared" si="125"/>
        <v>198129</v>
      </c>
    </row>
    <row r="870" spans="1:28" x14ac:dyDescent="0.25">
      <c r="A870">
        <v>826490107</v>
      </c>
      <c r="B870" t="s">
        <v>298</v>
      </c>
      <c r="C870" t="s">
        <v>299</v>
      </c>
      <c r="D870" t="str">
        <f>B870&amp;" "&amp;C870</f>
        <v>Esra Snibson</v>
      </c>
      <c r="E870" t="s">
        <v>7</v>
      </c>
      <c r="F870">
        <v>32485</v>
      </c>
      <c r="G870">
        <f>COUNTIF(deals_closed!D:D,Calculations!A870)</f>
        <v>22</v>
      </c>
      <c r="H870" s="2">
        <f>SUMIF(deals_closed!D:D,Calculations!A870,deals_closed!C:C)</f>
        <v>823922</v>
      </c>
      <c r="I870" s="2">
        <f>VLOOKUP(E870,'2018_commission_structure'!$A$11:$I$14,9,FALSE)</f>
        <v>500000</v>
      </c>
      <c r="J870" s="2">
        <f t="shared" si="117"/>
        <v>625000</v>
      </c>
      <c r="K870" s="2">
        <f t="shared" si="118"/>
        <v>750000</v>
      </c>
      <c r="L870" s="2">
        <f t="shared" si="119"/>
        <v>1000000</v>
      </c>
      <c r="M870" s="6">
        <f t="shared" si="120"/>
        <v>1.6478440000000001</v>
      </c>
      <c r="N870" t="str">
        <f t="shared" si="121"/>
        <v>150-200%</v>
      </c>
      <c r="O870" s="7">
        <f>MIN(I870,H870)*INDEX('2018_commission_structure'!$A$11:$I$14,MATCH(Calculations!$E870,'2018_commission_structure'!$A$11:$A$14,0),MATCH(Calculations!O$1,'2018_commission_structure'!$A$11:$I$11,0))</f>
        <v>50000</v>
      </c>
      <c r="P870" s="7">
        <f>IF($H870&gt;I870,MIN($H870-I870,J870-I870)*INDEX('2018_commission_structure'!$A$11:$I$14,MATCH(Calculations!$E870,'2018_commission_structure'!$A$11:$A$14,0), MATCH(Calculations!P$1,'2018_commission_structure'!$A$11:$I$11,0)),0)</f>
        <v>18750</v>
      </c>
      <c r="Q870" s="7">
        <f>IF($H870&gt;J870,MIN($H870-J870,K870-J870)*INDEX('2018_commission_structure'!$A$11:$I$14,MATCH(Calculations!$E870,'2018_commission_structure'!$A$11:$A$14,0), MATCH(Calculations!Q$1,'2018_commission_structure'!$A$11:$I$11,0)),0)</f>
        <v>22500</v>
      </c>
      <c r="R870" s="7">
        <f>IF($H870&gt;K870,MIN($H870-K870,L870-K870)*INDEX('2018_commission_structure'!$A$11:$I$14,MATCH(Calculations!$E870,'2018_commission_structure'!$A$11:$A$14,0), MATCH(Calculations!R$1,'2018_commission_structure'!$A$11:$I$11,0)),0)</f>
        <v>16262.84</v>
      </c>
      <c r="S870" s="7">
        <f>IF(H870&gt;L870,(H870-L870)*INDEX('2018_commission_structure'!$A$11:$I$14,MATCH(Calculations!$E870,'2018_commission_structure'!$A$11:$A$14,0),MATCH(Calculations!S$1,'2018_commission_structure'!$A$11:$I$11,0)),0)</f>
        <v>0</v>
      </c>
      <c r="T870" s="7">
        <f t="shared" si="122"/>
        <v>107512.84</v>
      </c>
      <c r="U870" s="7">
        <f t="shared" si="123"/>
        <v>139997.84</v>
      </c>
      <c r="V870" s="7">
        <f>MIN(H870,I870)*INDEX('2018_commission_structure'!$A$5:$J$8,MATCH(Calculations!$E870,'2018_commission_structure'!$A$5:$A$8,0),MATCH(Calculations!V$1,'2018_commission_structure'!$A$5:$J$5,0))</f>
        <v>60000</v>
      </c>
      <c r="W870" s="2">
        <f>IF($H870&gt;I870,MIN($H870-I870,J870-I870)*INDEX('2018_commission_structure'!$A$5:$J$8,MATCH(Calculations!$E870,'2018_commission_structure'!$A$5:$A$8,0),MATCH(Calculations!W$1,'2018_commission_structure'!$A$5:$J$5,0)),0)</f>
        <v>21250</v>
      </c>
      <c r="X870" s="2">
        <f>IF($H870&gt;J870,MIN($H870-J870,K870-J870)*INDEX('2018_commission_structure'!$A$5:$J$8,MATCH(Calculations!$E870,'2018_commission_structure'!$A$5:$A$8,0),MATCH(Calculations!X$1,'2018_commission_structure'!$A$5:$J$5,0)),0)</f>
        <v>25000</v>
      </c>
      <c r="Y870" s="2">
        <f>IF($H870&gt;K870,MIN($H870-K870,L870-K870)*INDEX('2018_commission_structure'!$A$5:$J$8,MATCH(Calculations!$E870,'2018_commission_structure'!$A$5:$A$8,0),MATCH(Calculations!Y$1,'2018_commission_structure'!$A$5:$J$5,0)),0)</f>
        <v>16262.84</v>
      </c>
      <c r="Z870" s="2">
        <f xml:space="preserve"> IF(H870&gt;L870,(H870-L870)*INDEX('2018_commission_structure'!$A$11:$I$14,MATCH(Calculations!$E870,'2018_commission_structure'!$A$11:$A$14,0),MATCH(Calculations!Z$1,'2018_commission_structure'!$A$11:$I$11,0)),0)</f>
        <v>0</v>
      </c>
      <c r="AA870" s="7">
        <f t="shared" si="124"/>
        <v>122512.84</v>
      </c>
      <c r="AB870" s="7">
        <f t="shared" si="125"/>
        <v>154997.84</v>
      </c>
    </row>
    <row r="871" spans="1:28" x14ac:dyDescent="0.25">
      <c r="A871">
        <v>8093156364</v>
      </c>
      <c r="B871" t="s">
        <v>89</v>
      </c>
      <c r="C871" t="s">
        <v>90</v>
      </c>
      <c r="D871" t="str">
        <f>B871&amp;" "&amp;C871</f>
        <v>Danny Snoddin</v>
      </c>
      <c r="E871" t="s">
        <v>7</v>
      </c>
      <c r="F871">
        <v>64144</v>
      </c>
      <c r="G871">
        <f>COUNTIF(deals_closed!D:D,Calculations!A871)</f>
        <v>15</v>
      </c>
      <c r="H871" s="2">
        <f>SUMIF(deals_closed!D:D,Calculations!A871,deals_closed!C:C)</f>
        <v>610909</v>
      </c>
      <c r="I871" s="2">
        <f>VLOOKUP(E871,'2018_commission_structure'!$A$11:$I$14,9,FALSE)</f>
        <v>500000</v>
      </c>
      <c r="J871" s="2">
        <f t="shared" si="117"/>
        <v>625000</v>
      </c>
      <c r="K871" s="2">
        <f t="shared" si="118"/>
        <v>750000</v>
      </c>
      <c r="L871" s="2">
        <f t="shared" si="119"/>
        <v>1000000</v>
      </c>
      <c r="M871" s="6">
        <f t="shared" si="120"/>
        <v>1.2218180000000001</v>
      </c>
      <c r="N871" t="str">
        <f t="shared" si="121"/>
        <v>100-125%</v>
      </c>
      <c r="O871" s="7">
        <f>MIN(I871,H871)*INDEX('2018_commission_structure'!$A$11:$I$14,MATCH(Calculations!$E871,'2018_commission_structure'!$A$11:$A$14,0),MATCH(Calculations!O$1,'2018_commission_structure'!$A$11:$I$11,0))</f>
        <v>50000</v>
      </c>
      <c r="P871" s="7">
        <f>IF($H871&gt;I871,MIN($H871-I871,J871-I871)*INDEX('2018_commission_structure'!$A$11:$I$14,MATCH(Calculations!$E871,'2018_commission_structure'!$A$11:$A$14,0), MATCH(Calculations!P$1,'2018_commission_structure'!$A$11:$I$11,0)),0)</f>
        <v>16636.349999999999</v>
      </c>
      <c r="Q871" s="7">
        <f>IF($H871&gt;J871,MIN($H871-J871,K871-J871)*INDEX('2018_commission_structure'!$A$11:$I$14,MATCH(Calculations!$E871,'2018_commission_structure'!$A$11:$A$14,0), MATCH(Calculations!Q$1,'2018_commission_structure'!$A$11:$I$11,0)),0)</f>
        <v>0</v>
      </c>
      <c r="R871" s="7">
        <f>IF($H871&gt;K871,MIN($H871-K871,L871-K871)*INDEX('2018_commission_structure'!$A$11:$I$14,MATCH(Calculations!$E871,'2018_commission_structure'!$A$11:$A$14,0), MATCH(Calculations!R$1,'2018_commission_structure'!$A$11:$I$11,0)),0)</f>
        <v>0</v>
      </c>
      <c r="S871" s="7">
        <f>IF(H871&gt;L871,(H871-L871)*INDEX('2018_commission_structure'!$A$11:$I$14,MATCH(Calculations!$E871,'2018_commission_structure'!$A$11:$A$14,0),MATCH(Calculations!S$1,'2018_commission_structure'!$A$11:$I$11,0)),0)</f>
        <v>0</v>
      </c>
      <c r="T871" s="7">
        <f t="shared" si="122"/>
        <v>66636.350000000006</v>
      </c>
      <c r="U871" s="7">
        <f t="shared" si="123"/>
        <v>130780.35</v>
      </c>
      <c r="V871" s="7">
        <f>MIN(H871,I871)*INDEX('2018_commission_structure'!$A$5:$J$8,MATCH(Calculations!$E871,'2018_commission_structure'!$A$5:$A$8,0),MATCH(Calculations!V$1,'2018_commission_structure'!$A$5:$J$5,0))</f>
        <v>60000</v>
      </c>
      <c r="W871" s="2">
        <f>IF($H871&gt;I871,MIN($H871-I871,J871-I871)*INDEX('2018_commission_structure'!$A$5:$J$8,MATCH(Calculations!$E871,'2018_commission_structure'!$A$5:$A$8,0),MATCH(Calculations!W$1,'2018_commission_structure'!$A$5:$J$5,0)),0)</f>
        <v>18854.530000000002</v>
      </c>
      <c r="X871" s="2">
        <f>IF($H871&gt;J871,MIN($H871-J871,K871-J871)*INDEX('2018_commission_structure'!$A$5:$J$8,MATCH(Calculations!$E871,'2018_commission_structure'!$A$5:$A$8,0),MATCH(Calculations!X$1,'2018_commission_structure'!$A$5:$J$5,0)),0)</f>
        <v>0</v>
      </c>
      <c r="Y871" s="2">
        <f>IF($H871&gt;K871,MIN($H871-K871,L871-K871)*INDEX('2018_commission_structure'!$A$5:$J$8,MATCH(Calculations!$E871,'2018_commission_structure'!$A$5:$A$8,0),MATCH(Calculations!Y$1,'2018_commission_structure'!$A$5:$J$5,0)),0)</f>
        <v>0</v>
      </c>
      <c r="Z871" s="2">
        <f xml:space="preserve"> IF(H871&gt;L871,(H871-L871)*INDEX('2018_commission_structure'!$A$11:$I$14,MATCH(Calculations!$E871,'2018_commission_structure'!$A$11:$A$14,0),MATCH(Calculations!Z$1,'2018_commission_structure'!$A$11:$I$11,0)),0)</f>
        <v>0</v>
      </c>
      <c r="AA871" s="7">
        <f t="shared" si="124"/>
        <v>78854.53</v>
      </c>
      <c r="AB871" s="7">
        <f t="shared" si="125"/>
        <v>142998.53</v>
      </c>
    </row>
    <row r="872" spans="1:28" x14ac:dyDescent="0.25">
      <c r="A872">
        <v>1606657585</v>
      </c>
      <c r="B872" t="s">
        <v>559</v>
      </c>
      <c r="C872" t="s">
        <v>560</v>
      </c>
      <c r="D872" t="str">
        <f>B872&amp;" "&amp;C872</f>
        <v>Ashley Somerton</v>
      </c>
      <c r="E872" t="s">
        <v>10</v>
      </c>
      <c r="F872">
        <v>83497</v>
      </c>
      <c r="G872">
        <f>COUNTIF(deals_closed!D:D,Calculations!A872)</f>
        <v>27</v>
      </c>
      <c r="H872" s="2">
        <f>SUMIF(deals_closed!D:D,Calculations!A872,deals_closed!C:C)</f>
        <v>1065238</v>
      </c>
      <c r="I872" s="2">
        <f>VLOOKUP(E872,'2018_commission_structure'!$A$11:$I$14,9,FALSE)</f>
        <v>750000</v>
      </c>
      <c r="J872" s="2">
        <f t="shared" si="117"/>
        <v>937500</v>
      </c>
      <c r="K872" s="2">
        <f t="shared" si="118"/>
        <v>1125000</v>
      </c>
      <c r="L872" s="2">
        <f t="shared" si="119"/>
        <v>1500000</v>
      </c>
      <c r="M872" s="6">
        <f t="shared" si="120"/>
        <v>1.4203173333333334</v>
      </c>
      <c r="N872" t="str">
        <f t="shared" si="121"/>
        <v>125-150%</v>
      </c>
      <c r="O872" s="7">
        <f>MIN(I872,H872)*INDEX('2018_commission_structure'!$A$11:$I$14,MATCH(Calculations!$E872,'2018_commission_structure'!$A$11:$A$14,0),MATCH(Calculations!O$1,'2018_commission_structure'!$A$11:$I$11,0))</f>
        <v>112500</v>
      </c>
      <c r="P872" s="7">
        <f>IF($H872&gt;I872,MIN($H872-I872,J872-I872)*INDEX('2018_commission_structure'!$A$11:$I$14,MATCH(Calculations!$E872,'2018_commission_structure'!$A$11:$A$14,0), MATCH(Calculations!P$1,'2018_commission_structure'!$A$11:$I$11,0)),0)</f>
        <v>35625</v>
      </c>
      <c r="Q872" s="7">
        <f>IF($H872&gt;J872,MIN($H872-J872,K872-J872)*INDEX('2018_commission_structure'!$A$11:$I$14,MATCH(Calculations!$E872,'2018_commission_structure'!$A$11:$A$14,0), MATCH(Calculations!Q$1,'2018_commission_structure'!$A$11:$I$11,0)),0)</f>
        <v>29379.74</v>
      </c>
      <c r="R872" s="7">
        <f>IF($H872&gt;K872,MIN($H872-K872,L872-K872)*INDEX('2018_commission_structure'!$A$11:$I$14,MATCH(Calculations!$E872,'2018_commission_structure'!$A$11:$A$14,0), MATCH(Calculations!R$1,'2018_commission_structure'!$A$11:$I$11,0)),0)</f>
        <v>0</v>
      </c>
      <c r="S872" s="7">
        <f>IF(H872&gt;L872,(H872-L872)*INDEX('2018_commission_structure'!$A$11:$I$14,MATCH(Calculations!$E872,'2018_commission_structure'!$A$11:$A$14,0),MATCH(Calculations!S$1,'2018_commission_structure'!$A$11:$I$11,0)),0)</f>
        <v>0</v>
      </c>
      <c r="T872" s="7">
        <f t="shared" si="122"/>
        <v>177504.74</v>
      </c>
      <c r="U872" s="7">
        <f t="shared" si="123"/>
        <v>261001.74</v>
      </c>
      <c r="V872" s="7">
        <f>MIN(H872,I872)*INDEX('2018_commission_structure'!$A$5:$J$8,MATCH(Calculations!$E872,'2018_commission_structure'!$A$5:$A$8,0),MATCH(Calculations!V$1,'2018_commission_structure'!$A$5:$J$5,0))</f>
        <v>112500</v>
      </c>
      <c r="W872" s="2">
        <f>IF($H872&gt;I872,MIN($H872-I872,J872-I872)*INDEX('2018_commission_structure'!$A$5:$J$8,MATCH(Calculations!$E872,'2018_commission_structure'!$A$5:$A$8,0),MATCH(Calculations!W$1,'2018_commission_structure'!$A$5:$J$5,0)),0)</f>
        <v>41250</v>
      </c>
      <c r="X872" s="2">
        <f>IF($H872&gt;J872,MIN($H872-J872,K872-J872)*INDEX('2018_commission_structure'!$A$5:$J$8,MATCH(Calculations!$E872,'2018_commission_structure'!$A$5:$A$8,0),MATCH(Calculations!X$1,'2018_commission_structure'!$A$5:$J$5,0)),0)</f>
        <v>31934.5</v>
      </c>
      <c r="Y872" s="2">
        <f>IF($H872&gt;K872,MIN($H872-K872,L872-K872)*INDEX('2018_commission_structure'!$A$5:$J$8,MATCH(Calculations!$E872,'2018_commission_structure'!$A$5:$A$8,0),MATCH(Calculations!Y$1,'2018_commission_structure'!$A$5:$J$5,0)),0)</f>
        <v>0</v>
      </c>
      <c r="Z872" s="2">
        <f xml:space="preserve"> IF(H872&gt;L872,(H872-L872)*INDEX('2018_commission_structure'!$A$11:$I$14,MATCH(Calculations!$E872,'2018_commission_structure'!$A$11:$A$14,0),MATCH(Calculations!Z$1,'2018_commission_structure'!$A$11:$I$11,0)),0)</f>
        <v>0</v>
      </c>
      <c r="AA872" s="7">
        <f t="shared" si="124"/>
        <v>185684.5</v>
      </c>
      <c r="AB872" s="7">
        <f t="shared" si="125"/>
        <v>269181.5</v>
      </c>
    </row>
    <row r="873" spans="1:28" x14ac:dyDescent="0.25">
      <c r="A873">
        <v>3164004753</v>
      </c>
      <c r="B873" t="s">
        <v>1464</v>
      </c>
      <c r="C873" t="s">
        <v>1465</v>
      </c>
      <c r="D873" t="str">
        <f>B873&amp;" "&amp;C873</f>
        <v>Conny Sommerly</v>
      </c>
      <c r="E873" t="s">
        <v>7</v>
      </c>
      <c r="F873">
        <v>30622</v>
      </c>
      <c r="G873">
        <f>COUNTIF(deals_closed!D:D,Calculations!A873)</f>
        <v>28</v>
      </c>
      <c r="H873" s="2">
        <f>SUMIF(deals_closed!D:D,Calculations!A873,deals_closed!C:C)</f>
        <v>893148</v>
      </c>
      <c r="I873" s="2">
        <f>VLOOKUP(E873,'2018_commission_structure'!$A$11:$I$14,9,FALSE)</f>
        <v>500000</v>
      </c>
      <c r="J873" s="2">
        <f t="shared" si="117"/>
        <v>625000</v>
      </c>
      <c r="K873" s="2">
        <f t="shared" si="118"/>
        <v>750000</v>
      </c>
      <c r="L873" s="2">
        <f t="shared" si="119"/>
        <v>1000000</v>
      </c>
      <c r="M873" s="6">
        <f t="shared" si="120"/>
        <v>1.7862960000000001</v>
      </c>
      <c r="N873" t="str">
        <f t="shared" si="121"/>
        <v>150-200%</v>
      </c>
      <c r="O873" s="7">
        <f>MIN(I873,H873)*INDEX('2018_commission_structure'!$A$11:$I$14,MATCH(Calculations!$E873,'2018_commission_structure'!$A$11:$A$14,0),MATCH(Calculations!O$1,'2018_commission_structure'!$A$11:$I$11,0))</f>
        <v>50000</v>
      </c>
      <c r="P873" s="7">
        <f>IF($H873&gt;I873,MIN($H873-I873,J873-I873)*INDEX('2018_commission_structure'!$A$11:$I$14,MATCH(Calculations!$E873,'2018_commission_structure'!$A$11:$A$14,0), MATCH(Calculations!P$1,'2018_commission_structure'!$A$11:$I$11,0)),0)</f>
        <v>18750</v>
      </c>
      <c r="Q873" s="7">
        <f>IF($H873&gt;J873,MIN($H873-J873,K873-J873)*INDEX('2018_commission_structure'!$A$11:$I$14,MATCH(Calculations!$E873,'2018_commission_structure'!$A$11:$A$14,0), MATCH(Calculations!Q$1,'2018_commission_structure'!$A$11:$I$11,0)),0)</f>
        <v>22500</v>
      </c>
      <c r="R873" s="7">
        <f>IF($H873&gt;K873,MIN($H873-K873,L873-K873)*INDEX('2018_commission_structure'!$A$11:$I$14,MATCH(Calculations!$E873,'2018_commission_structure'!$A$11:$A$14,0), MATCH(Calculations!R$1,'2018_commission_structure'!$A$11:$I$11,0)),0)</f>
        <v>31492.560000000001</v>
      </c>
      <c r="S873" s="7">
        <f>IF(H873&gt;L873,(H873-L873)*INDEX('2018_commission_structure'!$A$11:$I$14,MATCH(Calculations!$E873,'2018_commission_structure'!$A$11:$A$14,0),MATCH(Calculations!S$1,'2018_commission_structure'!$A$11:$I$11,0)),0)</f>
        <v>0</v>
      </c>
      <c r="T873" s="7">
        <f t="shared" si="122"/>
        <v>122742.56</v>
      </c>
      <c r="U873" s="7">
        <f t="shared" si="123"/>
        <v>153364.56</v>
      </c>
      <c r="V873" s="7">
        <f>MIN(H873,I873)*INDEX('2018_commission_structure'!$A$5:$J$8,MATCH(Calculations!$E873,'2018_commission_structure'!$A$5:$A$8,0),MATCH(Calculations!V$1,'2018_commission_structure'!$A$5:$J$5,0))</f>
        <v>60000</v>
      </c>
      <c r="W873" s="2">
        <f>IF($H873&gt;I873,MIN($H873-I873,J873-I873)*INDEX('2018_commission_structure'!$A$5:$J$8,MATCH(Calculations!$E873,'2018_commission_structure'!$A$5:$A$8,0),MATCH(Calculations!W$1,'2018_commission_structure'!$A$5:$J$5,0)),0)</f>
        <v>21250</v>
      </c>
      <c r="X873" s="2">
        <f>IF($H873&gt;J873,MIN($H873-J873,K873-J873)*INDEX('2018_commission_structure'!$A$5:$J$8,MATCH(Calculations!$E873,'2018_commission_structure'!$A$5:$A$8,0),MATCH(Calculations!X$1,'2018_commission_structure'!$A$5:$J$5,0)),0)</f>
        <v>25000</v>
      </c>
      <c r="Y873" s="2">
        <f>IF($H873&gt;K873,MIN($H873-K873,L873-K873)*INDEX('2018_commission_structure'!$A$5:$J$8,MATCH(Calculations!$E873,'2018_commission_structure'!$A$5:$A$8,0),MATCH(Calculations!Y$1,'2018_commission_structure'!$A$5:$J$5,0)),0)</f>
        <v>31492.560000000001</v>
      </c>
      <c r="Z873" s="2">
        <f xml:space="preserve"> IF(H873&gt;L873,(H873-L873)*INDEX('2018_commission_structure'!$A$11:$I$14,MATCH(Calculations!$E873,'2018_commission_structure'!$A$11:$A$14,0),MATCH(Calculations!Z$1,'2018_commission_structure'!$A$11:$I$11,0)),0)</f>
        <v>0</v>
      </c>
      <c r="AA873" s="7">
        <f t="shared" si="124"/>
        <v>137742.56</v>
      </c>
      <c r="AB873" s="7">
        <f t="shared" si="125"/>
        <v>168364.56</v>
      </c>
    </row>
    <row r="874" spans="1:28" x14ac:dyDescent="0.25">
      <c r="A874">
        <v>5299481160</v>
      </c>
      <c r="B874" t="s">
        <v>658</v>
      </c>
      <c r="C874" t="s">
        <v>1845</v>
      </c>
      <c r="D874" t="str">
        <f>B874&amp;" "&amp;C874</f>
        <v>Carmelle Sothcott</v>
      </c>
      <c r="E874" t="s">
        <v>7</v>
      </c>
      <c r="F874">
        <v>49920</v>
      </c>
      <c r="G874">
        <f>COUNTIF(deals_closed!D:D,Calculations!A874)</f>
        <v>14</v>
      </c>
      <c r="H874" s="2">
        <f>SUMIF(deals_closed!D:D,Calculations!A874,deals_closed!C:C)</f>
        <v>459113</v>
      </c>
      <c r="I874" s="2">
        <f>VLOOKUP(E874,'2018_commission_structure'!$A$11:$I$14,9,FALSE)</f>
        <v>500000</v>
      </c>
      <c r="J874" s="2">
        <f t="shared" si="117"/>
        <v>625000</v>
      </c>
      <c r="K874" s="2">
        <f t="shared" si="118"/>
        <v>750000</v>
      </c>
      <c r="L874" s="2">
        <f t="shared" si="119"/>
        <v>1000000</v>
      </c>
      <c r="M874" s="6">
        <f t="shared" si="120"/>
        <v>0.91822599999999999</v>
      </c>
      <c r="N874" t="str">
        <f t="shared" si="121"/>
        <v>0-100%</v>
      </c>
      <c r="O874" s="7">
        <f>MIN(I874,H874)*INDEX('2018_commission_structure'!$A$11:$I$14,MATCH(Calculations!$E874,'2018_commission_structure'!$A$11:$A$14,0),MATCH(Calculations!O$1,'2018_commission_structure'!$A$11:$I$11,0))</f>
        <v>45911.3</v>
      </c>
      <c r="P874" s="7">
        <f>IF($H874&gt;I874,MIN($H874-I874,J874-I874)*INDEX('2018_commission_structure'!$A$11:$I$14,MATCH(Calculations!$E874,'2018_commission_structure'!$A$11:$A$14,0), MATCH(Calculations!P$1,'2018_commission_structure'!$A$11:$I$11,0)),0)</f>
        <v>0</v>
      </c>
      <c r="Q874" s="7">
        <f>IF($H874&gt;J874,MIN($H874-J874,K874-J874)*INDEX('2018_commission_structure'!$A$11:$I$14,MATCH(Calculations!$E874,'2018_commission_structure'!$A$11:$A$14,0), MATCH(Calculations!Q$1,'2018_commission_structure'!$A$11:$I$11,0)),0)</f>
        <v>0</v>
      </c>
      <c r="R874" s="7">
        <f>IF($H874&gt;K874,MIN($H874-K874,L874-K874)*INDEX('2018_commission_structure'!$A$11:$I$14,MATCH(Calculations!$E874,'2018_commission_structure'!$A$11:$A$14,0), MATCH(Calculations!R$1,'2018_commission_structure'!$A$11:$I$11,0)),0)</f>
        <v>0</v>
      </c>
      <c r="S874" s="7">
        <f>IF(H874&gt;L874,(H874-L874)*INDEX('2018_commission_structure'!$A$11:$I$14,MATCH(Calculations!$E874,'2018_commission_structure'!$A$11:$A$14,0),MATCH(Calculations!S$1,'2018_commission_structure'!$A$11:$I$11,0)),0)</f>
        <v>0</v>
      </c>
      <c r="T874" s="7">
        <f t="shared" si="122"/>
        <v>45911.3</v>
      </c>
      <c r="U874" s="7">
        <f t="shared" si="123"/>
        <v>95831.3</v>
      </c>
      <c r="V874" s="7">
        <f>MIN(H874,I874)*INDEX('2018_commission_structure'!$A$5:$J$8,MATCH(Calculations!$E874,'2018_commission_structure'!$A$5:$A$8,0),MATCH(Calculations!V$1,'2018_commission_structure'!$A$5:$J$5,0))</f>
        <v>55093.56</v>
      </c>
      <c r="W874" s="2">
        <f>IF($H874&gt;I874,MIN($H874-I874,J874-I874)*INDEX('2018_commission_structure'!$A$5:$J$8,MATCH(Calculations!$E874,'2018_commission_structure'!$A$5:$A$8,0),MATCH(Calculations!W$1,'2018_commission_structure'!$A$5:$J$5,0)),0)</f>
        <v>0</v>
      </c>
      <c r="X874" s="2">
        <f>IF($H874&gt;J874,MIN($H874-J874,K874-J874)*INDEX('2018_commission_structure'!$A$5:$J$8,MATCH(Calculations!$E874,'2018_commission_structure'!$A$5:$A$8,0),MATCH(Calculations!X$1,'2018_commission_structure'!$A$5:$J$5,0)),0)</f>
        <v>0</v>
      </c>
      <c r="Y874" s="2">
        <f>IF($H874&gt;K874,MIN($H874-K874,L874-K874)*INDEX('2018_commission_structure'!$A$5:$J$8,MATCH(Calculations!$E874,'2018_commission_structure'!$A$5:$A$8,0),MATCH(Calculations!Y$1,'2018_commission_structure'!$A$5:$J$5,0)),0)</f>
        <v>0</v>
      </c>
      <c r="Z874" s="2">
        <f xml:space="preserve"> IF(H874&gt;L874,(H874-L874)*INDEX('2018_commission_structure'!$A$11:$I$14,MATCH(Calculations!$E874,'2018_commission_structure'!$A$11:$A$14,0),MATCH(Calculations!Z$1,'2018_commission_structure'!$A$11:$I$11,0)),0)</f>
        <v>0</v>
      </c>
      <c r="AA874" s="7">
        <f t="shared" si="124"/>
        <v>55093.56</v>
      </c>
      <c r="AB874" s="7">
        <f t="shared" si="125"/>
        <v>105013.56</v>
      </c>
    </row>
    <row r="875" spans="1:28" x14ac:dyDescent="0.25">
      <c r="A875">
        <v>901154172</v>
      </c>
      <c r="B875" t="s">
        <v>1162</v>
      </c>
      <c r="C875" t="s">
        <v>1163</v>
      </c>
      <c r="D875" t="str">
        <f>B875&amp;" "&amp;C875</f>
        <v>Sherwynd Southerell</v>
      </c>
      <c r="E875" t="s">
        <v>29</v>
      </c>
      <c r="F875">
        <v>79983</v>
      </c>
      <c r="G875">
        <f>COUNTIF(deals_closed!D:D,Calculations!A875)</f>
        <v>21</v>
      </c>
      <c r="H875" s="2">
        <f>SUMIF(deals_closed!D:D,Calculations!A875,deals_closed!C:C)</f>
        <v>760550</v>
      </c>
      <c r="I875" s="2">
        <f>VLOOKUP(E875,'2018_commission_structure'!$A$11:$I$14,9,FALSE)</f>
        <v>600000</v>
      </c>
      <c r="J875" s="2">
        <f t="shared" si="117"/>
        <v>750000</v>
      </c>
      <c r="K875" s="2">
        <f t="shared" si="118"/>
        <v>900000</v>
      </c>
      <c r="L875" s="2">
        <f t="shared" si="119"/>
        <v>1200000</v>
      </c>
      <c r="M875" s="6">
        <f t="shared" si="120"/>
        <v>1.2675833333333333</v>
      </c>
      <c r="N875" t="str">
        <f t="shared" si="121"/>
        <v>125-150%</v>
      </c>
      <c r="O875" s="7">
        <f>MIN(I875,H875)*INDEX('2018_commission_structure'!$A$11:$I$14,MATCH(Calculations!$E875,'2018_commission_structure'!$A$11:$A$14,0),MATCH(Calculations!O$1,'2018_commission_structure'!$A$11:$I$11,0))</f>
        <v>78000</v>
      </c>
      <c r="P875" s="7">
        <f>IF($H875&gt;I875,MIN($H875-I875,J875-I875)*INDEX('2018_commission_structure'!$A$11:$I$14,MATCH(Calculations!$E875,'2018_commission_structure'!$A$11:$A$14,0), MATCH(Calculations!P$1,'2018_commission_structure'!$A$11:$I$11,0)),0)</f>
        <v>25500.000000000004</v>
      </c>
      <c r="Q875" s="7">
        <f>IF($H875&gt;J875,MIN($H875-J875,K875-J875)*INDEX('2018_commission_structure'!$A$11:$I$14,MATCH(Calculations!$E875,'2018_commission_structure'!$A$11:$A$14,0), MATCH(Calculations!Q$1,'2018_commission_structure'!$A$11:$I$11,0)),0)</f>
        <v>2215.5</v>
      </c>
      <c r="R875" s="7">
        <f>IF($H875&gt;K875,MIN($H875-K875,L875-K875)*INDEX('2018_commission_structure'!$A$11:$I$14,MATCH(Calculations!$E875,'2018_commission_structure'!$A$11:$A$14,0), MATCH(Calculations!R$1,'2018_commission_structure'!$A$11:$I$11,0)),0)</f>
        <v>0</v>
      </c>
      <c r="S875" s="7">
        <f>IF(H875&gt;L875,(H875-L875)*INDEX('2018_commission_structure'!$A$11:$I$14,MATCH(Calculations!$E875,'2018_commission_structure'!$A$11:$A$14,0),MATCH(Calculations!S$1,'2018_commission_structure'!$A$11:$I$11,0)),0)</f>
        <v>0</v>
      </c>
      <c r="T875" s="7">
        <f t="shared" si="122"/>
        <v>105715.5</v>
      </c>
      <c r="U875" s="7">
        <f t="shared" si="123"/>
        <v>185698.5</v>
      </c>
      <c r="V875" s="7">
        <f>MIN(H875,I875)*INDEX('2018_commission_structure'!$A$5:$J$8,MATCH(Calculations!$E875,'2018_commission_structure'!$A$5:$A$8,0),MATCH(Calculations!V$1,'2018_commission_structure'!$A$5:$J$5,0))</f>
        <v>90000</v>
      </c>
      <c r="W875" s="2">
        <f>IF($H875&gt;I875,MIN($H875-I875,J875-I875)*INDEX('2018_commission_structure'!$A$5:$J$8,MATCH(Calculations!$E875,'2018_commission_structure'!$A$5:$A$8,0),MATCH(Calculations!W$1,'2018_commission_structure'!$A$5:$J$5,0)),0)</f>
        <v>27000</v>
      </c>
      <c r="X875" s="2">
        <f>IF($H875&gt;J875,MIN($H875-J875,K875-J875)*INDEX('2018_commission_structure'!$A$5:$J$8,MATCH(Calculations!$E875,'2018_commission_structure'!$A$5:$A$8,0),MATCH(Calculations!X$1,'2018_commission_structure'!$A$5:$J$5,0)),0)</f>
        <v>2637.5</v>
      </c>
      <c r="Y875" s="2">
        <f>IF($H875&gt;K875,MIN($H875-K875,L875-K875)*INDEX('2018_commission_structure'!$A$5:$J$8,MATCH(Calculations!$E875,'2018_commission_structure'!$A$5:$A$8,0),MATCH(Calculations!Y$1,'2018_commission_structure'!$A$5:$J$5,0)),0)</f>
        <v>0</v>
      </c>
      <c r="Z875" s="2">
        <f xml:space="preserve"> IF(H875&gt;L875,(H875-L875)*INDEX('2018_commission_structure'!$A$11:$I$14,MATCH(Calculations!$E875,'2018_commission_structure'!$A$11:$A$14,0),MATCH(Calculations!Z$1,'2018_commission_structure'!$A$11:$I$11,0)),0)</f>
        <v>0</v>
      </c>
      <c r="AA875" s="7">
        <f t="shared" si="124"/>
        <v>119637.5</v>
      </c>
      <c r="AB875" s="7">
        <f t="shared" si="125"/>
        <v>199620.5</v>
      </c>
    </row>
    <row r="876" spans="1:28" x14ac:dyDescent="0.25">
      <c r="A876">
        <v>9939542542</v>
      </c>
      <c r="B876" t="s">
        <v>666</v>
      </c>
      <c r="C876" t="s">
        <v>667</v>
      </c>
      <c r="D876" t="str">
        <f>B876&amp;" "&amp;C876</f>
        <v>Shaylynn Southern</v>
      </c>
      <c r="E876" t="s">
        <v>10</v>
      </c>
      <c r="F876">
        <v>85588</v>
      </c>
      <c r="G876">
        <f>COUNTIF(deals_closed!D:D,Calculations!A876)</f>
        <v>31</v>
      </c>
      <c r="H876" s="2">
        <f>SUMIF(deals_closed!D:D,Calculations!A876,deals_closed!C:C)</f>
        <v>1280079</v>
      </c>
      <c r="I876" s="2">
        <f>VLOOKUP(E876,'2018_commission_structure'!$A$11:$I$14,9,FALSE)</f>
        <v>750000</v>
      </c>
      <c r="J876" s="2">
        <f t="shared" si="117"/>
        <v>937500</v>
      </c>
      <c r="K876" s="2">
        <f t="shared" si="118"/>
        <v>1125000</v>
      </c>
      <c r="L876" s="2">
        <f t="shared" si="119"/>
        <v>1500000</v>
      </c>
      <c r="M876" s="6">
        <f t="shared" si="120"/>
        <v>1.706772</v>
      </c>
      <c r="N876" t="str">
        <f t="shared" si="121"/>
        <v>150-200%</v>
      </c>
      <c r="O876" s="7">
        <f>MIN(I876,H876)*INDEX('2018_commission_structure'!$A$11:$I$14,MATCH(Calculations!$E876,'2018_commission_structure'!$A$11:$A$14,0),MATCH(Calculations!O$1,'2018_commission_structure'!$A$11:$I$11,0))</f>
        <v>112500</v>
      </c>
      <c r="P876" s="7">
        <f>IF($H876&gt;I876,MIN($H876-I876,J876-I876)*INDEX('2018_commission_structure'!$A$11:$I$14,MATCH(Calculations!$E876,'2018_commission_structure'!$A$11:$A$14,0), MATCH(Calculations!P$1,'2018_commission_structure'!$A$11:$I$11,0)),0)</f>
        <v>35625</v>
      </c>
      <c r="Q876" s="7">
        <f>IF($H876&gt;J876,MIN($H876-J876,K876-J876)*INDEX('2018_commission_structure'!$A$11:$I$14,MATCH(Calculations!$E876,'2018_commission_structure'!$A$11:$A$14,0), MATCH(Calculations!Q$1,'2018_commission_structure'!$A$11:$I$11,0)),0)</f>
        <v>43125</v>
      </c>
      <c r="R876" s="7">
        <f>IF($H876&gt;K876,MIN($H876-K876,L876-K876)*INDEX('2018_commission_structure'!$A$11:$I$14,MATCH(Calculations!$E876,'2018_commission_structure'!$A$11:$A$14,0), MATCH(Calculations!R$1,'2018_commission_structure'!$A$11:$I$11,0)),0)</f>
        <v>46523.7</v>
      </c>
      <c r="S876" s="7">
        <f>IF(H876&gt;L876,(H876-L876)*INDEX('2018_commission_structure'!$A$11:$I$14,MATCH(Calculations!$E876,'2018_commission_structure'!$A$11:$A$14,0),MATCH(Calculations!S$1,'2018_commission_structure'!$A$11:$I$11,0)),0)</f>
        <v>0</v>
      </c>
      <c r="T876" s="7">
        <f t="shared" si="122"/>
        <v>237773.7</v>
      </c>
      <c r="U876" s="7">
        <f t="shared" si="123"/>
        <v>323361.7</v>
      </c>
      <c r="V876" s="7">
        <f>MIN(H876,I876)*INDEX('2018_commission_structure'!$A$5:$J$8,MATCH(Calculations!$E876,'2018_commission_structure'!$A$5:$A$8,0),MATCH(Calculations!V$1,'2018_commission_structure'!$A$5:$J$5,0))</f>
        <v>112500</v>
      </c>
      <c r="W876" s="2">
        <f>IF($H876&gt;I876,MIN($H876-I876,J876-I876)*INDEX('2018_commission_structure'!$A$5:$J$8,MATCH(Calculations!$E876,'2018_commission_structure'!$A$5:$A$8,0),MATCH(Calculations!W$1,'2018_commission_structure'!$A$5:$J$5,0)),0)</f>
        <v>41250</v>
      </c>
      <c r="X876" s="2">
        <f>IF($H876&gt;J876,MIN($H876-J876,K876-J876)*INDEX('2018_commission_structure'!$A$5:$J$8,MATCH(Calculations!$E876,'2018_commission_structure'!$A$5:$A$8,0),MATCH(Calculations!X$1,'2018_commission_structure'!$A$5:$J$5,0)),0)</f>
        <v>46875</v>
      </c>
      <c r="Y876" s="2">
        <f>IF($H876&gt;K876,MIN($H876-K876,L876-K876)*INDEX('2018_commission_structure'!$A$5:$J$8,MATCH(Calculations!$E876,'2018_commission_structure'!$A$5:$A$8,0),MATCH(Calculations!Y$1,'2018_commission_structure'!$A$5:$J$5,0)),0)</f>
        <v>51176.07</v>
      </c>
      <c r="Z876" s="2">
        <f xml:space="preserve"> IF(H876&gt;L876,(H876-L876)*INDEX('2018_commission_structure'!$A$11:$I$14,MATCH(Calculations!$E876,'2018_commission_structure'!$A$11:$A$14,0),MATCH(Calculations!Z$1,'2018_commission_structure'!$A$11:$I$11,0)),0)</f>
        <v>0</v>
      </c>
      <c r="AA876" s="7">
        <f t="shared" si="124"/>
        <v>251801.07</v>
      </c>
      <c r="AB876" s="7">
        <f t="shared" si="125"/>
        <v>337389.07</v>
      </c>
    </row>
    <row r="877" spans="1:28" x14ac:dyDescent="0.25">
      <c r="A877">
        <v>4688336071</v>
      </c>
      <c r="B877" t="s">
        <v>1150</v>
      </c>
      <c r="C877" t="s">
        <v>1151</v>
      </c>
      <c r="D877" t="str">
        <f>B877&amp;" "&amp;C877</f>
        <v>Merrill Speakman</v>
      </c>
      <c r="E877" t="s">
        <v>10</v>
      </c>
      <c r="F877">
        <v>111549</v>
      </c>
      <c r="G877">
        <f>COUNTIF(deals_closed!D:D,Calculations!A877)</f>
        <v>22</v>
      </c>
      <c r="H877" s="2">
        <f>SUMIF(deals_closed!D:D,Calculations!A877,deals_closed!C:C)</f>
        <v>796327</v>
      </c>
      <c r="I877" s="2">
        <f>VLOOKUP(E877,'2018_commission_structure'!$A$11:$I$14,9,FALSE)</f>
        <v>750000</v>
      </c>
      <c r="J877" s="2">
        <f t="shared" si="117"/>
        <v>937500</v>
      </c>
      <c r="K877" s="2">
        <f t="shared" si="118"/>
        <v>1125000</v>
      </c>
      <c r="L877" s="2">
        <f t="shared" si="119"/>
        <v>1500000</v>
      </c>
      <c r="M877" s="6">
        <f t="shared" si="120"/>
        <v>1.0617693333333333</v>
      </c>
      <c r="N877" t="str">
        <f t="shared" si="121"/>
        <v>100-125%</v>
      </c>
      <c r="O877" s="7">
        <f>MIN(I877,H877)*INDEX('2018_commission_structure'!$A$11:$I$14,MATCH(Calculations!$E877,'2018_commission_structure'!$A$11:$A$14,0),MATCH(Calculations!O$1,'2018_commission_structure'!$A$11:$I$11,0))</f>
        <v>112500</v>
      </c>
      <c r="P877" s="7">
        <f>IF($H877&gt;I877,MIN($H877-I877,J877-I877)*INDEX('2018_commission_structure'!$A$11:$I$14,MATCH(Calculations!$E877,'2018_commission_structure'!$A$11:$A$14,0), MATCH(Calculations!P$1,'2018_commission_structure'!$A$11:$I$11,0)),0)</f>
        <v>8802.1299999999992</v>
      </c>
      <c r="Q877" s="7">
        <f>IF($H877&gt;J877,MIN($H877-J877,K877-J877)*INDEX('2018_commission_structure'!$A$11:$I$14,MATCH(Calculations!$E877,'2018_commission_structure'!$A$11:$A$14,0), MATCH(Calculations!Q$1,'2018_commission_structure'!$A$11:$I$11,0)),0)</f>
        <v>0</v>
      </c>
      <c r="R877" s="7">
        <f>IF($H877&gt;K877,MIN($H877-K877,L877-K877)*INDEX('2018_commission_structure'!$A$11:$I$14,MATCH(Calculations!$E877,'2018_commission_structure'!$A$11:$A$14,0), MATCH(Calculations!R$1,'2018_commission_structure'!$A$11:$I$11,0)),0)</f>
        <v>0</v>
      </c>
      <c r="S877" s="7">
        <f>IF(H877&gt;L877,(H877-L877)*INDEX('2018_commission_structure'!$A$11:$I$14,MATCH(Calculations!$E877,'2018_commission_structure'!$A$11:$A$14,0),MATCH(Calculations!S$1,'2018_commission_structure'!$A$11:$I$11,0)),0)</f>
        <v>0</v>
      </c>
      <c r="T877" s="7">
        <f t="shared" si="122"/>
        <v>121302.13</v>
      </c>
      <c r="U877" s="7">
        <f t="shared" si="123"/>
        <v>232851.13</v>
      </c>
      <c r="V877" s="7">
        <f>MIN(H877,I877)*INDEX('2018_commission_structure'!$A$5:$J$8,MATCH(Calculations!$E877,'2018_commission_structure'!$A$5:$A$8,0),MATCH(Calculations!V$1,'2018_commission_structure'!$A$5:$J$5,0))</f>
        <v>112500</v>
      </c>
      <c r="W877" s="2">
        <f>IF($H877&gt;I877,MIN($H877-I877,J877-I877)*INDEX('2018_commission_structure'!$A$5:$J$8,MATCH(Calculations!$E877,'2018_commission_structure'!$A$5:$A$8,0),MATCH(Calculations!W$1,'2018_commission_structure'!$A$5:$J$5,0)),0)</f>
        <v>10191.94</v>
      </c>
      <c r="X877" s="2">
        <f>IF($H877&gt;J877,MIN($H877-J877,K877-J877)*INDEX('2018_commission_structure'!$A$5:$J$8,MATCH(Calculations!$E877,'2018_commission_structure'!$A$5:$A$8,0),MATCH(Calculations!X$1,'2018_commission_structure'!$A$5:$J$5,0)),0)</f>
        <v>0</v>
      </c>
      <c r="Y877" s="2">
        <f>IF($H877&gt;K877,MIN($H877-K877,L877-K877)*INDEX('2018_commission_structure'!$A$5:$J$8,MATCH(Calculations!$E877,'2018_commission_structure'!$A$5:$A$8,0),MATCH(Calculations!Y$1,'2018_commission_structure'!$A$5:$J$5,0)),0)</f>
        <v>0</v>
      </c>
      <c r="Z877" s="2">
        <f xml:space="preserve"> IF(H877&gt;L877,(H877-L877)*INDEX('2018_commission_structure'!$A$11:$I$14,MATCH(Calculations!$E877,'2018_commission_structure'!$A$11:$A$14,0),MATCH(Calculations!Z$1,'2018_commission_structure'!$A$11:$I$11,0)),0)</f>
        <v>0</v>
      </c>
      <c r="AA877" s="7">
        <f t="shared" si="124"/>
        <v>122691.94</v>
      </c>
      <c r="AB877" s="7">
        <f t="shared" si="125"/>
        <v>234240.94</v>
      </c>
    </row>
    <row r="878" spans="1:28" x14ac:dyDescent="0.25">
      <c r="A878">
        <v>9958099322</v>
      </c>
      <c r="B878" t="s">
        <v>83</v>
      </c>
      <c r="C878" t="s">
        <v>84</v>
      </c>
      <c r="D878" t="str">
        <f>B878&amp;" "&amp;C878</f>
        <v>Robinette Speller</v>
      </c>
      <c r="E878" t="s">
        <v>29</v>
      </c>
      <c r="F878">
        <v>77249</v>
      </c>
      <c r="G878">
        <f>COUNTIF(deals_closed!D:D,Calculations!A878)</f>
        <v>21</v>
      </c>
      <c r="H878" s="2">
        <f>SUMIF(deals_closed!D:D,Calculations!A878,deals_closed!C:C)</f>
        <v>734340</v>
      </c>
      <c r="I878" s="2">
        <f>VLOOKUP(E878,'2018_commission_structure'!$A$11:$I$14,9,FALSE)</f>
        <v>600000</v>
      </c>
      <c r="J878" s="2">
        <f t="shared" si="117"/>
        <v>750000</v>
      </c>
      <c r="K878" s="2">
        <f t="shared" si="118"/>
        <v>900000</v>
      </c>
      <c r="L878" s="2">
        <f t="shared" si="119"/>
        <v>1200000</v>
      </c>
      <c r="M878" s="6">
        <f t="shared" si="120"/>
        <v>1.2239</v>
      </c>
      <c r="N878" t="str">
        <f t="shared" si="121"/>
        <v>100-125%</v>
      </c>
      <c r="O878" s="7">
        <f>MIN(I878,H878)*INDEX('2018_commission_structure'!$A$11:$I$14,MATCH(Calculations!$E878,'2018_commission_structure'!$A$11:$A$14,0),MATCH(Calculations!O$1,'2018_commission_structure'!$A$11:$I$11,0))</f>
        <v>78000</v>
      </c>
      <c r="P878" s="7">
        <f>IF($H878&gt;I878,MIN($H878-I878,J878-I878)*INDEX('2018_commission_structure'!$A$11:$I$14,MATCH(Calculations!$E878,'2018_commission_structure'!$A$11:$A$14,0), MATCH(Calculations!P$1,'2018_commission_structure'!$A$11:$I$11,0)),0)</f>
        <v>22837.800000000003</v>
      </c>
      <c r="Q878" s="7">
        <f>IF($H878&gt;J878,MIN($H878-J878,K878-J878)*INDEX('2018_commission_structure'!$A$11:$I$14,MATCH(Calculations!$E878,'2018_commission_structure'!$A$11:$A$14,0), MATCH(Calculations!Q$1,'2018_commission_structure'!$A$11:$I$11,0)),0)</f>
        <v>0</v>
      </c>
      <c r="R878" s="7">
        <f>IF($H878&gt;K878,MIN($H878-K878,L878-K878)*INDEX('2018_commission_structure'!$A$11:$I$14,MATCH(Calculations!$E878,'2018_commission_structure'!$A$11:$A$14,0), MATCH(Calculations!R$1,'2018_commission_structure'!$A$11:$I$11,0)),0)</f>
        <v>0</v>
      </c>
      <c r="S878" s="7">
        <f>IF(H878&gt;L878,(H878-L878)*INDEX('2018_commission_structure'!$A$11:$I$14,MATCH(Calculations!$E878,'2018_commission_structure'!$A$11:$A$14,0),MATCH(Calculations!S$1,'2018_commission_structure'!$A$11:$I$11,0)),0)</f>
        <v>0</v>
      </c>
      <c r="T878" s="7">
        <f t="shared" si="122"/>
        <v>100837.8</v>
      </c>
      <c r="U878" s="7">
        <f t="shared" si="123"/>
        <v>178086.8</v>
      </c>
      <c r="V878" s="7">
        <f>MIN(H878,I878)*INDEX('2018_commission_structure'!$A$5:$J$8,MATCH(Calculations!$E878,'2018_commission_structure'!$A$5:$A$8,0),MATCH(Calculations!V$1,'2018_commission_structure'!$A$5:$J$5,0))</f>
        <v>90000</v>
      </c>
      <c r="W878" s="2">
        <f>IF($H878&gt;I878,MIN($H878-I878,J878-I878)*INDEX('2018_commission_structure'!$A$5:$J$8,MATCH(Calculations!$E878,'2018_commission_structure'!$A$5:$A$8,0),MATCH(Calculations!W$1,'2018_commission_structure'!$A$5:$J$5,0)),0)</f>
        <v>24181.200000000001</v>
      </c>
      <c r="X878" s="2">
        <f>IF($H878&gt;J878,MIN($H878-J878,K878-J878)*INDEX('2018_commission_structure'!$A$5:$J$8,MATCH(Calculations!$E878,'2018_commission_structure'!$A$5:$A$8,0),MATCH(Calculations!X$1,'2018_commission_structure'!$A$5:$J$5,0)),0)</f>
        <v>0</v>
      </c>
      <c r="Y878" s="2">
        <f>IF($H878&gt;K878,MIN($H878-K878,L878-K878)*INDEX('2018_commission_structure'!$A$5:$J$8,MATCH(Calculations!$E878,'2018_commission_structure'!$A$5:$A$8,0),MATCH(Calculations!Y$1,'2018_commission_structure'!$A$5:$J$5,0)),0)</f>
        <v>0</v>
      </c>
      <c r="Z878" s="2">
        <f xml:space="preserve"> IF(H878&gt;L878,(H878-L878)*INDEX('2018_commission_structure'!$A$11:$I$14,MATCH(Calculations!$E878,'2018_commission_structure'!$A$11:$A$14,0),MATCH(Calculations!Z$1,'2018_commission_structure'!$A$11:$I$11,0)),0)</f>
        <v>0</v>
      </c>
      <c r="AA878" s="7">
        <f t="shared" si="124"/>
        <v>114181.2</v>
      </c>
      <c r="AB878" s="7">
        <f t="shared" si="125"/>
        <v>191430.2</v>
      </c>
    </row>
    <row r="879" spans="1:28" x14ac:dyDescent="0.25">
      <c r="A879">
        <v>232367817</v>
      </c>
      <c r="B879" t="s">
        <v>1182</v>
      </c>
      <c r="C879" t="s">
        <v>1183</v>
      </c>
      <c r="D879" t="str">
        <f>B879&amp;" "&amp;C879</f>
        <v>Monty Spellward</v>
      </c>
      <c r="E879" t="s">
        <v>10</v>
      </c>
      <c r="F879">
        <v>83247</v>
      </c>
      <c r="G879">
        <f>COUNTIF(deals_closed!D:D,Calculations!A879)</f>
        <v>21</v>
      </c>
      <c r="H879" s="2">
        <f>SUMIF(deals_closed!D:D,Calculations!A879,deals_closed!C:C)</f>
        <v>731557</v>
      </c>
      <c r="I879" s="2">
        <f>VLOOKUP(E879,'2018_commission_structure'!$A$11:$I$14,9,FALSE)</f>
        <v>750000</v>
      </c>
      <c r="J879" s="2">
        <f t="shared" si="117"/>
        <v>937500</v>
      </c>
      <c r="K879" s="2">
        <f t="shared" si="118"/>
        <v>1125000</v>
      </c>
      <c r="L879" s="2">
        <f t="shared" si="119"/>
        <v>1500000</v>
      </c>
      <c r="M879" s="6">
        <f t="shared" si="120"/>
        <v>0.97540933333333335</v>
      </c>
      <c r="N879" t="str">
        <f t="shared" si="121"/>
        <v>0-100%</v>
      </c>
      <c r="O879" s="7">
        <f>MIN(I879,H879)*INDEX('2018_commission_structure'!$A$11:$I$14,MATCH(Calculations!$E879,'2018_commission_structure'!$A$11:$A$14,0),MATCH(Calculations!O$1,'2018_commission_structure'!$A$11:$I$11,0))</f>
        <v>109733.55</v>
      </c>
      <c r="P879" s="7">
        <f>IF($H879&gt;I879,MIN($H879-I879,J879-I879)*INDEX('2018_commission_structure'!$A$11:$I$14,MATCH(Calculations!$E879,'2018_commission_structure'!$A$11:$A$14,0), MATCH(Calculations!P$1,'2018_commission_structure'!$A$11:$I$11,0)),0)</f>
        <v>0</v>
      </c>
      <c r="Q879" s="7">
        <f>IF($H879&gt;J879,MIN($H879-J879,K879-J879)*INDEX('2018_commission_structure'!$A$11:$I$14,MATCH(Calculations!$E879,'2018_commission_structure'!$A$11:$A$14,0), MATCH(Calculations!Q$1,'2018_commission_structure'!$A$11:$I$11,0)),0)</f>
        <v>0</v>
      </c>
      <c r="R879" s="7">
        <f>IF($H879&gt;K879,MIN($H879-K879,L879-K879)*INDEX('2018_commission_structure'!$A$11:$I$14,MATCH(Calculations!$E879,'2018_commission_structure'!$A$11:$A$14,0), MATCH(Calculations!R$1,'2018_commission_structure'!$A$11:$I$11,0)),0)</f>
        <v>0</v>
      </c>
      <c r="S879" s="7">
        <f>IF(H879&gt;L879,(H879-L879)*INDEX('2018_commission_structure'!$A$11:$I$14,MATCH(Calculations!$E879,'2018_commission_structure'!$A$11:$A$14,0),MATCH(Calculations!S$1,'2018_commission_structure'!$A$11:$I$11,0)),0)</f>
        <v>0</v>
      </c>
      <c r="T879" s="7">
        <f t="shared" si="122"/>
        <v>109733.55</v>
      </c>
      <c r="U879" s="7">
        <f t="shared" si="123"/>
        <v>192980.55</v>
      </c>
      <c r="V879" s="7">
        <f>MIN(H879,I879)*INDEX('2018_commission_structure'!$A$5:$J$8,MATCH(Calculations!$E879,'2018_commission_structure'!$A$5:$A$8,0),MATCH(Calculations!V$1,'2018_commission_structure'!$A$5:$J$5,0))</f>
        <v>109733.55</v>
      </c>
      <c r="W879" s="2">
        <f>IF($H879&gt;I879,MIN($H879-I879,J879-I879)*INDEX('2018_commission_structure'!$A$5:$J$8,MATCH(Calculations!$E879,'2018_commission_structure'!$A$5:$A$8,0),MATCH(Calculations!W$1,'2018_commission_structure'!$A$5:$J$5,0)),0)</f>
        <v>0</v>
      </c>
      <c r="X879" s="2">
        <f>IF($H879&gt;J879,MIN($H879-J879,K879-J879)*INDEX('2018_commission_structure'!$A$5:$J$8,MATCH(Calculations!$E879,'2018_commission_structure'!$A$5:$A$8,0),MATCH(Calculations!X$1,'2018_commission_structure'!$A$5:$J$5,0)),0)</f>
        <v>0</v>
      </c>
      <c r="Y879" s="2">
        <f>IF($H879&gt;K879,MIN($H879-K879,L879-K879)*INDEX('2018_commission_structure'!$A$5:$J$8,MATCH(Calculations!$E879,'2018_commission_structure'!$A$5:$A$8,0),MATCH(Calculations!Y$1,'2018_commission_structure'!$A$5:$J$5,0)),0)</f>
        <v>0</v>
      </c>
      <c r="Z879" s="2">
        <f xml:space="preserve"> IF(H879&gt;L879,(H879-L879)*INDEX('2018_commission_structure'!$A$11:$I$14,MATCH(Calculations!$E879,'2018_commission_structure'!$A$11:$A$14,0),MATCH(Calculations!Z$1,'2018_commission_structure'!$A$11:$I$11,0)),0)</f>
        <v>0</v>
      </c>
      <c r="AA879" s="7">
        <f t="shared" si="124"/>
        <v>109733.55</v>
      </c>
      <c r="AB879" s="7">
        <f t="shared" si="125"/>
        <v>192980.55</v>
      </c>
    </row>
    <row r="880" spans="1:28" x14ac:dyDescent="0.25">
      <c r="A880">
        <v>4852897158</v>
      </c>
      <c r="B880" t="s">
        <v>1765</v>
      </c>
      <c r="C880" t="s">
        <v>1766</v>
      </c>
      <c r="D880" t="str">
        <f>B880&amp;" "&amp;C880</f>
        <v>Ransell Spira</v>
      </c>
      <c r="E880" t="s">
        <v>10</v>
      </c>
      <c r="F880">
        <v>86963</v>
      </c>
      <c r="G880">
        <f>COUNTIF(deals_closed!D:D,Calculations!A880)</f>
        <v>14</v>
      </c>
      <c r="H880" s="2">
        <f>SUMIF(deals_closed!D:D,Calculations!A880,deals_closed!C:C)</f>
        <v>548004</v>
      </c>
      <c r="I880" s="2">
        <f>VLOOKUP(E880,'2018_commission_structure'!$A$11:$I$14,9,FALSE)</f>
        <v>750000</v>
      </c>
      <c r="J880" s="2">
        <f t="shared" si="117"/>
        <v>937500</v>
      </c>
      <c r="K880" s="2">
        <f t="shared" si="118"/>
        <v>1125000</v>
      </c>
      <c r="L880" s="2">
        <f t="shared" si="119"/>
        <v>1500000</v>
      </c>
      <c r="M880" s="6">
        <f t="shared" si="120"/>
        <v>0.73067199999999999</v>
      </c>
      <c r="N880" t="str">
        <f t="shared" si="121"/>
        <v>0-100%</v>
      </c>
      <c r="O880" s="7">
        <f>MIN(I880,H880)*INDEX('2018_commission_structure'!$A$11:$I$14,MATCH(Calculations!$E880,'2018_commission_structure'!$A$11:$A$14,0),MATCH(Calculations!O$1,'2018_commission_structure'!$A$11:$I$11,0))</f>
        <v>82200.599999999991</v>
      </c>
      <c r="P880" s="7">
        <f>IF($H880&gt;I880,MIN($H880-I880,J880-I880)*INDEX('2018_commission_structure'!$A$11:$I$14,MATCH(Calculations!$E880,'2018_commission_structure'!$A$11:$A$14,0), MATCH(Calculations!P$1,'2018_commission_structure'!$A$11:$I$11,0)),0)</f>
        <v>0</v>
      </c>
      <c r="Q880" s="7">
        <f>IF($H880&gt;J880,MIN($H880-J880,K880-J880)*INDEX('2018_commission_structure'!$A$11:$I$14,MATCH(Calculations!$E880,'2018_commission_structure'!$A$11:$A$14,0), MATCH(Calculations!Q$1,'2018_commission_structure'!$A$11:$I$11,0)),0)</f>
        <v>0</v>
      </c>
      <c r="R880" s="7">
        <f>IF($H880&gt;K880,MIN($H880-K880,L880-K880)*INDEX('2018_commission_structure'!$A$11:$I$14,MATCH(Calculations!$E880,'2018_commission_structure'!$A$11:$A$14,0), MATCH(Calculations!R$1,'2018_commission_structure'!$A$11:$I$11,0)),0)</f>
        <v>0</v>
      </c>
      <c r="S880" s="7">
        <f>IF(H880&gt;L880,(H880-L880)*INDEX('2018_commission_structure'!$A$11:$I$14,MATCH(Calculations!$E880,'2018_commission_structure'!$A$11:$A$14,0),MATCH(Calculations!S$1,'2018_commission_structure'!$A$11:$I$11,0)),0)</f>
        <v>0</v>
      </c>
      <c r="T880" s="7">
        <f t="shared" si="122"/>
        <v>82200.599999999991</v>
      </c>
      <c r="U880" s="7">
        <f t="shared" si="123"/>
        <v>169163.59999999998</v>
      </c>
      <c r="V880" s="7">
        <f>MIN(H880,I880)*INDEX('2018_commission_structure'!$A$5:$J$8,MATCH(Calculations!$E880,'2018_commission_structure'!$A$5:$A$8,0),MATCH(Calculations!V$1,'2018_commission_structure'!$A$5:$J$5,0))</f>
        <v>82200.599999999991</v>
      </c>
      <c r="W880" s="2">
        <f>IF($H880&gt;I880,MIN($H880-I880,J880-I880)*INDEX('2018_commission_structure'!$A$5:$J$8,MATCH(Calculations!$E880,'2018_commission_structure'!$A$5:$A$8,0),MATCH(Calculations!W$1,'2018_commission_structure'!$A$5:$J$5,0)),0)</f>
        <v>0</v>
      </c>
      <c r="X880" s="2">
        <f>IF($H880&gt;J880,MIN($H880-J880,K880-J880)*INDEX('2018_commission_structure'!$A$5:$J$8,MATCH(Calculations!$E880,'2018_commission_structure'!$A$5:$A$8,0),MATCH(Calculations!X$1,'2018_commission_structure'!$A$5:$J$5,0)),0)</f>
        <v>0</v>
      </c>
      <c r="Y880" s="2">
        <f>IF($H880&gt;K880,MIN($H880-K880,L880-K880)*INDEX('2018_commission_structure'!$A$5:$J$8,MATCH(Calculations!$E880,'2018_commission_structure'!$A$5:$A$8,0),MATCH(Calculations!Y$1,'2018_commission_structure'!$A$5:$J$5,0)),0)</f>
        <v>0</v>
      </c>
      <c r="Z880" s="2">
        <f xml:space="preserve"> IF(H880&gt;L880,(H880-L880)*INDEX('2018_commission_structure'!$A$11:$I$14,MATCH(Calculations!$E880,'2018_commission_structure'!$A$11:$A$14,0),MATCH(Calculations!Z$1,'2018_commission_structure'!$A$11:$I$11,0)),0)</f>
        <v>0</v>
      </c>
      <c r="AA880" s="7">
        <f t="shared" si="124"/>
        <v>82200.599999999991</v>
      </c>
      <c r="AB880" s="7">
        <f t="shared" si="125"/>
        <v>169163.59999999998</v>
      </c>
    </row>
    <row r="881" spans="1:28" x14ac:dyDescent="0.25">
      <c r="A881">
        <v>1489889981</v>
      </c>
      <c r="B881" t="s">
        <v>807</v>
      </c>
      <c r="C881" t="s">
        <v>808</v>
      </c>
      <c r="D881" t="str">
        <f>B881&amp;" "&amp;C881</f>
        <v>Christye Spraging</v>
      </c>
      <c r="E881" t="s">
        <v>10</v>
      </c>
      <c r="F881">
        <v>108981</v>
      </c>
      <c r="G881">
        <f>COUNTIF(deals_closed!D:D,Calculations!A881)</f>
        <v>14</v>
      </c>
      <c r="H881" s="2">
        <f>SUMIF(deals_closed!D:D,Calculations!A881,deals_closed!C:C)</f>
        <v>449442</v>
      </c>
      <c r="I881" s="2">
        <f>VLOOKUP(E881,'2018_commission_structure'!$A$11:$I$14,9,FALSE)</f>
        <v>750000</v>
      </c>
      <c r="J881" s="2">
        <f t="shared" si="117"/>
        <v>937500</v>
      </c>
      <c r="K881" s="2">
        <f t="shared" si="118"/>
        <v>1125000</v>
      </c>
      <c r="L881" s="2">
        <f t="shared" si="119"/>
        <v>1500000</v>
      </c>
      <c r="M881" s="6">
        <f t="shared" si="120"/>
        <v>0.59925600000000001</v>
      </c>
      <c r="N881" t="str">
        <f t="shared" si="121"/>
        <v>0-100%</v>
      </c>
      <c r="O881" s="7">
        <f>MIN(I881,H881)*INDEX('2018_commission_structure'!$A$11:$I$14,MATCH(Calculations!$E881,'2018_commission_structure'!$A$11:$A$14,0),MATCH(Calculations!O$1,'2018_commission_structure'!$A$11:$I$11,0))</f>
        <v>67416.3</v>
      </c>
      <c r="P881" s="7">
        <f>IF($H881&gt;I881,MIN($H881-I881,J881-I881)*INDEX('2018_commission_structure'!$A$11:$I$14,MATCH(Calculations!$E881,'2018_commission_structure'!$A$11:$A$14,0), MATCH(Calculations!P$1,'2018_commission_structure'!$A$11:$I$11,0)),0)</f>
        <v>0</v>
      </c>
      <c r="Q881" s="7">
        <f>IF($H881&gt;J881,MIN($H881-J881,K881-J881)*INDEX('2018_commission_structure'!$A$11:$I$14,MATCH(Calculations!$E881,'2018_commission_structure'!$A$11:$A$14,0), MATCH(Calculations!Q$1,'2018_commission_structure'!$A$11:$I$11,0)),0)</f>
        <v>0</v>
      </c>
      <c r="R881" s="7">
        <f>IF($H881&gt;K881,MIN($H881-K881,L881-K881)*INDEX('2018_commission_structure'!$A$11:$I$14,MATCH(Calculations!$E881,'2018_commission_structure'!$A$11:$A$14,0), MATCH(Calculations!R$1,'2018_commission_structure'!$A$11:$I$11,0)),0)</f>
        <v>0</v>
      </c>
      <c r="S881" s="7">
        <f>IF(H881&gt;L881,(H881-L881)*INDEX('2018_commission_structure'!$A$11:$I$14,MATCH(Calculations!$E881,'2018_commission_structure'!$A$11:$A$14,0),MATCH(Calculations!S$1,'2018_commission_structure'!$A$11:$I$11,0)),0)</f>
        <v>0</v>
      </c>
      <c r="T881" s="7">
        <f t="shared" si="122"/>
        <v>67416.3</v>
      </c>
      <c r="U881" s="7">
        <f t="shared" si="123"/>
        <v>176397.3</v>
      </c>
      <c r="V881" s="7">
        <f>MIN(H881,I881)*INDEX('2018_commission_structure'!$A$5:$J$8,MATCH(Calculations!$E881,'2018_commission_structure'!$A$5:$A$8,0),MATCH(Calculations!V$1,'2018_commission_structure'!$A$5:$J$5,0))</f>
        <v>67416.3</v>
      </c>
      <c r="W881" s="2">
        <f>IF($H881&gt;I881,MIN($H881-I881,J881-I881)*INDEX('2018_commission_structure'!$A$5:$J$8,MATCH(Calculations!$E881,'2018_commission_structure'!$A$5:$A$8,0),MATCH(Calculations!W$1,'2018_commission_structure'!$A$5:$J$5,0)),0)</f>
        <v>0</v>
      </c>
      <c r="X881" s="2">
        <f>IF($H881&gt;J881,MIN($H881-J881,K881-J881)*INDEX('2018_commission_structure'!$A$5:$J$8,MATCH(Calculations!$E881,'2018_commission_structure'!$A$5:$A$8,0),MATCH(Calculations!X$1,'2018_commission_structure'!$A$5:$J$5,0)),0)</f>
        <v>0</v>
      </c>
      <c r="Y881" s="2">
        <f>IF($H881&gt;K881,MIN($H881-K881,L881-K881)*INDEX('2018_commission_structure'!$A$5:$J$8,MATCH(Calculations!$E881,'2018_commission_structure'!$A$5:$A$8,0),MATCH(Calculations!Y$1,'2018_commission_structure'!$A$5:$J$5,0)),0)</f>
        <v>0</v>
      </c>
      <c r="Z881" s="2">
        <f xml:space="preserve"> IF(H881&gt;L881,(H881-L881)*INDEX('2018_commission_structure'!$A$11:$I$14,MATCH(Calculations!$E881,'2018_commission_structure'!$A$11:$A$14,0),MATCH(Calculations!Z$1,'2018_commission_structure'!$A$11:$I$11,0)),0)</f>
        <v>0</v>
      </c>
      <c r="AA881" s="7">
        <f t="shared" si="124"/>
        <v>67416.3</v>
      </c>
      <c r="AB881" s="7">
        <f t="shared" si="125"/>
        <v>176397.3</v>
      </c>
    </row>
    <row r="882" spans="1:28" x14ac:dyDescent="0.25">
      <c r="A882">
        <v>4823073274</v>
      </c>
      <c r="B882" t="s">
        <v>103</v>
      </c>
      <c r="C882" t="s">
        <v>104</v>
      </c>
      <c r="D882" t="str">
        <f>B882&amp;" "&amp;C882</f>
        <v>Shanan St Clair</v>
      </c>
      <c r="E882" t="s">
        <v>7</v>
      </c>
      <c r="F882">
        <v>62323</v>
      </c>
      <c r="G882">
        <f>COUNTIF(deals_closed!D:D,Calculations!A882)</f>
        <v>16</v>
      </c>
      <c r="H882" s="2">
        <f>SUMIF(deals_closed!D:D,Calculations!A882,deals_closed!C:C)</f>
        <v>625171</v>
      </c>
      <c r="I882" s="2">
        <f>VLOOKUP(E882,'2018_commission_structure'!$A$11:$I$14,9,FALSE)</f>
        <v>500000</v>
      </c>
      <c r="J882" s="2">
        <f t="shared" si="117"/>
        <v>625000</v>
      </c>
      <c r="K882" s="2">
        <f t="shared" si="118"/>
        <v>750000</v>
      </c>
      <c r="L882" s="2">
        <f t="shared" si="119"/>
        <v>1000000</v>
      </c>
      <c r="M882" s="6">
        <f t="shared" si="120"/>
        <v>1.2503420000000001</v>
      </c>
      <c r="N882" t="str">
        <f t="shared" si="121"/>
        <v>125-150%</v>
      </c>
      <c r="O882" s="7">
        <f>MIN(I882,H882)*INDEX('2018_commission_structure'!$A$11:$I$14,MATCH(Calculations!$E882,'2018_commission_structure'!$A$11:$A$14,0),MATCH(Calculations!O$1,'2018_commission_structure'!$A$11:$I$11,0))</f>
        <v>50000</v>
      </c>
      <c r="P882" s="7">
        <f>IF($H882&gt;I882,MIN($H882-I882,J882-I882)*INDEX('2018_commission_structure'!$A$11:$I$14,MATCH(Calculations!$E882,'2018_commission_structure'!$A$11:$A$14,0), MATCH(Calculations!P$1,'2018_commission_structure'!$A$11:$I$11,0)),0)</f>
        <v>18750</v>
      </c>
      <c r="Q882" s="7">
        <f>IF($H882&gt;J882,MIN($H882-J882,K882-J882)*INDEX('2018_commission_structure'!$A$11:$I$14,MATCH(Calculations!$E882,'2018_commission_structure'!$A$11:$A$14,0), MATCH(Calculations!Q$1,'2018_commission_structure'!$A$11:$I$11,0)),0)</f>
        <v>30.779999999999998</v>
      </c>
      <c r="R882" s="7">
        <f>IF($H882&gt;K882,MIN($H882-K882,L882-K882)*INDEX('2018_commission_structure'!$A$11:$I$14,MATCH(Calculations!$E882,'2018_commission_structure'!$A$11:$A$14,0), MATCH(Calculations!R$1,'2018_commission_structure'!$A$11:$I$11,0)),0)</f>
        <v>0</v>
      </c>
      <c r="S882" s="7">
        <f>IF(H882&gt;L882,(H882-L882)*INDEX('2018_commission_structure'!$A$11:$I$14,MATCH(Calculations!$E882,'2018_commission_structure'!$A$11:$A$14,0),MATCH(Calculations!S$1,'2018_commission_structure'!$A$11:$I$11,0)),0)</f>
        <v>0</v>
      </c>
      <c r="T882" s="7">
        <f t="shared" si="122"/>
        <v>68780.78</v>
      </c>
      <c r="U882" s="7">
        <f t="shared" si="123"/>
        <v>131103.78</v>
      </c>
      <c r="V882" s="7">
        <f>MIN(H882,I882)*INDEX('2018_commission_structure'!$A$5:$J$8,MATCH(Calculations!$E882,'2018_commission_structure'!$A$5:$A$8,0),MATCH(Calculations!V$1,'2018_commission_structure'!$A$5:$J$5,0))</f>
        <v>60000</v>
      </c>
      <c r="W882" s="2">
        <f>IF($H882&gt;I882,MIN($H882-I882,J882-I882)*INDEX('2018_commission_structure'!$A$5:$J$8,MATCH(Calculations!$E882,'2018_commission_structure'!$A$5:$A$8,0),MATCH(Calculations!W$1,'2018_commission_structure'!$A$5:$J$5,0)),0)</f>
        <v>21250</v>
      </c>
      <c r="X882" s="2">
        <f>IF($H882&gt;J882,MIN($H882-J882,K882-J882)*INDEX('2018_commission_structure'!$A$5:$J$8,MATCH(Calculations!$E882,'2018_commission_structure'!$A$5:$A$8,0),MATCH(Calculations!X$1,'2018_commission_structure'!$A$5:$J$5,0)),0)</f>
        <v>34.200000000000003</v>
      </c>
      <c r="Y882" s="2">
        <f>IF($H882&gt;K882,MIN($H882-K882,L882-K882)*INDEX('2018_commission_structure'!$A$5:$J$8,MATCH(Calculations!$E882,'2018_commission_structure'!$A$5:$A$8,0),MATCH(Calculations!Y$1,'2018_commission_structure'!$A$5:$J$5,0)),0)</f>
        <v>0</v>
      </c>
      <c r="Z882" s="2">
        <f xml:space="preserve"> IF(H882&gt;L882,(H882-L882)*INDEX('2018_commission_structure'!$A$11:$I$14,MATCH(Calculations!$E882,'2018_commission_structure'!$A$11:$A$14,0),MATCH(Calculations!Z$1,'2018_commission_structure'!$A$11:$I$11,0)),0)</f>
        <v>0</v>
      </c>
      <c r="AA882" s="7">
        <f t="shared" si="124"/>
        <v>81284.2</v>
      </c>
      <c r="AB882" s="7">
        <f t="shared" si="125"/>
        <v>143607.20000000001</v>
      </c>
    </row>
    <row r="883" spans="1:28" x14ac:dyDescent="0.25">
      <c r="A883">
        <v>9491257560</v>
      </c>
      <c r="B883" t="s">
        <v>1870</v>
      </c>
      <c r="C883" t="s">
        <v>1871</v>
      </c>
      <c r="D883" t="str">
        <f>B883&amp;" "&amp;C883</f>
        <v>Xymenes Stallard</v>
      </c>
      <c r="E883" t="s">
        <v>29</v>
      </c>
      <c r="F883">
        <v>66363</v>
      </c>
      <c r="G883">
        <f>COUNTIF(deals_closed!D:D,Calculations!A883)</f>
        <v>24</v>
      </c>
      <c r="H883" s="2">
        <f>SUMIF(deals_closed!D:D,Calculations!A883,deals_closed!C:C)</f>
        <v>862004</v>
      </c>
      <c r="I883" s="2">
        <f>VLOOKUP(E883,'2018_commission_structure'!$A$11:$I$14,9,FALSE)</f>
        <v>600000</v>
      </c>
      <c r="J883" s="2">
        <f t="shared" si="117"/>
        <v>750000</v>
      </c>
      <c r="K883" s="2">
        <f t="shared" si="118"/>
        <v>900000</v>
      </c>
      <c r="L883" s="2">
        <f t="shared" si="119"/>
        <v>1200000</v>
      </c>
      <c r="M883" s="6">
        <f t="shared" si="120"/>
        <v>1.4366733333333332</v>
      </c>
      <c r="N883" t="str">
        <f t="shared" si="121"/>
        <v>125-150%</v>
      </c>
      <c r="O883" s="7">
        <f>MIN(I883,H883)*INDEX('2018_commission_structure'!$A$11:$I$14,MATCH(Calculations!$E883,'2018_commission_structure'!$A$11:$A$14,0),MATCH(Calculations!O$1,'2018_commission_structure'!$A$11:$I$11,0))</f>
        <v>78000</v>
      </c>
      <c r="P883" s="7">
        <f>IF($H883&gt;I883,MIN($H883-I883,J883-I883)*INDEX('2018_commission_structure'!$A$11:$I$14,MATCH(Calculations!$E883,'2018_commission_structure'!$A$11:$A$14,0), MATCH(Calculations!P$1,'2018_commission_structure'!$A$11:$I$11,0)),0)</f>
        <v>25500.000000000004</v>
      </c>
      <c r="Q883" s="7">
        <f>IF($H883&gt;J883,MIN($H883-J883,K883-J883)*INDEX('2018_commission_structure'!$A$11:$I$14,MATCH(Calculations!$E883,'2018_commission_structure'!$A$11:$A$14,0), MATCH(Calculations!Q$1,'2018_commission_structure'!$A$11:$I$11,0)),0)</f>
        <v>23520.84</v>
      </c>
      <c r="R883" s="7">
        <f>IF($H883&gt;K883,MIN($H883-K883,L883-K883)*INDEX('2018_commission_structure'!$A$11:$I$14,MATCH(Calculations!$E883,'2018_commission_structure'!$A$11:$A$14,0), MATCH(Calculations!R$1,'2018_commission_structure'!$A$11:$I$11,0)),0)</f>
        <v>0</v>
      </c>
      <c r="S883" s="7">
        <f>IF(H883&gt;L883,(H883-L883)*INDEX('2018_commission_structure'!$A$11:$I$14,MATCH(Calculations!$E883,'2018_commission_structure'!$A$11:$A$14,0),MATCH(Calculations!S$1,'2018_commission_structure'!$A$11:$I$11,0)),0)</f>
        <v>0</v>
      </c>
      <c r="T883" s="7">
        <f t="shared" si="122"/>
        <v>127020.84</v>
      </c>
      <c r="U883" s="7">
        <f t="shared" si="123"/>
        <v>193383.84</v>
      </c>
      <c r="V883" s="7">
        <f>MIN(H883,I883)*INDEX('2018_commission_structure'!$A$5:$J$8,MATCH(Calculations!$E883,'2018_commission_structure'!$A$5:$A$8,0),MATCH(Calculations!V$1,'2018_commission_structure'!$A$5:$J$5,0))</f>
        <v>90000</v>
      </c>
      <c r="W883" s="2">
        <f>IF($H883&gt;I883,MIN($H883-I883,J883-I883)*INDEX('2018_commission_structure'!$A$5:$J$8,MATCH(Calculations!$E883,'2018_commission_structure'!$A$5:$A$8,0),MATCH(Calculations!W$1,'2018_commission_structure'!$A$5:$J$5,0)),0)</f>
        <v>27000</v>
      </c>
      <c r="X883" s="2">
        <f>IF($H883&gt;J883,MIN($H883-J883,K883-J883)*INDEX('2018_commission_structure'!$A$5:$J$8,MATCH(Calculations!$E883,'2018_commission_structure'!$A$5:$A$8,0),MATCH(Calculations!X$1,'2018_commission_structure'!$A$5:$J$5,0)),0)</f>
        <v>28001</v>
      </c>
      <c r="Y883" s="2">
        <f>IF($H883&gt;K883,MIN($H883-K883,L883-K883)*INDEX('2018_commission_structure'!$A$5:$J$8,MATCH(Calculations!$E883,'2018_commission_structure'!$A$5:$A$8,0),MATCH(Calculations!Y$1,'2018_commission_structure'!$A$5:$J$5,0)),0)</f>
        <v>0</v>
      </c>
      <c r="Z883" s="2">
        <f xml:space="preserve"> IF(H883&gt;L883,(H883-L883)*INDEX('2018_commission_structure'!$A$11:$I$14,MATCH(Calculations!$E883,'2018_commission_structure'!$A$11:$A$14,0),MATCH(Calculations!Z$1,'2018_commission_structure'!$A$11:$I$11,0)),0)</f>
        <v>0</v>
      </c>
      <c r="AA883" s="7">
        <f t="shared" si="124"/>
        <v>145001</v>
      </c>
      <c r="AB883" s="7">
        <f t="shared" si="125"/>
        <v>211364</v>
      </c>
    </row>
    <row r="884" spans="1:28" x14ac:dyDescent="0.25">
      <c r="A884">
        <v>4475496373</v>
      </c>
      <c r="B884" t="s">
        <v>17</v>
      </c>
      <c r="C884" t="s">
        <v>18</v>
      </c>
      <c r="D884" t="str">
        <f>B884&amp;" "&amp;C884</f>
        <v>Tobe Standen</v>
      </c>
      <c r="E884" t="s">
        <v>10</v>
      </c>
      <c r="F884">
        <v>110155</v>
      </c>
      <c r="G884">
        <f>COUNTIF(deals_closed!D:D,Calculations!A884)</f>
        <v>13</v>
      </c>
      <c r="H884" s="2">
        <f>SUMIF(deals_closed!D:D,Calculations!A884,deals_closed!C:C)</f>
        <v>529764</v>
      </c>
      <c r="I884" s="2">
        <f>VLOOKUP(E884,'2018_commission_structure'!$A$11:$I$14,9,FALSE)</f>
        <v>750000</v>
      </c>
      <c r="J884" s="2">
        <f t="shared" si="117"/>
        <v>937500</v>
      </c>
      <c r="K884" s="2">
        <f t="shared" si="118"/>
        <v>1125000</v>
      </c>
      <c r="L884" s="2">
        <f t="shared" si="119"/>
        <v>1500000</v>
      </c>
      <c r="M884" s="6">
        <f t="shared" si="120"/>
        <v>0.70635199999999998</v>
      </c>
      <c r="N884" t="str">
        <f t="shared" si="121"/>
        <v>0-100%</v>
      </c>
      <c r="O884" s="7">
        <f>MIN(I884,H884)*INDEX('2018_commission_structure'!$A$11:$I$14,MATCH(Calculations!$E884,'2018_commission_structure'!$A$11:$A$14,0),MATCH(Calculations!O$1,'2018_commission_structure'!$A$11:$I$11,0))</f>
        <v>79464.599999999991</v>
      </c>
      <c r="P884" s="7">
        <f>IF($H884&gt;I884,MIN($H884-I884,J884-I884)*INDEX('2018_commission_structure'!$A$11:$I$14,MATCH(Calculations!$E884,'2018_commission_structure'!$A$11:$A$14,0), MATCH(Calculations!P$1,'2018_commission_structure'!$A$11:$I$11,0)),0)</f>
        <v>0</v>
      </c>
      <c r="Q884" s="7">
        <f>IF($H884&gt;J884,MIN($H884-J884,K884-J884)*INDEX('2018_commission_structure'!$A$11:$I$14,MATCH(Calculations!$E884,'2018_commission_structure'!$A$11:$A$14,0), MATCH(Calculations!Q$1,'2018_commission_structure'!$A$11:$I$11,0)),0)</f>
        <v>0</v>
      </c>
      <c r="R884" s="7">
        <f>IF($H884&gt;K884,MIN($H884-K884,L884-K884)*INDEX('2018_commission_structure'!$A$11:$I$14,MATCH(Calculations!$E884,'2018_commission_structure'!$A$11:$A$14,0), MATCH(Calculations!R$1,'2018_commission_structure'!$A$11:$I$11,0)),0)</f>
        <v>0</v>
      </c>
      <c r="S884" s="7">
        <f>IF(H884&gt;L884,(H884-L884)*INDEX('2018_commission_structure'!$A$11:$I$14,MATCH(Calculations!$E884,'2018_commission_structure'!$A$11:$A$14,0),MATCH(Calculations!S$1,'2018_commission_structure'!$A$11:$I$11,0)),0)</f>
        <v>0</v>
      </c>
      <c r="T884" s="7">
        <f t="shared" si="122"/>
        <v>79464.599999999991</v>
      </c>
      <c r="U884" s="7">
        <f t="shared" si="123"/>
        <v>189619.59999999998</v>
      </c>
      <c r="V884" s="7">
        <f>MIN(H884,I884)*INDEX('2018_commission_structure'!$A$5:$J$8,MATCH(Calculations!$E884,'2018_commission_structure'!$A$5:$A$8,0),MATCH(Calculations!V$1,'2018_commission_structure'!$A$5:$J$5,0))</f>
        <v>79464.599999999991</v>
      </c>
      <c r="W884" s="2">
        <f>IF($H884&gt;I884,MIN($H884-I884,J884-I884)*INDEX('2018_commission_structure'!$A$5:$J$8,MATCH(Calculations!$E884,'2018_commission_structure'!$A$5:$A$8,0),MATCH(Calculations!W$1,'2018_commission_structure'!$A$5:$J$5,0)),0)</f>
        <v>0</v>
      </c>
      <c r="X884" s="2">
        <f>IF($H884&gt;J884,MIN($H884-J884,K884-J884)*INDEX('2018_commission_structure'!$A$5:$J$8,MATCH(Calculations!$E884,'2018_commission_structure'!$A$5:$A$8,0),MATCH(Calculations!X$1,'2018_commission_structure'!$A$5:$J$5,0)),0)</f>
        <v>0</v>
      </c>
      <c r="Y884" s="2">
        <f>IF($H884&gt;K884,MIN($H884-K884,L884-K884)*INDEX('2018_commission_structure'!$A$5:$J$8,MATCH(Calculations!$E884,'2018_commission_structure'!$A$5:$A$8,0),MATCH(Calculations!Y$1,'2018_commission_structure'!$A$5:$J$5,0)),0)</f>
        <v>0</v>
      </c>
      <c r="Z884" s="2">
        <f xml:space="preserve"> IF(H884&gt;L884,(H884-L884)*INDEX('2018_commission_structure'!$A$11:$I$14,MATCH(Calculations!$E884,'2018_commission_structure'!$A$11:$A$14,0),MATCH(Calculations!Z$1,'2018_commission_structure'!$A$11:$I$11,0)),0)</f>
        <v>0</v>
      </c>
      <c r="AA884" s="7">
        <f t="shared" si="124"/>
        <v>79464.599999999991</v>
      </c>
      <c r="AB884" s="7">
        <f t="shared" si="125"/>
        <v>189619.59999999998</v>
      </c>
    </row>
    <row r="885" spans="1:28" x14ac:dyDescent="0.25">
      <c r="A885">
        <v>9151658844</v>
      </c>
      <c r="B885" t="s">
        <v>109</v>
      </c>
      <c r="C885" t="s">
        <v>110</v>
      </c>
      <c r="D885" t="str">
        <f>B885&amp;" "&amp;C885</f>
        <v>Derry Staniforth</v>
      </c>
      <c r="E885" t="s">
        <v>29</v>
      </c>
      <c r="F885">
        <v>50141</v>
      </c>
      <c r="G885">
        <f>COUNTIF(deals_closed!D:D,Calculations!A885)</f>
        <v>25</v>
      </c>
      <c r="H885" s="2">
        <f>SUMIF(deals_closed!D:D,Calculations!A885,deals_closed!C:C)</f>
        <v>1019541</v>
      </c>
      <c r="I885" s="2">
        <f>VLOOKUP(E885,'2018_commission_structure'!$A$11:$I$14,9,FALSE)</f>
        <v>600000</v>
      </c>
      <c r="J885" s="2">
        <f t="shared" si="117"/>
        <v>750000</v>
      </c>
      <c r="K885" s="2">
        <f t="shared" si="118"/>
        <v>900000</v>
      </c>
      <c r="L885" s="2">
        <f t="shared" si="119"/>
        <v>1200000</v>
      </c>
      <c r="M885" s="6">
        <f t="shared" si="120"/>
        <v>1.6992350000000001</v>
      </c>
      <c r="N885" t="str">
        <f t="shared" si="121"/>
        <v>150-200%</v>
      </c>
      <c r="O885" s="7">
        <f>MIN(I885,H885)*INDEX('2018_commission_structure'!$A$11:$I$14,MATCH(Calculations!$E885,'2018_commission_structure'!$A$11:$A$14,0),MATCH(Calculations!O$1,'2018_commission_structure'!$A$11:$I$11,0))</f>
        <v>78000</v>
      </c>
      <c r="P885" s="7">
        <f>IF($H885&gt;I885,MIN($H885-I885,J885-I885)*INDEX('2018_commission_structure'!$A$11:$I$14,MATCH(Calculations!$E885,'2018_commission_structure'!$A$11:$A$14,0), MATCH(Calculations!P$1,'2018_commission_structure'!$A$11:$I$11,0)),0)</f>
        <v>25500.000000000004</v>
      </c>
      <c r="Q885" s="7">
        <f>IF($H885&gt;J885,MIN($H885-J885,K885-J885)*INDEX('2018_commission_structure'!$A$11:$I$14,MATCH(Calculations!$E885,'2018_commission_structure'!$A$11:$A$14,0), MATCH(Calculations!Q$1,'2018_commission_structure'!$A$11:$I$11,0)),0)</f>
        <v>31500</v>
      </c>
      <c r="R885" s="7">
        <f>IF($H885&gt;K885,MIN($H885-K885,L885-K885)*INDEX('2018_commission_structure'!$A$11:$I$14,MATCH(Calculations!$E885,'2018_commission_structure'!$A$11:$A$14,0), MATCH(Calculations!R$1,'2018_commission_structure'!$A$11:$I$11,0)),0)</f>
        <v>31080.66</v>
      </c>
      <c r="S885" s="7">
        <f>IF(H885&gt;L885,(H885-L885)*INDEX('2018_commission_structure'!$A$11:$I$14,MATCH(Calculations!$E885,'2018_commission_structure'!$A$11:$A$14,0),MATCH(Calculations!S$1,'2018_commission_structure'!$A$11:$I$11,0)),0)</f>
        <v>0</v>
      </c>
      <c r="T885" s="7">
        <f t="shared" si="122"/>
        <v>166080.66</v>
      </c>
      <c r="U885" s="7">
        <f t="shared" si="123"/>
        <v>216221.66</v>
      </c>
      <c r="V885" s="7">
        <f>MIN(H885,I885)*INDEX('2018_commission_structure'!$A$5:$J$8,MATCH(Calculations!$E885,'2018_commission_structure'!$A$5:$A$8,0),MATCH(Calculations!V$1,'2018_commission_structure'!$A$5:$J$5,0))</f>
        <v>90000</v>
      </c>
      <c r="W885" s="2">
        <f>IF($H885&gt;I885,MIN($H885-I885,J885-I885)*INDEX('2018_commission_structure'!$A$5:$J$8,MATCH(Calculations!$E885,'2018_commission_structure'!$A$5:$A$8,0),MATCH(Calculations!W$1,'2018_commission_structure'!$A$5:$J$5,0)),0)</f>
        <v>27000</v>
      </c>
      <c r="X885" s="2">
        <f>IF($H885&gt;J885,MIN($H885-J885,K885-J885)*INDEX('2018_commission_structure'!$A$5:$J$8,MATCH(Calculations!$E885,'2018_commission_structure'!$A$5:$A$8,0),MATCH(Calculations!X$1,'2018_commission_structure'!$A$5:$J$5,0)),0)</f>
        <v>37500</v>
      </c>
      <c r="Y885" s="2">
        <f>IF($H885&gt;K885,MIN($H885-K885,L885-K885)*INDEX('2018_commission_structure'!$A$5:$J$8,MATCH(Calculations!$E885,'2018_commission_structure'!$A$5:$A$8,0),MATCH(Calculations!Y$1,'2018_commission_structure'!$A$5:$J$5,0)),0)</f>
        <v>35862.299999999996</v>
      </c>
      <c r="Z885" s="2">
        <f xml:space="preserve"> IF(H885&gt;L885,(H885-L885)*INDEX('2018_commission_structure'!$A$11:$I$14,MATCH(Calculations!$E885,'2018_commission_structure'!$A$11:$A$14,0),MATCH(Calculations!Z$1,'2018_commission_structure'!$A$11:$I$11,0)),0)</f>
        <v>0</v>
      </c>
      <c r="AA885" s="7">
        <f t="shared" si="124"/>
        <v>190362.3</v>
      </c>
      <c r="AB885" s="7">
        <f t="shared" si="125"/>
        <v>240503.3</v>
      </c>
    </row>
    <row r="886" spans="1:28" x14ac:dyDescent="0.25">
      <c r="A886">
        <v>2237103631</v>
      </c>
      <c r="B886" t="s">
        <v>803</v>
      </c>
      <c r="C886" t="s">
        <v>804</v>
      </c>
      <c r="D886" t="str">
        <f>B886&amp;" "&amp;C886</f>
        <v>Filip Stellman</v>
      </c>
      <c r="E886" t="s">
        <v>29</v>
      </c>
      <c r="F886">
        <v>69026</v>
      </c>
      <c r="G886">
        <f>COUNTIF(deals_closed!D:D,Calculations!A886)</f>
        <v>23</v>
      </c>
      <c r="H886" s="2">
        <f>SUMIF(deals_closed!D:D,Calculations!A886,deals_closed!C:C)</f>
        <v>846165</v>
      </c>
      <c r="I886" s="2">
        <f>VLOOKUP(E886,'2018_commission_structure'!$A$11:$I$14,9,FALSE)</f>
        <v>600000</v>
      </c>
      <c r="J886" s="2">
        <f t="shared" si="117"/>
        <v>750000</v>
      </c>
      <c r="K886" s="2">
        <f t="shared" si="118"/>
        <v>900000</v>
      </c>
      <c r="L886" s="2">
        <f t="shared" si="119"/>
        <v>1200000</v>
      </c>
      <c r="M886" s="6">
        <f t="shared" si="120"/>
        <v>1.4102749999999999</v>
      </c>
      <c r="N886" t="str">
        <f t="shared" si="121"/>
        <v>125-150%</v>
      </c>
      <c r="O886" s="7">
        <f>MIN(I886,H886)*INDEX('2018_commission_structure'!$A$11:$I$14,MATCH(Calculations!$E886,'2018_commission_structure'!$A$11:$A$14,0),MATCH(Calculations!O$1,'2018_commission_structure'!$A$11:$I$11,0))</f>
        <v>78000</v>
      </c>
      <c r="P886" s="7">
        <f>IF($H886&gt;I886,MIN($H886-I886,J886-I886)*INDEX('2018_commission_structure'!$A$11:$I$14,MATCH(Calculations!$E886,'2018_commission_structure'!$A$11:$A$14,0), MATCH(Calculations!P$1,'2018_commission_structure'!$A$11:$I$11,0)),0)</f>
        <v>25500.000000000004</v>
      </c>
      <c r="Q886" s="7">
        <f>IF($H886&gt;J886,MIN($H886-J886,K886-J886)*INDEX('2018_commission_structure'!$A$11:$I$14,MATCH(Calculations!$E886,'2018_commission_structure'!$A$11:$A$14,0), MATCH(Calculations!Q$1,'2018_commission_structure'!$A$11:$I$11,0)),0)</f>
        <v>20194.649999999998</v>
      </c>
      <c r="R886" s="7">
        <f>IF($H886&gt;K886,MIN($H886-K886,L886-K886)*INDEX('2018_commission_structure'!$A$11:$I$14,MATCH(Calculations!$E886,'2018_commission_structure'!$A$11:$A$14,0), MATCH(Calculations!R$1,'2018_commission_structure'!$A$11:$I$11,0)),0)</f>
        <v>0</v>
      </c>
      <c r="S886" s="7">
        <f>IF(H886&gt;L886,(H886-L886)*INDEX('2018_commission_structure'!$A$11:$I$14,MATCH(Calculations!$E886,'2018_commission_structure'!$A$11:$A$14,0),MATCH(Calculations!S$1,'2018_commission_structure'!$A$11:$I$11,0)),0)</f>
        <v>0</v>
      </c>
      <c r="T886" s="7">
        <f t="shared" si="122"/>
        <v>123694.65</v>
      </c>
      <c r="U886" s="7">
        <f t="shared" si="123"/>
        <v>192720.65</v>
      </c>
      <c r="V886" s="7">
        <f>MIN(H886,I886)*INDEX('2018_commission_structure'!$A$5:$J$8,MATCH(Calculations!$E886,'2018_commission_structure'!$A$5:$A$8,0),MATCH(Calculations!V$1,'2018_commission_structure'!$A$5:$J$5,0))</f>
        <v>90000</v>
      </c>
      <c r="W886" s="2">
        <f>IF($H886&gt;I886,MIN($H886-I886,J886-I886)*INDEX('2018_commission_structure'!$A$5:$J$8,MATCH(Calculations!$E886,'2018_commission_structure'!$A$5:$A$8,0),MATCH(Calculations!W$1,'2018_commission_structure'!$A$5:$J$5,0)),0)</f>
        <v>27000</v>
      </c>
      <c r="X886" s="2">
        <f>IF($H886&gt;J886,MIN($H886-J886,K886-J886)*INDEX('2018_commission_structure'!$A$5:$J$8,MATCH(Calculations!$E886,'2018_commission_structure'!$A$5:$A$8,0),MATCH(Calculations!X$1,'2018_commission_structure'!$A$5:$J$5,0)),0)</f>
        <v>24041.25</v>
      </c>
      <c r="Y886" s="2">
        <f>IF($H886&gt;K886,MIN($H886-K886,L886-K886)*INDEX('2018_commission_structure'!$A$5:$J$8,MATCH(Calculations!$E886,'2018_commission_structure'!$A$5:$A$8,0),MATCH(Calculations!Y$1,'2018_commission_structure'!$A$5:$J$5,0)),0)</f>
        <v>0</v>
      </c>
      <c r="Z886" s="2">
        <f xml:space="preserve"> IF(H886&gt;L886,(H886-L886)*INDEX('2018_commission_structure'!$A$11:$I$14,MATCH(Calculations!$E886,'2018_commission_structure'!$A$11:$A$14,0),MATCH(Calculations!Z$1,'2018_commission_structure'!$A$11:$I$11,0)),0)</f>
        <v>0</v>
      </c>
      <c r="AA886" s="7">
        <f t="shared" si="124"/>
        <v>141041.25</v>
      </c>
      <c r="AB886" s="7">
        <f t="shared" si="125"/>
        <v>210067.25</v>
      </c>
    </row>
    <row r="887" spans="1:28" x14ac:dyDescent="0.25">
      <c r="A887">
        <v>5142790693</v>
      </c>
      <c r="B887" t="s">
        <v>461</v>
      </c>
      <c r="C887" t="s">
        <v>462</v>
      </c>
      <c r="D887" t="str">
        <f>B887&amp;" "&amp;C887</f>
        <v>Agace Sterry</v>
      </c>
      <c r="E887" t="s">
        <v>10</v>
      </c>
      <c r="F887">
        <v>96841</v>
      </c>
      <c r="G887">
        <f>COUNTIF(deals_closed!D:D,Calculations!A887)</f>
        <v>20</v>
      </c>
      <c r="H887" s="2">
        <f>SUMIF(deals_closed!D:D,Calculations!A887,deals_closed!C:C)</f>
        <v>705078</v>
      </c>
      <c r="I887" s="2">
        <f>VLOOKUP(E887,'2018_commission_structure'!$A$11:$I$14,9,FALSE)</f>
        <v>750000</v>
      </c>
      <c r="J887" s="2">
        <f t="shared" si="117"/>
        <v>937500</v>
      </c>
      <c r="K887" s="2">
        <f t="shared" si="118"/>
        <v>1125000</v>
      </c>
      <c r="L887" s="2">
        <f t="shared" si="119"/>
        <v>1500000</v>
      </c>
      <c r="M887" s="6">
        <f t="shared" si="120"/>
        <v>0.94010400000000005</v>
      </c>
      <c r="N887" t="str">
        <f t="shared" si="121"/>
        <v>0-100%</v>
      </c>
      <c r="O887" s="7">
        <f>MIN(I887,H887)*INDEX('2018_commission_structure'!$A$11:$I$14,MATCH(Calculations!$E887,'2018_commission_structure'!$A$11:$A$14,0),MATCH(Calculations!O$1,'2018_commission_structure'!$A$11:$I$11,0))</f>
        <v>105761.7</v>
      </c>
      <c r="P887" s="7">
        <f>IF($H887&gt;I887,MIN($H887-I887,J887-I887)*INDEX('2018_commission_structure'!$A$11:$I$14,MATCH(Calculations!$E887,'2018_commission_structure'!$A$11:$A$14,0), MATCH(Calculations!P$1,'2018_commission_structure'!$A$11:$I$11,0)),0)</f>
        <v>0</v>
      </c>
      <c r="Q887" s="7">
        <f>IF($H887&gt;J887,MIN($H887-J887,K887-J887)*INDEX('2018_commission_structure'!$A$11:$I$14,MATCH(Calculations!$E887,'2018_commission_structure'!$A$11:$A$14,0), MATCH(Calculations!Q$1,'2018_commission_structure'!$A$11:$I$11,0)),0)</f>
        <v>0</v>
      </c>
      <c r="R887" s="7">
        <f>IF($H887&gt;K887,MIN($H887-K887,L887-K887)*INDEX('2018_commission_structure'!$A$11:$I$14,MATCH(Calculations!$E887,'2018_commission_structure'!$A$11:$A$14,0), MATCH(Calculations!R$1,'2018_commission_structure'!$A$11:$I$11,0)),0)</f>
        <v>0</v>
      </c>
      <c r="S887" s="7">
        <f>IF(H887&gt;L887,(H887-L887)*INDEX('2018_commission_structure'!$A$11:$I$14,MATCH(Calculations!$E887,'2018_commission_structure'!$A$11:$A$14,0),MATCH(Calculations!S$1,'2018_commission_structure'!$A$11:$I$11,0)),0)</f>
        <v>0</v>
      </c>
      <c r="T887" s="7">
        <f t="shared" si="122"/>
        <v>105761.7</v>
      </c>
      <c r="U887" s="7">
        <f t="shared" si="123"/>
        <v>202602.7</v>
      </c>
      <c r="V887" s="7">
        <f>MIN(H887,I887)*INDEX('2018_commission_structure'!$A$5:$J$8,MATCH(Calculations!$E887,'2018_commission_structure'!$A$5:$A$8,0),MATCH(Calculations!V$1,'2018_commission_structure'!$A$5:$J$5,0))</f>
        <v>105761.7</v>
      </c>
      <c r="W887" s="2">
        <f>IF($H887&gt;I887,MIN($H887-I887,J887-I887)*INDEX('2018_commission_structure'!$A$5:$J$8,MATCH(Calculations!$E887,'2018_commission_structure'!$A$5:$A$8,0),MATCH(Calculations!W$1,'2018_commission_structure'!$A$5:$J$5,0)),0)</f>
        <v>0</v>
      </c>
      <c r="X887" s="2">
        <f>IF($H887&gt;J887,MIN($H887-J887,K887-J887)*INDEX('2018_commission_structure'!$A$5:$J$8,MATCH(Calculations!$E887,'2018_commission_structure'!$A$5:$A$8,0),MATCH(Calculations!X$1,'2018_commission_structure'!$A$5:$J$5,0)),0)</f>
        <v>0</v>
      </c>
      <c r="Y887" s="2">
        <f>IF($H887&gt;K887,MIN($H887-K887,L887-K887)*INDEX('2018_commission_structure'!$A$5:$J$8,MATCH(Calculations!$E887,'2018_commission_structure'!$A$5:$A$8,0),MATCH(Calculations!Y$1,'2018_commission_structure'!$A$5:$J$5,0)),0)</f>
        <v>0</v>
      </c>
      <c r="Z887" s="2">
        <f xml:space="preserve"> IF(H887&gt;L887,(H887-L887)*INDEX('2018_commission_structure'!$A$11:$I$14,MATCH(Calculations!$E887,'2018_commission_structure'!$A$11:$A$14,0),MATCH(Calculations!Z$1,'2018_commission_structure'!$A$11:$I$11,0)),0)</f>
        <v>0</v>
      </c>
      <c r="AA887" s="7">
        <f t="shared" si="124"/>
        <v>105761.7</v>
      </c>
      <c r="AB887" s="7">
        <f t="shared" si="125"/>
        <v>202602.7</v>
      </c>
    </row>
    <row r="888" spans="1:28" x14ac:dyDescent="0.25">
      <c r="A888">
        <v>5358183647</v>
      </c>
      <c r="B888" t="s">
        <v>976</v>
      </c>
      <c r="C888" t="s">
        <v>977</v>
      </c>
      <c r="D888" t="str">
        <f>B888&amp;" "&amp;C888</f>
        <v>Sibeal Stirman</v>
      </c>
      <c r="E888" t="s">
        <v>10</v>
      </c>
      <c r="F888">
        <v>87403</v>
      </c>
      <c r="G888">
        <f>COUNTIF(deals_closed!D:D,Calculations!A888)</f>
        <v>28</v>
      </c>
      <c r="H888" s="2">
        <f>SUMIF(deals_closed!D:D,Calculations!A888,deals_closed!C:C)</f>
        <v>948183</v>
      </c>
      <c r="I888" s="2">
        <f>VLOOKUP(E888,'2018_commission_structure'!$A$11:$I$14,9,FALSE)</f>
        <v>750000</v>
      </c>
      <c r="J888" s="2">
        <f t="shared" si="117"/>
        <v>937500</v>
      </c>
      <c r="K888" s="2">
        <f t="shared" si="118"/>
        <v>1125000</v>
      </c>
      <c r="L888" s="2">
        <f t="shared" si="119"/>
        <v>1500000</v>
      </c>
      <c r="M888" s="6">
        <f t="shared" si="120"/>
        <v>1.2642439999999999</v>
      </c>
      <c r="N888" t="str">
        <f t="shared" si="121"/>
        <v>125-150%</v>
      </c>
      <c r="O888" s="7">
        <f>MIN(I888,H888)*INDEX('2018_commission_structure'!$A$11:$I$14,MATCH(Calculations!$E888,'2018_commission_structure'!$A$11:$A$14,0),MATCH(Calculations!O$1,'2018_commission_structure'!$A$11:$I$11,0))</f>
        <v>112500</v>
      </c>
      <c r="P888" s="7">
        <f>IF($H888&gt;I888,MIN($H888-I888,J888-I888)*INDEX('2018_commission_structure'!$A$11:$I$14,MATCH(Calculations!$E888,'2018_commission_structure'!$A$11:$A$14,0), MATCH(Calculations!P$1,'2018_commission_structure'!$A$11:$I$11,0)),0)</f>
        <v>35625</v>
      </c>
      <c r="Q888" s="7">
        <f>IF($H888&gt;J888,MIN($H888-J888,K888-J888)*INDEX('2018_commission_structure'!$A$11:$I$14,MATCH(Calculations!$E888,'2018_commission_structure'!$A$11:$A$14,0), MATCH(Calculations!Q$1,'2018_commission_structure'!$A$11:$I$11,0)),0)</f>
        <v>2457.09</v>
      </c>
      <c r="R888" s="7">
        <f>IF($H888&gt;K888,MIN($H888-K888,L888-K888)*INDEX('2018_commission_structure'!$A$11:$I$14,MATCH(Calculations!$E888,'2018_commission_structure'!$A$11:$A$14,0), MATCH(Calculations!R$1,'2018_commission_structure'!$A$11:$I$11,0)),0)</f>
        <v>0</v>
      </c>
      <c r="S888" s="7">
        <f>IF(H888&gt;L888,(H888-L888)*INDEX('2018_commission_structure'!$A$11:$I$14,MATCH(Calculations!$E888,'2018_commission_structure'!$A$11:$A$14,0),MATCH(Calculations!S$1,'2018_commission_structure'!$A$11:$I$11,0)),0)</f>
        <v>0</v>
      </c>
      <c r="T888" s="7">
        <f t="shared" si="122"/>
        <v>150582.09</v>
      </c>
      <c r="U888" s="7">
        <f t="shared" si="123"/>
        <v>237985.09</v>
      </c>
      <c r="V888" s="7">
        <f>MIN(H888,I888)*INDEX('2018_commission_structure'!$A$5:$J$8,MATCH(Calculations!$E888,'2018_commission_structure'!$A$5:$A$8,0),MATCH(Calculations!V$1,'2018_commission_structure'!$A$5:$J$5,0))</f>
        <v>112500</v>
      </c>
      <c r="W888" s="2">
        <f>IF($H888&gt;I888,MIN($H888-I888,J888-I888)*INDEX('2018_commission_structure'!$A$5:$J$8,MATCH(Calculations!$E888,'2018_commission_structure'!$A$5:$A$8,0),MATCH(Calculations!W$1,'2018_commission_structure'!$A$5:$J$5,0)),0)</f>
        <v>41250</v>
      </c>
      <c r="X888" s="2">
        <f>IF($H888&gt;J888,MIN($H888-J888,K888-J888)*INDEX('2018_commission_structure'!$A$5:$J$8,MATCH(Calculations!$E888,'2018_commission_structure'!$A$5:$A$8,0),MATCH(Calculations!X$1,'2018_commission_structure'!$A$5:$J$5,0)),0)</f>
        <v>2670.75</v>
      </c>
      <c r="Y888" s="2">
        <f>IF($H888&gt;K888,MIN($H888-K888,L888-K888)*INDEX('2018_commission_structure'!$A$5:$J$8,MATCH(Calculations!$E888,'2018_commission_structure'!$A$5:$A$8,0),MATCH(Calculations!Y$1,'2018_commission_structure'!$A$5:$J$5,0)),0)</f>
        <v>0</v>
      </c>
      <c r="Z888" s="2">
        <f xml:space="preserve"> IF(H888&gt;L888,(H888-L888)*INDEX('2018_commission_structure'!$A$11:$I$14,MATCH(Calculations!$E888,'2018_commission_structure'!$A$11:$A$14,0),MATCH(Calculations!Z$1,'2018_commission_structure'!$A$11:$I$11,0)),0)</f>
        <v>0</v>
      </c>
      <c r="AA888" s="7">
        <f t="shared" si="124"/>
        <v>156420.75</v>
      </c>
      <c r="AB888" s="7">
        <f t="shared" si="125"/>
        <v>243823.75</v>
      </c>
    </row>
    <row r="889" spans="1:28" x14ac:dyDescent="0.25">
      <c r="A889">
        <v>3843300291</v>
      </c>
      <c r="B889" t="s">
        <v>319</v>
      </c>
      <c r="C889" t="s">
        <v>320</v>
      </c>
      <c r="D889" t="str">
        <f>B889&amp;" "&amp;C889</f>
        <v>Bridgette Stivers</v>
      </c>
      <c r="E889" t="s">
        <v>29</v>
      </c>
      <c r="F889">
        <v>64631</v>
      </c>
      <c r="G889">
        <f>COUNTIF(deals_closed!D:D,Calculations!A889)</f>
        <v>22</v>
      </c>
      <c r="H889" s="2">
        <f>SUMIF(deals_closed!D:D,Calculations!A889,deals_closed!C:C)</f>
        <v>724036</v>
      </c>
      <c r="I889" s="2">
        <f>VLOOKUP(E889,'2018_commission_structure'!$A$11:$I$14,9,FALSE)</f>
        <v>600000</v>
      </c>
      <c r="J889" s="2">
        <f t="shared" si="117"/>
        <v>750000</v>
      </c>
      <c r="K889" s="2">
        <f t="shared" si="118"/>
        <v>900000</v>
      </c>
      <c r="L889" s="2">
        <f t="shared" si="119"/>
        <v>1200000</v>
      </c>
      <c r="M889" s="6">
        <f t="shared" si="120"/>
        <v>1.2067266666666667</v>
      </c>
      <c r="N889" t="str">
        <f t="shared" si="121"/>
        <v>100-125%</v>
      </c>
      <c r="O889" s="7">
        <f>MIN(I889,H889)*INDEX('2018_commission_structure'!$A$11:$I$14,MATCH(Calculations!$E889,'2018_commission_structure'!$A$11:$A$14,0),MATCH(Calculations!O$1,'2018_commission_structure'!$A$11:$I$11,0))</f>
        <v>78000</v>
      </c>
      <c r="P889" s="7">
        <f>IF($H889&gt;I889,MIN($H889-I889,J889-I889)*INDEX('2018_commission_structure'!$A$11:$I$14,MATCH(Calculations!$E889,'2018_commission_structure'!$A$11:$A$14,0), MATCH(Calculations!P$1,'2018_commission_structure'!$A$11:$I$11,0)),0)</f>
        <v>21086.120000000003</v>
      </c>
      <c r="Q889" s="7">
        <f>IF($H889&gt;J889,MIN($H889-J889,K889-J889)*INDEX('2018_commission_structure'!$A$11:$I$14,MATCH(Calculations!$E889,'2018_commission_structure'!$A$11:$A$14,0), MATCH(Calculations!Q$1,'2018_commission_structure'!$A$11:$I$11,0)),0)</f>
        <v>0</v>
      </c>
      <c r="R889" s="7">
        <f>IF($H889&gt;K889,MIN($H889-K889,L889-K889)*INDEX('2018_commission_structure'!$A$11:$I$14,MATCH(Calculations!$E889,'2018_commission_structure'!$A$11:$A$14,0), MATCH(Calculations!R$1,'2018_commission_structure'!$A$11:$I$11,0)),0)</f>
        <v>0</v>
      </c>
      <c r="S889" s="7">
        <f>IF(H889&gt;L889,(H889-L889)*INDEX('2018_commission_structure'!$A$11:$I$14,MATCH(Calculations!$E889,'2018_commission_structure'!$A$11:$A$14,0),MATCH(Calculations!S$1,'2018_commission_structure'!$A$11:$I$11,0)),0)</f>
        <v>0</v>
      </c>
      <c r="T889" s="7">
        <f t="shared" si="122"/>
        <v>99086.12</v>
      </c>
      <c r="U889" s="7">
        <f t="shared" si="123"/>
        <v>163717.12</v>
      </c>
      <c r="V889" s="7">
        <f>MIN(H889,I889)*INDEX('2018_commission_structure'!$A$5:$J$8,MATCH(Calculations!$E889,'2018_commission_structure'!$A$5:$A$8,0),MATCH(Calculations!V$1,'2018_commission_structure'!$A$5:$J$5,0))</f>
        <v>90000</v>
      </c>
      <c r="W889" s="2">
        <f>IF($H889&gt;I889,MIN($H889-I889,J889-I889)*INDEX('2018_commission_structure'!$A$5:$J$8,MATCH(Calculations!$E889,'2018_commission_structure'!$A$5:$A$8,0),MATCH(Calculations!W$1,'2018_commission_structure'!$A$5:$J$5,0)),0)</f>
        <v>22326.48</v>
      </c>
      <c r="X889" s="2">
        <f>IF($H889&gt;J889,MIN($H889-J889,K889-J889)*INDEX('2018_commission_structure'!$A$5:$J$8,MATCH(Calculations!$E889,'2018_commission_structure'!$A$5:$A$8,0),MATCH(Calculations!X$1,'2018_commission_structure'!$A$5:$J$5,0)),0)</f>
        <v>0</v>
      </c>
      <c r="Y889" s="2">
        <f>IF($H889&gt;K889,MIN($H889-K889,L889-K889)*INDEX('2018_commission_structure'!$A$5:$J$8,MATCH(Calculations!$E889,'2018_commission_structure'!$A$5:$A$8,0),MATCH(Calculations!Y$1,'2018_commission_structure'!$A$5:$J$5,0)),0)</f>
        <v>0</v>
      </c>
      <c r="Z889" s="2">
        <f xml:space="preserve"> IF(H889&gt;L889,(H889-L889)*INDEX('2018_commission_structure'!$A$11:$I$14,MATCH(Calculations!$E889,'2018_commission_structure'!$A$11:$A$14,0),MATCH(Calculations!Z$1,'2018_commission_structure'!$A$11:$I$11,0)),0)</f>
        <v>0</v>
      </c>
      <c r="AA889" s="7">
        <f t="shared" si="124"/>
        <v>112326.48</v>
      </c>
      <c r="AB889" s="7">
        <f t="shared" si="125"/>
        <v>176957.47999999998</v>
      </c>
    </row>
    <row r="890" spans="1:28" x14ac:dyDescent="0.25">
      <c r="A890">
        <v>3266408608</v>
      </c>
      <c r="B890" t="s">
        <v>436</v>
      </c>
      <c r="C890" t="s">
        <v>437</v>
      </c>
      <c r="D890" t="str">
        <f>B890&amp;" "&amp;C890</f>
        <v>Lyle Stoyles</v>
      </c>
      <c r="E890" t="s">
        <v>29</v>
      </c>
      <c r="F890">
        <v>73542</v>
      </c>
      <c r="G890">
        <f>COUNTIF(deals_closed!D:D,Calculations!A890)</f>
        <v>19</v>
      </c>
      <c r="H890" s="2">
        <f>SUMIF(deals_closed!D:D,Calculations!A890,deals_closed!C:C)</f>
        <v>693049</v>
      </c>
      <c r="I890" s="2">
        <f>VLOOKUP(E890,'2018_commission_structure'!$A$11:$I$14,9,FALSE)</f>
        <v>600000</v>
      </c>
      <c r="J890" s="2">
        <f t="shared" si="117"/>
        <v>750000</v>
      </c>
      <c r="K890" s="2">
        <f t="shared" si="118"/>
        <v>900000</v>
      </c>
      <c r="L890" s="2">
        <f t="shared" si="119"/>
        <v>1200000</v>
      </c>
      <c r="M890" s="6">
        <f t="shared" si="120"/>
        <v>1.1550816666666666</v>
      </c>
      <c r="N890" t="str">
        <f t="shared" si="121"/>
        <v>100-125%</v>
      </c>
      <c r="O890" s="7">
        <f>MIN(I890,H890)*INDEX('2018_commission_structure'!$A$11:$I$14,MATCH(Calculations!$E890,'2018_commission_structure'!$A$11:$A$14,0),MATCH(Calculations!O$1,'2018_commission_structure'!$A$11:$I$11,0))</f>
        <v>78000</v>
      </c>
      <c r="P890" s="7">
        <f>IF($H890&gt;I890,MIN($H890-I890,J890-I890)*INDEX('2018_commission_structure'!$A$11:$I$14,MATCH(Calculations!$E890,'2018_commission_structure'!$A$11:$A$14,0), MATCH(Calculations!P$1,'2018_commission_structure'!$A$11:$I$11,0)),0)</f>
        <v>15818.330000000002</v>
      </c>
      <c r="Q890" s="7">
        <f>IF($H890&gt;J890,MIN($H890-J890,K890-J890)*INDEX('2018_commission_structure'!$A$11:$I$14,MATCH(Calculations!$E890,'2018_commission_structure'!$A$11:$A$14,0), MATCH(Calculations!Q$1,'2018_commission_structure'!$A$11:$I$11,0)),0)</f>
        <v>0</v>
      </c>
      <c r="R890" s="7">
        <f>IF($H890&gt;K890,MIN($H890-K890,L890-K890)*INDEX('2018_commission_structure'!$A$11:$I$14,MATCH(Calculations!$E890,'2018_commission_structure'!$A$11:$A$14,0), MATCH(Calculations!R$1,'2018_commission_structure'!$A$11:$I$11,0)),0)</f>
        <v>0</v>
      </c>
      <c r="S890" s="7">
        <f>IF(H890&gt;L890,(H890-L890)*INDEX('2018_commission_structure'!$A$11:$I$14,MATCH(Calculations!$E890,'2018_commission_structure'!$A$11:$A$14,0),MATCH(Calculations!S$1,'2018_commission_structure'!$A$11:$I$11,0)),0)</f>
        <v>0</v>
      </c>
      <c r="T890" s="7">
        <f t="shared" si="122"/>
        <v>93818.33</v>
      </c>
      <c r="U890" s="7">
        <f t="shared" si="123"/>
        <v>167360.33000000002</v>
      </c>
      <c r="V890" s="7">
        <f>MIN(H890,I890)*INDEX('2018_commission_structure'!$A$5:$J$8,MATCH(Calculations!$E890,'2018_commission_structure'!$A$5:$A$8,0),MATCH(Calculations!V$1,'2018_commission_structure'!$A$5:$J$5,0))</f>
        <v>90000</v>
      </c>
      <c r="W890" s="2">
        <f>IF($H890&gt;I890,MIN($H890-I890,J890-I890)*INDEX('2018_commission_structure'!$A$5:$J$8,MATCH(Calculations!$E890,'2018_commission_structure'!$A$5:$A$8,0),MATCH(Calculations!W$1,'2018_commission_structure'!$A$5:$J$5,0)),0)</f>
        <v>16748.82</v>
      </c>
      <c r="X890" s="2">
        <f>IF($H890&gt;J890,MIN($H890-J890,K890-J890)*INDEX('2018_commission_structure'!$A$5:$J$8,MATCH(Calculations!$E890,'2018_commission_structure'!$A$5:$A$8,0),MATCH(Calculations!X$1,'2018_commission_structure'!$A$5:$J$5,0)),0)</f>
        <v>0</v>
      </c>
      <c r="Y890" s="2">
        <f>IF($H890&gt;K890,MIN($H890-K890,L890-K890)*INDEX('2018_commission_structure'!$A$5:$J$8,MATCH(Calculations!$E890,'2018_commission_structure'!$A$5:$A$8,0),MATCH(Calculations!Y$1,'2018_commission_structure'!$A$5:$J$5,0)),0)</f>
        <v>0</v>
      </c>
      <c r="Z890" s="2">
        <f xml:space="preserve"> IF(H890&gt;L890,(H890-L890)*INDEX('2018_commission_structure'!$A$11:$I$14,MATCH(Calculations!$E890,'2018_commission_structure'!$A$11:$A$14,0),MATCH(Calculations!Z$1,'2018_commission_structure'!$A$11:$I$11,0)),0)</f>
        <v>0</v>
      </c>
      <c r="AA890" s="7">
        <f t="shared" si="124"/>
        <v>106748.82</v>
      </c>
      <c r="AB890" s="7">
        <f t="shared" si="125"/>
        <v>180290.82</v>
      </c>
    </row>
    <row r="891" spans="1:28" x14ac:dyDescent="0.25">
      <c r="A891">
        <v>6235447353</v>
      </c>
      <c r="B891" t="s">
        <v>414</v>
      </c>
      <c r="C891" t="s">
        <v>415</v>
      </c>
      <c r="D891" t="str">
        <f>B891&amp;" "&amp;C891</f>
        <v>Horton Stretton</v>
      </c>
      <c r="E891" t="s">
        <v>7</v>
      </c>
      <c r="F891">
        <v>35661</v>
      </c>
      <c r="G891">
        <f>COUNTIF(deals_closed!D:D,Calculations!A891)</f>
        <v>24</v>
      </c>
      <c r="H891" s="2">
        <f>SUMIF(deals_closed!D:D,Calculations!A891,deals_closed!C:C)</f>
        <v>898865</v>
      </c>
      <c r="I891" s="2">
        <f>VLOOKUP(E891,'2018_commission_structure'!$A$11:$I$14,9,FALSE)</f>
        <v>500000</v>
      </c>
      <c r="J891" s="2">
        <f t="shared" si="117"/>
        <v>625000</v>
      </c>
      <c r="K891" s="2">
        <f t="shared" si="118"/>
        <v>750000</v>
      </c>
      <c r="L891" s="2">
        <f t="shared" si="119"/>
        <v>1000000</v>
      </c>
      <c r="M891" s="6">
        <f t="shared" si="120"/>
        <v>1.7977300000000001</v>
      </c>
      <c r="N891" t="str">
        <f t="shared" si="121"/>
        <v>150-200%</v>
      </c>
      <c r="O891" s="7">
        <f>MIN(I891,H891)*INDEX('2018_commission_structure'!$A$11:$I$14,MATCH(Calculations!$E891,'2018_commission_structure'!$A$11:$A$14,0),MATCH(Calculations!O$1,'2018_commission_structure'!$A$11:$I$11,0))</f>
        <v>50000</v>
      </c>
      <c r="P891" s="7">
        <f>IF($H891&gt;I891,MIN($H891-I891,J891-I891)*INDEX('2018_commission_structure'!$A$11:$I$14,MATCH(Calculations!$E891,'2018_commission_structure'!$A$11:$A$14,0), MATCH(Calculations!P$1,'2018_commission_structure'!$A$11:$I$11,0)),0)</f>
        <v>18750</v>
      </c>
      <c r="Q891" s="7">
        <f>IF($H891&gt;J891,MIN($H891-J891,K891-J891)*INDEX('2018_commission_structure'!$A$11:$I$14,MATCH(Calculations!$E891,'2018_commission_structure'!$A$11:$A$14,0), MATCH(Calculations!Q$1,'2018_commission_structure'!$A$11:$I$11,0)),0)</f>
        <v>22500</v>
      </c>
      <c r="R891" s="7">
        <f>IF($H891&gt;K891,MIN($H891-K891,L891-K891)*INDEX('2018_commission_structure'!$A$11:$I$14,MATCH(Calculations!$E891,'2018_commission_structure'!$A$11:$A$14,0), MATCH(Calculations!R$1,'2018_commission_structure'!$A$11:$I$11,0)),0)</f>
        <v>32750.3</v>
      </c>
      <c r="S891" s="7">
        <f>IF(H891&gt;L891,(H891-L891)*INDEX('2018_commission_structure'!$A$11:$I$14,MATCH(Calculations!$E891,'2018_commission_structure'!$A$11:$A$14,0),MATCH(Calculations!S$1,'2018_commission_structure'!$A$11:$I$11,0)),0)</f>
        <v>0</v>
      </c>
      <c r="T891" s="7">
        <f t="shared" si="122"/>
        <v>124000.3</v>
      </c>
      <c r="U891" s="7">
        <f t="shared" si="123"/>
        <v>159661.29999999999</v>
      </c>
      <c r="V891" s="7">
        <f>MIN(H891,I891)*INDEX('2018_commission_structure'!$A$5:$J$8,MATCH(Calculations!$E891,'2018_commission_structure'!$A$5:$A$8,0),MATCH(Calculations!V$1,'2018_commission_structure'!$A$5:$J$5,0))</f>
        <v>60000</v>
      </c>
      <c r="W891" s="2">
        <f>IF($H891&gt;I891,MIN($H891-I891,J891-I891)*INDEX('2018_commission_structure'!$A$5:$J$8,MATCH(Calculations!$E891,'2018_commission_structure'!$A$5:$A$8,0),MATCH(Calculations!W$1,'2018_commission_structure'!$A$5:$J$5,0)),0)</f>
        <v>21250</v>
      </c>
      <c r="X891" s="2">
        <f>IF($H891&gt;J891,MIN($H891-J891,K891-J891)*INDEX('2018_commission_structure'!$A$5:$J$8,MATCH(Calculations!$E891,'2018_commission_structure'!$A$5:$A$8,0),MATCH(Calculations!X$1,'2018_commission_structure'!$A$5:$J$5,0)),0)</f>
        <v>25000</v>
      </c>
      <c r="Y891" s="2">
        <f>IF($H891&gt;K891,MIN($H891-K891,L891-K891)*INDEX('2018_commission_structure'!$A$5:$J$8,MATCH(Calculations!$E891,'2018_commission_structure'!$A$5:$A$8,0),MATCH(Calculations!Y$1,'2018_commission_structure'!$A$5:$J$5,0)),0)</f>
        <v>32750.3</v>
      </c>
      <c r="Z891" s="2">
        <f xml:space="preserve"> IF(H891&gt;L891,(H891-L891)*INDEX('2018_commission_structure'!$A$11:$I$14,MATCH(Calculations!$E891,'2018_commission_structure'!$A$11:$A$14,0),MATCH(Calculations!Z$1,'2018_commission_structure'!$A$11:$I$11,0)),0)</f>
        <v>0</v>
      </c>
      <c r="AA891" s="7">
        <f t="shared" si="124"/>
        <v>139000.29999999999</v>
      </c>
      <c r="AB891" s="7">
        <f t="shared" si="125"/>
        <v>174661.3</v>
      </c>
    </row>
    <row r="892" spans="1:28" x14ac:dyDescent="0.25">
      <c r="A892">
        <v>9603610356</v>
      </c>
      <c r="B892" t="s">
        <v>1857</v>
      </c>
      <c r="C892" t="s">
        <v>1858</v>
      </c>
      <c r="D892" t="str">
        <f>B892&amp;" "&amp;C892</f>
        <v>Reggie Striker</v>
      </c>
      <c r="E892" t="s">
        <v>29</v>
      </c>
      <c r="F892">
        <v>52759</v>
      </c>
      <c r="G892">
        <f>COUNTIF(deals_closed!D:D,Calculations!A892)</f>
        <v>8</v>
      </c>
      <c r="H892" s="2">
        <f>SUMIF(deals_closed!D:D,Calculations!A892,deals_closed!C:C)</f>
        <v>229737</v>
      </c>
      <c r="I892" s="2">
        <f>VLOOKUP(E892,'2018_commission_structure'!$A$11:$I$14,9,FALSE)</f>
        <v>600000</v>
      </c>
      <c r="J892" s="2">
        <f t="shared" si="117"/>
        <v>750000</v>
      </c>
      <c r="K892" s="2">
        <f t="shared" si="118"/>
        <v>900000</v>
      </c>
      <c r="L892" s="2">
        <f t="shared" si="119"/>
        <v>1200000</v>
      </c>
      <c r="M892" s="6">
        <f t="shared" si="120"/>
        <v>0.38289499999999999</v>
      </c>
      <c r="N892" t="str">
        <f t="shared" si="121"/>
        <v>0-100%</v>
      </c>
      <c r="O892" s="7">
        <f>MIN(I892,H892)*INDEX('2018_commission_structure'!$A$11:$I$14,MATCH(Calculations!$E892,'2018_commission_structure'!$A$11:$A$14,0),MATCH(Calculations!O$1,'2018_commission_structure'!$A$11:$I$11,0))</f>
        <v>29865.81</v>
      </c>
      <c r="P892" s="7">
        <f>IF($H892&gt;I892,MIN($H892-I892,J892-I892)*INDEX('2018_commission_structure'!$A$11:$I$14,MATCH(Calculations!$E892,'2018_commission_structure'!$A$11:$A$14,0), MATCH(Calculations!P$1,'2018_commission_structure'!$A$11:$I$11,0)),0)</f>
        <v>0</v>
      </c>
      <c r="Q892" s="7">
        <f>IF($H892&gt;J892,MIN($H892-J892,K892-J892)*INDEX('2018_commission_structure'!$A$11:$I$14,MATCH(Calculations!$E892,'2018_commission_structure'!$A$11:$A$14,0), MATCH(Calculations!Q$1,'2018_commission_structure'!$A$11:$I$11,0)),0)</f>
        <v>0</v>
      </c>
      <c r="R892" s="7">
        <f>IF($H892&gt;K892,MIN($H892-K892,L892-K892)*INDEX('2018_commission_structure'!$A$11:$I$14,MATCH(Calculations!$E892,'2018_commission_structure'!$A$11:$A$14,0), MATCH(Calculations!R$1,'2018_commission_structure'!$A$11:$I$11,0)),0)</f>
        <v>0</v>
      </c>
      <c r="S892" s="7">
        <f>IF(H892&gt;L892,(H892-L892)*INDEX('2018_commission_structure'!$A$11:$I$14,MATCH(Calculations!$E892,'2018_commission_structure'!$A$11:$A$14,0),MATCH(Calculations!S$1,'2018_commission_structure'!$A$11:$I$11,0)),0)</f>
        <v>0</v>
      </c>
      <c r="T892" s="7">
        <f t="shared" si="122"/>
        <v>29865.81</v>
      </c>
      <c r="U892" s="7">
        <f t="shared" si="123"/>
        <v>82624.81</v>
      </c>
      <c r="V892" s="7">
        <f>MIN(H892,I892)*INDEX('2018_commission_structure'!$A$5:$J$8,MATCH(Calculations!$E892,'2018_commission_structure'!$A$5:$A$8,0),MATCH(Calculations!V$1,'2018_commission_structure'!$A$5:$J$5,0))</f>
        <v>34460.549999999996</v>
      </c>
      <c r="W892" s="2">
        <f>IF($H892&gt;I892,MIN($H892-I892,J892-I892)*INDEX('2018_commission_structure'!$A$5:$J$8,MATCH(Calculations!$E892,'2018_commission_structure'!$A$5:$A$8,0),MATCH(Calculations!W$1,'2018_commission_structure'!$A$5:$J$5,0)),0)</f>
        <v>0</v>
      </c>
      <c r="X892" s="2">
        <f>IF($H892&gt;J892,MIN($H892-J892,K892-J892)*INDEX('2018_commission_structure'!$A$5:$J$8,MATCH(Calculations!$E892,'2018_commission_structure'!$A$5:$A$8,0),MATCH(Calculations!X$1,'2018_commission_structure'!$A$5:$J$5,0)),0)</f>
        <v>0</v>
      </c>
      <c r="Y892" s="2">
        <f>IF($H892&gt;K892,MIN($H892-K892,L892-K892)*INDEX('2018_commission_structure'!$A$5:$J$8,MATCH(Calculations!$E892,'2018_commission_structure'!$A$5:$A$8,0),MATCH(Calculations!Y$1,'2018_commission_structure'!$A$5:$J$5,0)),0)</f>
        <v>0</v>
      </c>
      <c r="Z892" s="2">
        <f xml:space="preserve"> IF(H892&gt;L892,(H892-L892)*INDEX('2018_commission_structure'!$A$11:$I$14,MATCH(Calculations!$E892,'2018_commission_structure'!$A$11:$A$14,0),MATCH(Calculations!Z$1,'2018_commission_structure'!$A$11:$I$11,0)),0)</f>
        <v>0</v>
      </c>
      <c r="AA892" s="7">
        <f t="shared" si="124"/>
        <v>34460.549999999996</v>
      </c>
      <c r="AB892" s="7">
        <f t="shared" si="125"/>
        <v>87219.549999999988</v>
      </c>
    </row>
    <row r="893" spans="1:28" x14ac:dyDescent="0.25">
      <c r="A893">
        <v>7794042674</v>
      </c>
      <c r="B893" t="s">
        <v>1089</v>
      </c>
      <c r="C893" t="s">
        <v>1090</v>
      </c>
      <c r="D893" t="str">
        <f>B893&amp;" "&amp;C893</f>
        <v>Huey Strognell</v>
      </c>
      <c r="E893" t="s">
        <v>7</v>
      </c>
      <c r="F893">
        <v>48616</v>
      </c>
      <c r="G893">
        <f>COUNTIF(deals_closed!D:D,Calculations!A893)</f>
        <v>26</v>
      </c>
      <c r="H893" s="2">
        <f>SUMIF(deals_closed!D:D,Calculations!A893,deals_closed!C:C)</f>
        <v>937273</v>
      </c>
      <c r="I893" s="2">
        <f>VLOOKUP(E893,'2018_commission_structure'!$A$11:$I$14,9,FALSE)</f>
        <v>500000</v>
      </c>
      <c r="J893" s="2">
        <f t="shared" si="117"/>
        <v>625000</v>
      </c>
      <c r="K893" s="2">
        <f t="shared" si="118"/>
        <v>750000</v>
      </c>
      <c r="L893" s="2">
        <f t="shared" si="119"/>
        <v>1000000</v>
      </c>
      <c r="M893" s="6">
        <f t="shared" si="120"/>
        <v>1.874546</v>
      </c>
      <c r="N893" t="str">
        <f t="shared" si="121"/>
        <v>150-200%</v>
      </c>
      <c r="O893" s="7">
        <f>MIN(I893,H893)*INDEX('2018_commission_structure'!$A$11:$I$14,MATCH(Calculations!$E893,'2018_commission_structure'!$A$11:$A$14,0),MATCH(Calculations!O$1,'2018_commission_structure'!$A$11:$I$11,0))</f>
        <v>50000</v>
      </c>
      <c r="P893" s="7">
        <f>IF($H893&gt;I893,MIN($H893-I893,J893-I893)*INDEX('2018_commission_structure'!$A$11:$I$14,MATCH(Calculations!$E893,'2018_commission_structure'!$A$11:$A$14,0), MATCH(Calculations!P$1,'2018_commission_structure'!$A$11:$I$11,0)),0)</f>
        <v>18750</v>
      </c>
      <c r="Q893" s="7">
        <f>IF($H893&gt;J893,MIN($H893-J893,K893-J893)*INDEX('2018_commission_structure'!$A$11:$I$14,MATCH(Calculations!$E893,'2018_commission_structure'!$A$11:$A$14,0), MATCH(Calculations!Q$1,'2018_commission_structure'!$A$11:$I$11,0)),0)</f>
        <v>22500</v>
      </c>
      <c r="R893" s="7">
        <f>IF($H893&gt;K893,MIN($H893-K893,L893-K893)*INDEX('2018_commission_structure'!$A$11:$I$14,MATCH(Calculations!$E893,'2018_commission_structure'!$A$11:$A$14,0), MATCH(Calculations!R$1,'2018_commission_structure'!$A$11:$I$11,0)),0)</f>
        <v>41200.06</v>
      </c>
      <c r="S893" s="7">
        <f>IF(H893&gt;L893,(H893-L893)*INDEX('2018_commission_structure'!$A$11:$I$14,MATCH(Calculations!$E893,'2018_commission_structure'!$A$11:$A$14,0),MATCH(Calculations!S$1,'2018_commission_structure'!$A$11:$I$11,0)),0)</f>
        <v>0</v>
      </c>
      <c r="T893" s="7">
        <f t="shared" si="122"/>
        <v>132450.06</v>
      </c>
      <c r="U893" s="7">
        <f t="shared" si="123"/>
        <v>181066.06</v>
      </c>
      <c r="V893" s="7">
        <f>MIN(H893,I893)*INDEX('2018_commission_structure'!$A$5:$J$8,MATCH(Calculations!$E893,'2018_commission_structure'!$A$5:$A$8,0),MATCH(Calculations!V$1,'2018_commission_structure'!$A$5:$J$5,0))</f>
        <v>60000</v>
      </c>
      <c r="W893" s="2">
        <f>IF($H893&gt;I893,MIN($H893-I893,J893-I893)*INDEX('2018_commission_structure'!$A$5:$J$8,MATCH(Calculations!$E893,'2018_commission_structure'!$A$5:$A$8,0),MATCH(Calculations!W$1,'2018_commission_structure'!$A$5:$J$5,0)),0)</f>
        <v>21250</v>
      </c>
      <c r="X893" s="2">
        <f>IF($H893&gt;J893,MIN($H893-J893,K893-J893)*INDEX('2018_commission_structure'!$A$5:$J$8,MATCH(Calculations!$E893,'2018_commission_structure'!$A$5:$A$8,0),MATCH(Calculations!X$1,'2018_commission_structure'!$A$5:$J$5,0)),0)</f>
        <v>25000</v>
      </c>
      <c r="Y893" s="2">
        <f>IF($H893&gt;K893,MIN($H893-K893,L893-K893)*INDEX('2018_commission_structure'!$A$5:$J$8,MATCH(Calculations!$E893,'2018_commission_structure'!$A$5:$A$8,0),MATCH(Calculations!Y$1,'2018_commission_structure'!$A$5:$J$5,0)),0)</f>
        <v>41200.06</v>
      </c>
      <c r="Z893" s="2">
        <f xml:space="preserve"> IF(H893&gt;L893,(H893-L893)*INDEX('2018_commission_structure'!$A$11:$I$14,MATCH(Calculations!$E893,'2018_commission_structure'!$A$11:$A$14,0),MATCH(Calculations!Z$1,'2018_commission_structure'!$A$11:$I$11,0)),0)</f>
        <v>0</v>
      </c>
      <c r="AA893" s="7">
        <f t="shared" si="124"/>
        <v>147450.06</v>
      </c>
      <c r="AB893" s="7">
        <f t="shared" si="125"/>
        <v>196066.06</v>
      </c>
    </row>
    <row r="894" spans="1:28" x14ac:dyDescent="0.25">
      <c r="A894">
        <v>9096285417</v>
      </c>
      <c r="B894" t="s">
        <v>1135</v>
      </c>
      <c r="C894" t="s">
        <v>1136</v>
      </c>
      <c r="D894" t="str">
        <f>B894&amp;" "&amp;C894</f>
        <v>Giorgio Suett</v>
      </c>
      <c r="E894" t="s">
        <v>7</v>
      </c>
      <c r="F894">
        <v>34150</v>
      </c>
      <c r="G894">
        <f>COUNTIF(deals_closed!D:D,Calculations!A894)</f>
        <v>22</v>
      </c>
      <c r="H894" s="2">
        <f>SUMIF(deals_closed!D:D,Calculations!A894,deals_closed!C:C)</f>
        <v>898061</v>
      </c>
      <c r="I894" s="2">
        <f>VLOOKUP(E894,'2018_commission_structure'!$A$11:$I$14,9,FALSE)</f>
        <v>500000</v>
      </c>
      <c r="J894" s="2">
        <f t="shared" si="117"/>
        <v>625000</v>
      </c>
      <c r="K894" s="2">
        <f t="shared" si="118"/>
        <v>750000</v>
      </c>
      <c r="L894" s="2">
        <f t="shared" si="119"/>
        <v>1000000</v>
      </c>
      <c r="M894" s="6">
        <f t="shared" si="120"/>
        <v>1.796122</v>
      </c>
      <c r="N894" t="str">
        <f t="shared" si="121"/>
        <v>150-200%</v>
      </c>
      <c r="O894" s="7">
        <f>MIN(I894,H894)*INDEX('2018_commission_structure'!$A$11:$I$14,MATCH(Calculations!$E894,'2018_commission_structure'!$A$11:$A$14,0),MATCH(Calculations!O$1,'2018_commission_structure'!$A$11:$I$11,0))</f>
        <v>50000</v>
      </c>
      <c r="P894" s="7">
        <f>IF($H894&gt;I894,MIN($H894-I894,J894-I894)*INDEX('2018_commission_structure'!$A$11:$I$14,MATCH(Calculations!$E894,'2018_commission_structure'!$A$11:$A$14,0), MATCH(Calculations!P$1,'2018_commission_structure'!$A$11:$I$11,0)),0)</f>
        <v>18750</v>
      </c>
      <c r="Q894" s="7">
        <f>IF($H894&gt;J894,MIN($H894-J894,K894-J894)*INDEX('2018_commission_structure'!$A$11:$I$14,MATCH(Calculations!$E894,'2018_commission_structure'!$A$11:$A$14,0), MATCH(Calculations!Q$1,'2018_commission_structure'!$A$11:$I$11,0)),0)</f>
        <v>22500</v>
      </c>
      <c r="R894" s="7">
        <f>IF($H894&gt;K894,MIN($H894-K894,L894-K894)*INDEX('2018_commission_structure'!$A$11:$I$14,MATCH(Calculations!$E894,'2018_commission_structure'!$A$11:$A$14,0), MATCH(Calculations!R$1,'2018_commission_structure'!$A$11:$I$11,0)),0)</f>
        <v>32573.420000000002</v>
      </c>
      <c r="S894" s="7">
        <f>IF(H894&gt;L894,(H894-L894)*INDEX('2018_commission_structure'!$A$11:$I$14,MATCH(Calculations!$E894,'2018_commission_structure'!$A$11:$A$14,0),MATCH(Calculations!S$1,'2018_commission_structure'!$A$11:$I$11,0)),0)</f>
        <v>0</v>
      </c>
      <c r="T894" s="7">
        <f t="shared" si="122"/>
        <v>123823.42</v>
      </c>
      <c r="U894" s="7">
        <f t="shared" si="123"/>
        <v>157973.41999999998</v>
      </c>
      <c r="V894" s="7">
        <f>MIN(H894,I894)*INDEX('2018_commission_structure'!$A$5:$J$8,MATCH(Calculations!$E894,'2018_commission_structure'!$A$5:$A$8,0),MATCH(Calculations!V$1,'2018_commission_structure'!$A$5:$J$5,0))</f>
        <v>60000</v>
      </c>
      <c r="W894" s="2">
        <f>IF($H894&gt;I894,MIN($H894-I894,J894-I894)*INDEX('2018_commission_structure'!$A$5:$J$8,MATCH(Calculations!$E894,'2018_commission_structure'!$A$5:$A$8,0),MATCH(Calculations!W$1,'2018_commission_structure'!$A$5:$J$5,0)),0)</f>
        <v>21250</v>
      </c>
      <c r="X894" s="2">
        <f>IF($H894&gt;J894,MIN($H894-J894,K894-J894)*INDEX('2018_commission_structure'!$A$5:$J$8,MATCH(Calculations!$E894,'2018_commission_structure'!$A$5:$A$8,0),MATCH(Calculations!X$1,'2018_commission_structure'!$A$5:$J$5,0)),0)</f>
        <v>25000</v>
      </c>
      <c r="Y894" s="2">
        <f>IF($H894&gt;K894,MIN($H894-K894,L894-K894)*INDEX('2018_commission_structure'!$A$5:$J$8,MATCH(Calculations!$E894,'2018_commission_structure'!$A$5:$A$8,0),MATCH(Calculations!Y$1,'2018_commission_structure'!$A$5:$J$5,0)),0)</f>
        <v>32573.420000000002</v>
      </c>
      <c r="Z894" s="2">
        <f xml:space="preserve"> IF(H894&gt;L894,(H894-L894)*INDEX('2018_commission_structure'!$A$11:$I$14,MATCH(Calculations!$E894,'2018_commission_structure'!$A$11:$A$14,0),MATCH(Calculations!Z$1,'2018_commission_structure'!$A$11:$I$11,0)),0)</f>
        <v>0</v>
      </c>
      <c r="AA894" s="7">
        <f t="shared" si="124"/>
        <v>138823.42000000001</v>
      </c>
      <c r="AB894" s="7">
        <f t="shared" si="125"/>
        <v>172973.42</v>
      </c>
    </row>
    <row r="895" spans="1:28" x14ac:dyDescent="0.25">
      <c r="A895">
        <v>4192879565</v>
      </c>
      <c r="B895" t="s">
        <v>730</v>
      </c>
      <c r="C895" t="s">
        <v>731</v>
      </c>
      <c r="D895" t="str">
        <f>B895&amp;" "&amp;C895</f>
        <v>Aubrey Suthren</v>
      </c>
      <c r="E895" t="s">
        <v>29</v>
      </c>
      <c r="F895">
        <v>57704</v>
      </c>
      <c r="G895">
        <f>COUNTIF(deals_closed!D:D,Calculations!A895)</f>
        <v>17</v>
      </c>
      <c r="H895" s="2">
        <f>SUMIF(deals_closed!D:D,Calculations!A895,deals_closed!C:C)</f>
        <v>487994</v>
      </c>
      <c r="I895" s="2">
        <f>VLOOKUP(E895,'2018_commission_structure'!$A$11:$I$14,9,FALSE)</f>
        <v>600000</v>
      </c>
      <c r="J895" s="2">
        <f t="shared" si="117"/>
        <v>750000</v>
      </c>
      <c r="K895" s="2">
        <f t="shared" si="118"/>
        <v>900000</v>
      </c>
      <c r="L895" s="2">
        <f t="shared" si="119"/>
        <v>1200000</v>
      </c>
      <c r="M895" s="6">
        <f t="shared" si="120"/>
        <v>0.81332333333333329</v>
      </c>
      <c r="N895" t="str">
        <f t="shared" si="121"/>
        <v>0-100%</v>
      </c>
      <c r="O895" s="7">
        <f>MIN(I895,H895)*INDEX('2018_commission_structure'!$A$11:$I$14,MATCH(Calculations!$E895,'2018_commission_structure'!$A$11:$A$14,0),MATCH(Calculations!O$1,'2018_commission_structure'!$A$11:$I$11,0))</f>
        <v>63439.22</v>
      </c>
      <c r="P895" s="7">
        <f>IF($H895&gt;I895,MIN($H895-I895,J895-I895)*INDEX('2018_commission_structure'!$A$11:$I$14,MATCH(Calculations!$E895,'2018_commission_structure'!$A$11:$A$14,0), MATCH(Calculations!P$1,'2018_commission_structure'!$A$11:$I$11,0)),0)</f>
        <v>0</v>
      </c>
      <c r="Q895" s="7">
        <f>IF($H895&gt;J895,MIN($H895-J895,K895-J895)*INDEX('2018_commission_structure'!$A$11:$I$14,MATCH(Calculations!$E895,'2018_commission_structure'!$A$11:$A$14,0), MATCH(Calculations!Q$1,'2018_commission_structure'!$A$11:$I$11,0)),0)</f>
        <v>0</v>
      </c>
      <c r="R895" s="7">
        <f>IF($H895&gt;K895,MIN($H895-K895,L895-K895)*INDEX('2018_commission_structure'!$A$11:$I$14,MATCH(Calculations!$E895,'2018_commission_structure'!$A$11:$A$14,0), MATCH(Calculations!R$1,'2018_commission_structure'!$A$11:$I$11,0)),0)</f>
        <v>0</v>
      </c>
      <c r="S895" s="7">
        <f>IF(H895&gt;L895,(H895-L895)*INDEX('2018_commission_structure'!$A$11:$I$14,MATCH(Calculations!$E895,'2018_commission_structure'!$A$11:$A$14,0),MATCH(Calculations!S$1,'2018_commission_structure'!$A$11:$I$11,0)),0)</f>
        <v>0</v>
      </c>
      <c r="T895" s="7">
        <f t="shared" si="122"/>
        <v>63439.22</v>
      </c>
      <c r="U895" s="7">
        <f t="shared" si="123"/>
        <v>121143.22</v>
      </c>
      <c r="V895" s="7">
        <f>MIN(H895,I895)*INDEX('2018_commission_structure'!$A$5:$J$8,MATCH(Calculations!$E895,'2018_commission_structure'!$A$5:$A$8,0),MATCH(Calculations!V$1,'2018_commission_structure'!$A$5:$J$5,0))</f>
        <v>73199.099999999991</v>
      </c>
      <c r="W895" s="2">
        <f>IF($H895&gt;I895,MIN($H895-I895,J895-I895)*INDEX('2018_commission_structure'!$A$5:$J$8,MATCH(Calculations!$E895,'2018_commission_structure'!$A$5:$A$8,0),MATCH(Calculations!W$1,'2018_commission_structure'!$A$5:$J$5,0)),0)</f>
        <v>0</v>
      </c>
      <c r="X895" s="2">
        <f>IF($H895&gt;J895,MIN($H895-J895,K895-J895)*INDEX('2018_commission_structure'!$A$5:$J$8,MATCH(Calculations!$E895,'2018_commission_structure'!$A$5:$A$8,0),MATCH(Calculations!X$1,'2018_commission_structure'!$A$5:$J$5,0)),0)</f>
        <v>0</v>
      </c>
      <c r="Y895" s="2">
        <f>IF($H895&gt;K895,MIN($H895-K895,L895-K895)*INDEX('2018_commission_structure'!$A$5:$J$8,MATCH(Calculations!$E895,'2018_commission_structure'!$A$5:$A$8,0),MATCH(Calculations!Y$1,'2018_commission_structure'!$A$5:$J$5,0)),0)</f>
        <v>0</v>
      </c>
      <c r="Z895" s="2">
        <f xml:space="preserve"> IF(H895&gt;L895,(H895-L895)*INDEX('2018_commission_structure'!$A$11:$I$14,MATCH(Calculations!$E895,'2018_commission_structure'!$A$11:$A$14,0),MATCH(Calculations!Z$1,'2018_commission_structure'!$A$11:$I$11,0)),0)</f>
        <v>0</v>
      </c>
      <c r="AA895" s="7">
        <f t="shared" si="124"/>
        <v>73199.099999999991</v>
      </c>
      <c r="AB895" s="7">
        <f t="shared" si="125"/>
        <v>130903.09999999999</v>
      </c>
    </row>
    <row r="896" spans="1:28" x14ac:dyDescent="0.25">
      <c r="A896">
        <v>650049144</v>
      </c>
      <c r="B896" t="s">
        <v>1235</v>
      </c>
      <c r="C896" t="s">
        <v>1236</v>
      </c>
      <c r="D896" t="str">
        <f>B896&amp;" "&amp;C896</f>
        <v>Zaneta Swaddle</v>
      </c>
      <c r="E896" t="s">
        <v>7</v>
      </c>
      <c r="F896">
        <v>42284</v>
      </c>
      <c r="G896">
        <f>COUNTIF(deals_closed!D:D,Calculations!A896)</f>
        <v>21</v>
      </c>
      <c r="H896" s="2">
        <f>SUMIF(deals_closed!D:D,Calculations!A896,deals_closed!C:C)</f>
        <v>685708</v>
      </c>
      <c r="I896" s="2">
        <f>VLOOKUP(E896,'2018_commission_structure'!$A$11:$I$14,9,FALSE)</f>
        <v>500000</v>
      </c>
      <c r="J896" s="2">
        <f t="shared" si="117"/>
        <v>625000</v>
      </c>
      <c r="K896" s="2">
        <f t="shared" si="118"/>
        <v>750000</v>
      </c>
      <c r="L896" s="2">
        <f t="shared" si="119"/>
        <v>1000000</v>
      </c>
      <c r="M896" s="6">
        <f t="shared" si="120"/>
        <v>1.371416</v>
      </c>
      <c r="N896" t="str">
        <f t="shared" si="121"/>
        <v>125-150%</v>
      </c>
      <c r="O896" s="7">
        <f>MIN(I896,H896)*INDEX('2018_commission_structure'!$A$11:$I$14,MATCH(Calculations!$E896,'2018_commission_structure'!$A$11:$A$14,0),MATCH(Calculations!O$1,'2018_commission_structure'!$A$11:$I$11,0))</f>
        <v>50000</v>
      </c>
      <c r="P896" s="7">
        <f>IF($H896&gt;I896,MIN($H896-I896,J896-I896)*INDEX('2018_commission_structure'!$A$11:$I$14,MATCH(Calculations!$E896,'2018_commission_structure'!$A$11:$A$14,0), MATCH(Calculations!P$1,'2018_commission_structure'!$A$11:$I$11,0)),0)</f>
        <v>18750</v>
      </c>
      <c r="Q896" s="7">
        <f>IF($H896&gt;J896,MIN($H896-J896,K896-J896)*INDEX('2018_commission_structure'!$A$11:$I$14,MATCH(Calculations!$E896,'2018_commission_structure'!$A$11:$A$14,0), MATCH(Calculations!Q$1,'2018_commission_structure'!$A$11:$I$11,0)),0)</f>
        <v>10927.439999999999</v>
      </c>
      <c r="R896" s="7">
        <f>IF($H896&gt;K896,MIN($H896-K896,L896-K896)*INDEX('2018_commission_structure'!$A$11:$I$14,MATCH(Calculations!$E896,'2018_commission_structure'!$A$11:$A$14,0), MATCH(Calculations!R$1,'2018_commission_structure'!$A$11:$I$11,0)),0)</f>
        <v>0</v>
      </c>
      <c r="S896" s="7">
        <f>IF(H896&gt;L896,(H896-L896)*INDEX('2018_commission_structure'!$A$11:$I$14,MATCH(Calculations!$E896,'2018_commission_structure'!$A$11:$A$14,0),MATCH(Calculations!S$1,'2018_commission_structure'!$A$11:$I$11,0)),0)</f>
        <v>0</v>
      </c>
      <c r="T896" s="7">
        <f t="shared" si="122"/>
        <v>79677.440000000002</v>
      </c>
      <c r="U896" s="7">
        <f t="shared" si="123"/>
        <v>121961.44</v>
      </c>
      <c r="V896" s="7">
        <f>MIN(H896,I896)*INDEX('2018_commission_structure'!$A$5:$J$8,MATCH(Calculations!$E896,'2018_commission_structure'!$A$5:$A$8,0),MATCH(Calculations!V$1,'2018_commission_structure'!$A$5:$J$5,0))</f>
        <v>60000</v>
      </c>
      <c r="W896" s="2">
        <f>IF($H896&gt;I896,MIN($H896-I896,J896-I896)*INDEX('2018_commission_structure'!$A$5:$J$8,MATCH(Calculations!$E896,'2018_commission_structure'!$A$5:$A$8,0),MATCH(Calculations!W$1,'2018_commission_structure'!$A$5:$J$5,0)),0)</f>
        <v>21250</v>
      </c>
      <c r="X896" s="2">
        <f>IF($H896&gt;J896,MIN($H896-J896,K896-J896)*INDEX('2018_commission_structure'!$A$5:$J$8,MATCH(Calculations!$E896,'2018_commission_structure'!$A$5:$A$8,0),MATCH(Calculations!X$1,'2018_commission_structure'!$A$5:$J$5,0)),0)</f>
        <v>12141.6</v>
      </c>
      <c r="Y896" s="2">
        <f>IF($H896&gt;K896,MIN($H896-K896,L896-K896)*INDEX('2018_commission_structure'!$A$5:$J$8,MATCH(Calculations!$E896,'2018_commission_structure'!$A$5:$A$8,0),MATCH(Calculations!Y$1,'2018_commission_structure'!$A$5:$J$5,0)),0)</f>
        <v>0</v>
      </c>
      <c r="Z896" s="2">
        <f xml:space="preserve"> IF(H896&gt;L896,(H896-L896)*INDEX('2018_commission_structure'!$A$11:$I$14,MATCH(Calculations!$E896,'2018_commission_structure'!$A$11:$A$14,0),MATCH(Calculations!Z$1,'2018_commission_structure'!$A$11:$I$11,0)),0)</f>
        <v>0</v>
      </c>
      <c r="AA896" s="7">
        <f t="shared" si="124"/>
        <v>93391.6</v>
      </c>
      <c r="AB896" s="7">
        <f t="shared" si="125"/>
        <v>135675.6</v>
      </c>
    </row>
    <row r="897" spans="1:28" x14ac:dyDescent="0.25">
      <c r="A897">
        <v>2117567142</v>
      </c>
      <c r="B897" t="s">
        <v>317</v>
      </c>
      <c r="C897" t="s">
        <v>318</v>
      </c>
      <c r="D897" t="str">
        <f>B897&amp;" "&amp;C897</f>
        <v>Jami Swinbourne</v>
      </c>
      <c r="E897" t="s">
        <v>29</v>
      </c>
      <c r="F897">
        <v>50931</v>
      </c>
      <c r="G897">
        <f>COUNTIF(deals_closed!D:D,Calculations!A897)</f>
        <v>21</v>
      </c>
      <c r="H897" s="2">
        <f>SUMIF(deals_closed!D:D,Calculations!A897,deals_closed!C:C)</f>
        <v>741013</v>
      </c>
      <c r="I897" s="2">
        <f>VLOOKUP(E897,'2018_commission_structure'!$A$11:$I$14,9,FALSE)</f>
        <v>600000</v>
      </c>
      <c r="J897" s="2">
        <f t="shared" si="117"/>
        <v>750000</v>
      </c>
      <c r="K897" s="2">
        <f t="shared" si="118"/>
        <v>900000</v>
      </c>
      <c r="L897" s="2">
        <f t="shared" si="119"/>
        <v>1200000</v>
      </c>
      <c r="M897" s="6">
        <f t="shared" si="120"/>
        <v>1.2350216666666667</v>
      </c>
      <c r="N897" t="str">
        <f t="shared" si="121"/>
        <v>100-125%</v>
      </c>
      <c r="O897" s="7">
        <f>MIN(I897,H897)*INDEX('2018_commission_structure'!$A$11:$I$14,MATCH(Calculations!$E897,'2018_commission_structure'!$A$11:$A$14,0),MATCH(Calculations!O$1,'2018_commission_structure'!$A$11:$I$11,0))</f>
        <v>78000</v>
      </c>
      <c r="P897" s="7">
        <f>IF($H897&gt;I897,MIN($H897-I897,J897-I897)*INDEX('2018_commission_structure'!$A$11:$I$14,MATCH(Calculations!$E897,'2018_commission_structure'!$A$11:$A$14,0), MATCH(Calculations!P$1,'2018_commission_structure'!$A$11:$I$11,0)),0)</f>
        <v>23972.210000000003</v>
      </c>
      <c r="Q897" s="7">
        <f>IF($H897&gt;J897,MIN($H897-J897,K897-J897)*INDEX('2018_commission_structure'!$A$11:$I$14,MATCH(Calculations!$E897,'2018_commission_structure'!$A$11:$A$14,0), MATCH(Calculations!Q$1,'2018_commission_structure'!$A$11:$I$11,0)),0)</f>
        <v>0</v>
      </c>
      <c r="R897" s="7">
        <f>IF($H897&gt;K897,MIN($H897-K897,L897-K897)*INDEX('2018_commission_structure'!$A$11:$I$14,MATCH(Calculations!$E897,'2018_commission_structure'!$A$11:$A$14,0), MATCH(Calculations!R$1,'2018_commission_structure'!$A$11:$I$11,0)),0)</f>
        <v>0</v>
      </c>
      <c r="S897" s="7">
        <f>IF(H897&gt;L897,(H897-L897)*INDEX('2018_commission_structure'!$A$11:$I$14,MATCH(Calculations!$E897,'2018_commission_structure'!$A$11:$A$14,0),MATCH(Calculations!S$1,'2018_commission_structure'!$A$11:$I$11,0)),0)</f>
        <v>0</v>
      </c>
      <c r="T897" s="7">
        <f t="shared" si="122"/>
        <v>101972.21</v>
      </c>
      <c r="U897" s="7">
        <f t="shared" si="123"/>
        <v>152903.21000000002</v>
      </c>
      <c r="V897" s="7">
        <f>MIN(H897,I897)*INDEX('2018_commission_structure'!$A$5:$J$8,MATCH(Calculations!$E897,'2018_commission_structure'!$A$5:$A$8,0),MATCH(Calculations!V$1,'2018_commission_structure'!$A$5:$J$5,0))</f>
        <v>90000</v>
      </c>
      <c r="W897" s="2">
        <f>IF($H897&gt;I897,MIN($H897-I897,J897-I897)*INDEX('2018_commission_structure'!$A$5:$J$8,MATCH(Calculations!$E897,'2018_commission_structure'!$A$5:$A$8,0),MATCH(Calculations!W$1,'2018_commission_structure'!$A$5:$J$5,0)),0)</f>
        <v>25382.34</v>
      </c>
      <c r="X897" s="2">
        <f>IF($H897&gt;J897,MIN($H897-J897,K897-J897)*INDEX('2018_commission_structure'!$A$5:$J$8,MATCH(Calculations!$E897,'2018_commission_structure'!$A$5:$A$8,0),MATCH(Calculations!X$1,'2018_commission_structure'!$A$5:$J$5,0)),0)</f>
        <v>0</v>
      </c>
      <c r="Y897" s="2">
        <f>IF($H897&gt;K897,MIN($H897-K897,L897-K897)*INDEX('2018_commission_structure'!$A$5:$J$8,MATCH(Calculations!$E897,'2018_commission_structure'!$A$5:$A$8,0),MATCH(Calculations!Y$1,'2018_commission_structure'!$A$5:$J$5,0)),0)</f>
        <v>0</v>
      </c>
      <c r="Z897" s="2">
        <f xml:space="preserve"> IF(H897&gt;L897,(H897-L897)*INDEX('2018_commission_structure'!$A$11:$I$14,MATCH(Calculations!$E897,'2018_commission_structure'!$A$11:$A$14,0),MATCH(Calculations!Z$1,'2018_commission_structure'!$A$11:$I$11,0)),0)</f>
        <v>0</v>
      </c>
      <c r="AA897" s="7">
        <f t="shared" si="124"/>
        <v>115382.34</v>
      </c>
      <c r="AB897" s="7">
        <f t="shared" si="125"/>
        <v>166313.34</v>
      </c>
    </row>
    <row r="898" spans="1:28" x14ac:dyDescent="0.25">
      <c r="A898">
        <v>8482007106</v>
      </c>
      <c r="B898" t="s">
        <v>216</v>
      </c>
      <c r="C898" t="s">
        <v>217</v>
      </c>
      <c r="D898" t="str">
        <f>B898&amp;" "&amp;C898</f>
        <v>Obadiah Swinnard</v>
      </c>
      <c r="E898" t="s">
        <v>10</v>
      </c>
      <c r="F898">
        <v>80762</v>
      </c>
      <c r="G898">
        <f>COUNTIF(deals_closed!D:D,Calculations!A898)</f>
        <v>19</v>
      </c>
      <c r="H898" s="2">
        <f>SUMIF(deals_closed!D:D,Calculations!A898,deals_closed!C:C)</f>
        <v>672476</v>
      </c>
      <c r="I898" s="2">
        <f>VLOOKUP(E898,'2018_commission_structure'!$A$11:$I$14,9,FALSE)</f>
        <v>750000</v>
      </c>
      <c r="J898" s="2">
        <f t="shared" ref="J898:J961" si="126">I898*1.25</f>
        <v>937500</v>
      </c>
      <c r="K898" s="2">
        <f t="shared" ref="K898:K961" si="127">I898*1.5</f>
        <v>1125000</v>
      </c>
      <c r="L898" s="2">
        <f t="shared" ref="L898:L961" si="128">I898*2</f>
        <v>1500000</v>
      </c>
      <c r="M898" s="6">
        <f t="shared" ref="M898:M961" si="129">H898/I898</f>
        <v>0.89663466666666669</v>
      </c>
      <c r="N898" t="str">
        <f t="shared" ref="N898:N961" si="130">IF(M898&lt;=1, "0-100%", IF(M898&lt;=1.25, "100-125%", IF(M898&lt;=1.5, "125-150%", IF(M898&lt;=2, "150-200%", "&gt;200%"))))</f>
        <v>0-100%</v>
      </c>
      <c r="O898" s="7">
        <f>MIN(I898,H898)*INDEX('2018_commission_structure'!$A$11:$I$14,MATCH(Calculations!$E898,'2018_commission_structure'!$A$11:$A$14,0),MATCH(Calculations!O$1,'2018_commission_structure'!$A$11:$I$11,0))</f>
        <v>100871.4</v>
      </c>
      <c r="P898" s="7">
        <f>IF($H898&gt;I898,MIN($H898-I898,J898-I898)*INDEX('2018_commission_structure'!$A$11:$I$14,MATCH(Calculations!$E898,'2018_commission_structure'!$A$11:$A$14,0), MATCH(Calculations!P$1,'2018_commission_structure'!$A$11:$I$11,0)),0)</f>
        <v>0</v>
      </c>
      <c r="Q898" s="7">
        <f>IF($H898&gt;J898,MIN($H898-J898,K898-J898)*INDEX('2018_commission_structure'!$A$11:$I$14,MATCH(Calculations!$E898,'2018_commission_structure'!$A$11:$A$14,0), MATCH(Calculations!Q$1,'2018_commission_structure'!$A$11:$I$11,0)),0)</f>
        <v>0</v>
      </c>
      <c r="R898" s="7">
        <f>IF($H898&gt;K898,MIN($H898-K898,L898-K898)*INDEX('2018_commission_structure'!$A$11:$I$14,MATCH(Calculations!$E898,'2018_commission_structure'!$A$11:$A$14,0), MATCH(Calculations!R$1,'2018_commission_structure'!$A$11:$I$11,0)),0)</f>
        <v>0</v>
      </c>
      <c r="S898" s="7">
        <f>IF(H898&gt;L898,(H898-L898)*INDEX('2018_commission_structure'!$A$11:$I$14,MATCH(Calculations!$E898,'2018_commission_structure'!$A$11:$A$14,0),MATCH(Calculations!S$1,'2018_commission_structure'!$A$11:$I$11,0)),0)</f>
        <v>0</v>
      </c>
      <c r="T898" s="7">
        <f t="shared" ref="T898:T961" si="131">SUM(O898:S898)</f>
        <v>100871.4</v>
      </c>
      <c r="U898" s="7">
        <f t="shared" ref="U898:U961" si="132">T898+F898</f>
        <v>181633.4</v>
      </c>
      <c r="V898" s="7">
        <f>MIN(H898,I898)*INDEX('2018_commission_structure'!$A$5:$J$8,MATCH(Calculations!$E898,'2018_commission_structure'!$A$5:$A$8,0),MATCH(Calculations!V$1,'2018_commission_structure'!$A$5:$J$5,0))</f>
        <v>100871.4</v>
      </c>
      <c r="W898" s="2">
        <f>IF($H898&gt;I898,MIN($H898-I898,J898-I898)*INDEX('2018_commission_structure'!$A$5:$J$8,MATCH(Calculations!$E898,'2018_commission_structure'!$A$5:$A$8,0),MATCH(Calculations!W$1,'2018_commission_structure'!$A$5:$J$5,0)),0)</f>
        <v>0</v>
      </c>
      <c r="X898" s="2">
        <f>IF($H898&gt;J898,MIN($H898-J898,K898-J898)*INDEX('2018_commission_structure'!$A$5:$J$8,MATCH(Calculations!$E898,'2018_commission_structure'!$A$5:$A$8,0),MATCH(Calculations!X$1,'2018_commission_structure'!$A$5:$J$5,0)),0)</f>
        <v>0</v>
      </c>
      <c r="Y898" s="2">
        <f>IF($H898&gt;K898,MIN($H898-K898,L898-K898)*INDEX('2018_commission_structure'!$A$5:$J$8,MATCH(Calculations!$E898,'2018_commission_structure'!$A$5:$A$8,0),MATCH(Calculations!Y$1,'2018_commission_structure'!$A$5:$J$5,0)),0)</f>
        <v>0</v>
      </c>
      <c r="Z898" s="2">
        <f xml:space="preserve"> IF(H898&gt;L898,(H898-L898)*INDEX('2018_commission_structure'!$A$11:$I$14,MATCH(Calculations!$E898,'2018_commission_structure'!$A$11:$A$14,0),MATCH(Calculations!Z$1,'2018_commission_structure'!$A$11:$I$11,0)),0)</f>
        <v>0</v>
      </c>
      <c r="AA898" s="7">
        <f t="shared" si="124"/>
        <v>100871.4</v>
      </c>
      <c r="AB898" s="7">
        <f t="shared" si="125"/>
        <v>181633.4</v>
      </c>
    </row>
    <row r="899" spans="1:28" x14ac:dyDescent="0.25">
      <c r="A899">
        <v>1839046880</v>
      </c>
      <c r="B899" t="s">
        <v>161</v>
      </c>
      <c r="C899" t="s">
        <v>162</v>
      </c>
      <c r="D899" t="str">
        <f>B899&amp;" "&amp;C899</f>
        <v>Leticia Szymanzyk</v>
      </c>
      <c r="E899" t="s">
        <v>7</v>
      </c>
      <c r="F899">
        <v>64858</v>
      </c>
      <c r="G899">
        <f>COUNTIF(deals_closed!D:D,Calculations!A899)</f>
        <v>14</v>
      </c>
      <c r="H899" s="2">
        <f>SUMIF(deals_closed!D:D,Calculations!A899,deals_closed!C:C)</f>
        <v>380502</v>
      </c>
      <c r="I899" s="2">
        <f>VLOOKUP(E899,'2018_commission_structure'!$A$11:$I$14,9,FALSE)</f>
        <v>500000</v>
      </c>
      <c r="J899" s="2">
        <f t="shared" si="126"/>
        <v>625000</v>
      </c>
      <c r="K899" s="2">
        <f t="shared" si="127"/>
        <v>750000</v>
      </c>
      <c r="L899" s="2">
        <f t="shared" si="128"/>
        <v>1000000</v>
      </c>
      <c r="M899" s="6">
        <f t="shared" si="129"/>
        <v>0.76100400000000001</v>
      </c>
      <c r="N899" t="str">
        <f t="shared" si="130"/>
        <v>0-100%</v>
      </c>
      <c r="O899" s="7">
        <f>MIN(I899,H899)*INDEX('2018_commission_structure'!$A$11:$I$14,MATCH(Calculations!$E899,'2018_commission_structure'!$A$11:$A$14,0),MATCH(Calculations!O$1,'2018_commission_structure'!$A$11:$I$11,0))</f>
        <v>38050.200000000004</v>
      </c>
      <c r="P899" s="7">
        <f>IF($H899&gt;I899,MIN($H899-I899,J899-I899)*INDEX('2018_commission_structure'!$A$11:$I$14,MATCH(Calculations!$E899,'2018_commission_structure'!$A$11:$A$14,0), MATCH(Calculations!P$1,'2018_commission_structure'!$A$11:$I$11,0)),0)</f>
        <v>0</v>
      </c>
      <c r="Q899" s="7">
        <f>IF($H899&gt;J899,MIN($H899-J899,K899-J899)*INDEX('2018_commission_structure'!$A$11:$I$14,MATCH(Calculations!$E899,'2018_commission_structure'!$A$11:$A$14,0), MATCH(Calculations!Q$1,'2018_commission_structure'!$A$11:$I$11,0)),0)</f>
        <v>0</v>
      </c>
      <c r="R899" s="7">
        <f>IF($H899&gt;K899,MIN($H899-K899,L899-K899)*INDEX('2018_commission_structure'!$A$11:$I$14,MATCH(Calculations!$E899,'2018_commission_structure'!$A$11:$A$14,0), MATCH(Calculations!R$1,'2018_commission_structure'!$A$11:$I$11,0)),0)</f>
        <v>0</v>
      </c>
      <c r="S899" s="7">
        <f>IF(H899&gt;L899,(H899-L899)*INDEX('2018_commission_structure'!$A$11:$I$14,MATCH(Calculations!$E899,'2018_commission_structure'!$A$11:$A$14,0),MATCH(Calculations!S$1,'2018_commission_structure'!$A$11:$I$11,0)),0)</f>
        <v>0</v>
      </c>
      <c r="T899" s="7">
        <f t="shared" si="131"/>
        <v>38050.200000000004</v>
      </c>
      <c r="U899" s="7">
        <f t="shared" si="132"/>
        <v>102908.20000000001</v>
      </c>
      <c r="V899" s="7">
        <f>MIN(H899,I899)*INDEX('2018_commission_structure'!$A$5:$J$8,MATCH(Calculations!$E899,'2018_commission_structure'!$A$5:$A$8,0),MATCH(Calculations!V$1,'2018_commission_structure'!$A$5:$J$5,0))</f>
        <v>45660.24</v>
      </c>
      <c r="W899" s="2">
        <f>IF($H899&gt;I899,MIN($H899-I899,J899-I899)*INDEX('2018_commission_structure'!$A$5:$J$8,MATCH(Calculations!$E899,'2018_commission_structure'!$A$5:$A$8,0),MATCH(Calculations!W$1,'2018_commission_structure'!$A$5:$J$5,0)),0)</f>
        <v>0</v>
      </c>
      <c r="X899" s="2">
        <f>IF($H899&gt;J899,MIN($H899-J899,K899-J899)*INDEX('2018_commission_structure'!$A$5:$J$8,MATCH(Calculations!$E899,'2018_commission_structure'!$A$5:$A$8,0),MATCH(Calculations!X$1,'2018_commission_structure'!$A$5:$J$5,0)),0)</f>
        <v>0</v>
      </c>
      <c r="Y899" s="2">
        <f>IF($H899&gt;K899,MIN($H899-K899,L899-K899)*INDEX('2018_commission_structure'!$A$5:$J$8,MATCH(Calculations!$E899,'2018_commission_structure'!$A$5:$A$8,0),MATCH(Calculations!Y$1,'2018_commission_structure'!$A$5:$J$5,0)),0)</f>
        <v>0</v>
      </c>
      <c r="Z899" s="2">
        <f xml:space="preserve"> IF(H899&gt;L899,(H899-L899)*INDEX('2018_commission_structure'!$A$11:$I$14,MATCH(Calculations!$E899,'2018_commission_structure'!$A$11:$A$14,0),MATCH(Calculations!Z$1,'2018_commission_structure'!$A$11:$I$11,0)),0)</f>
        <v>0</v>
      </c>
      <c r="AA899" s="7">
        <f t="shared" ref="AA899:AA962" si="133">SUM(V899:Z899)</f>
        <v>45660.24</v>
      </c>
      <c r="AB899" s="7">
        <f t="shared" ref="AB899:AB962" si="134">AA899+F899</f>
        <v>110518.23999999999</v>
      </c>
    </row>
    <row r="900" spans="1:28" x14ac:dyDescent="0.25">
      <c r="A900">
        <v>5064247826</v>
      </c>
      <c r="B900" t="s">
        <v>226</v>
      </c>
      <c r="C900" t="s">
        <v>227</v>
      </c>
      <c r="D900" t="str">
        <f>B900&amp;" "&amp;C900</f>
        <v>Yuri Tampin</v>
      </c>
      <c r="E900" t="s">
        <v>10</v>
      </c>
      <c r="F900">
        <v>91225</v>
      </c>
      <c r="G900">
        <f>COUNTIF(deals_closed!D:D,Calculations!A900)</f>
        <v>22</v>
      </c>
      <c r="H900" s="2">
        <f>SUMIF(deals_closed!D:D,Calculations!A900,deals_closed!C:C)</f>
        <v>870237</v>
      </c>
      <c r="I900" s="2">
        <f>VLOOKUP(E900,'2018_commission_structure'!$A$11:$I$14,9,FALSE)</f>
        <v>750000</v>
      </c>
      <c r="J900" s="2">
        <f t="shared" si="126"/>
        <v>937500</v>
      </c>
      <c r="K900" s="2">
        <f t="shared" si="127"/>
        <v>1125000</v>
      </c>
      <c r="L900" s="2">
        <f t="shared" si="128"/>
        <v>1500000</v>
      </c>
      <c r="M900" s="6">
        <f t="shared" si="129"/>
        <v>1.1603159999999999</v>
      </c>
      <c r="N900" t="str">
        <f t="shared" si="130"/>
        <v>100-125%</v>
      </c>
      <c r="O900" s="7">
        <f>MIN(I900,H900)*INDEX('2018_commission_structure'!$A$11:$I$14,MATCH(Calculations!$E900,'2018_commission_structure'!$A$11:$A$14,0),MATCH(Calculations!O$1,'2018_commission_structure'!$A$11:$I$11,0))</f>
        <v>112500</v>
      </c>
      <c r="P900" s="7">
        <f>IF($H900&gt;I900,MIN($H900-I900,J900-I900)*INDEX('2018_commission_structure'!$A$11:$I$14,MATCH(Calculations!$E900,'2018_commission_structure'!$A$11:$A$14,0), MATCH(Calculations!P$1,'2018_commission_structure'!$A$11:$I$11,0)),0)</f>
        <v>22845.03</v>
      </c>
      <c r="Q900" s="7">
        <f>IF($H900&gt;J900,MIN($H900-J900,K900-J900)*INDEX('2018_commission_structure'!$A$11:$I$14,MATCH(Calculations!$E900,'2018_commission_structure'!$A$11:$A$14,0), MATCH(Calculations!Q$1,'2018_commission_structure'!$A$11:$I$11,0)),0)</f>
        <v>0</v>
      </c>
      <c r="R900" s="7">
        <f>IF($H900&gt;K900,MIN($H900-K900,L900-K900)*INDEX('2018_commission_structure'!$A$11:$I$14,MATCH(Calculations!$E900,'2018_commission_structure'!$A$11:$A$14,0), MATCH(Calculations!R$1,'2018_commission_structure'!$A$11:$I$11,0)),0)</f>
        <v>0</v>
      </c>
      <c r="S900" s="7">
        <f>IF(H900&gt;L900,(H900-L900)*INDEX('2018_commission_structure'!$A$11:$I$14,MATCH(Calculations!$E900,'2018_commission_structure'!$A$11:$A$14,0),MATCH(Calculations!S$1,'2018_commission_structure'!$A$11:$I$11,0)),0)</f>
        <v>0</v>
      </c>
      <c r="T900" s="7">
        <f t="shared" si="131"/>
        <v>135345.03</v>
      </c>
      <c r="U900" s="7">
        <f t="shared" si="132"/>
        <v>226570.03</v>
      </c>
      <c r="V900" s="7">
        <f>MIN(H900,I900)*INDEX('2018_commission_structure'!$A$5:$J$8,MATCH(Calculations!$E900,'2018_commission_structure'!$A$5:$A$8,0),MATCH(Calculations!V$1,'2018_commission_structure'!$A$5:$J$5,0))</f>
        <v>112500</v>
      </c>
      <c r="W900" s="2">
        <f>IF($H900&gt;I900,MIN($H900-I900,J900-I900)*INDEX('2018_commission_structure'!$A$5:$J$8,MATCH(Calculations!$E900,'2018_commission_structure'!$A$5:$A$8,0),MATCH(Calculations!W$1,'2018_commission_structure'!$A$5:$J$5,0)),0)</f>
        <v>26452.14</v>
      </c>
      <c r="X900" s="2">
        <f>IF($H900&gt;J900,MIN($H900-J900,K900-J900)*INDEX('2018_commission_structure'!$A$5:$J$8,MATCH(Calculations!$E900,'2018_commission_structure'!$A$5:$A$8,0),MATCH(Calculations!X$1,'2018_commission_structure'!$A$5:$J$5,0)),0)</f>
        <v>0</v>
      </c>
      <c r="Y900" s="2">
        <f>IF($H900&gt;K900,MIN($H900-K900,L900-K900)*INDEX('2018_commission_structure'!$A$5:$J$8,MATCH(Calculations!$E900,'2018_commission_structure'!$A$5:$A$8,0),MATCH(Calculations!Y$1,'2018_commission_structure'!$A$5:$J$5,0)),0)</f>
        <v>0</v>
      </c>
      <c r="Z900" s="2">
        <f xml:space="preserve"> IF(H900&gt;L900,(H900-L900)*INDEX('2018_commission_structure'!$A$11:$I$14,MATCH(Calculations!$E900,'2018_commission_structure'!$A$11:$A$14,0),MATCH(Calculations!Z$1,'2018_commission_structure'!$A$11:$I$11,0)),0)</f>
        <v>0</v>
      </c>
      <c r="AA900" s="7">
        <f t="shared" si="133"/>
        <v>138952.14000000001</v>
      </c>
      <c r="AB900" s="7">
        <f t="shared" si="134"/>
        <v>230177.14</v>
      </c>
    </row>
    <row r="901" spans="1:28" x14ac:dyDescent="0.25">
      <c r="A901">
        <v>3271497702</v>
      </c>
      <c r="B901" t="s">
        <v>274</v>
      </c>
      <c r="C901" t="s">
        <v>275</v>
      </c>
      <c r="D901" t="str">
        <f>B901&amp;" "&amp;C901</f>
        <v>Lammond Tangye</v>
      </c>
      <c r="E901" t="s">
        <v>10</v>
      </c>
      <c r="F901">
        <v>86830</v>
      </c>
      <c r="G901">
        <f>COUNTIF(deals_closed!D:D,Calculations!A901)</f>
        <v>18</v>
      </c>
      <c r="H901" s="2">
        <f>SUMIF(deals_closed!D:D,Calculations!A901,deals_closed!C:C)</f>
        <v>654001</v>
      </c>
      <c r="I901" s="2">
        <f>VLOOKUP(E901,'2018_commission_structure'!$A$11:$I$14,9,FALSE)</f>
        <v>750000</v>
      </c>
      <c r="J901" s="2">
        <f t="shared" si="126"/>
        <v>937500</v>
      </c>
      <c r="K901" s="2">
        <f t="shared" si="127"/>
        <v>1125000</v>
      </c>
      <c r="L901" s="2">
        <f t="shared" si="128"/>
        <v>1500000</v>
      </c>
      <c r="M901" s="6">
        <f t="shared" si="129"/>
        <v>0.87200133333333329</v>
      </c>
      <c r="N901" t="str">
        <f t="shared" si="130"/>
        <v>0-100%</v>
      </c>
      <c r="O901" s="7">
        <f>MIN(I901,H901)*INDEX('2018_commission_structure'!$A$11:$I$14,MATCH(Calculations!$E901,'2018_commission_structure'!$A$11:$A$14,0),MATCH(Calculations!O$1,'2018_commission_structure'!$A$11:$I$11,0))</f>
        <v>98100.15</v>
      </c>
      <c r="P901" s="7">
        <f>IF($H901&gt;I901,MIN($H901-I901,J901-I901)*INDEX('2018_commission_structure'!$A$11:$I$14,MATCH(Calculations!$E901,'2018_commission_structure'!$A$11:$A$14,0), MATCH(Calculations!P$1,'2018_commission_structure'!$A$11:$I$11,0)),0)</f>
        <v>0</v>
      </c>
      <c r="Q901" s="7">
        <f>IF($H901&gt;J901,MIN($H901-J901,K901-J901)*INDEX('2018_commission_structure'!$A$11:$I$14,MATCH(Calculations!$E901,'2018_commission_structure'!$A$11:$A$14,0), MATCH(Calculations!Q$1,'2018_commission_structure'!$A$11:$I$11,0)),0)</f>
        <v>0</v>
      </c>
      <c r="R901" s="7">
        <f>IF($H901&gt;K901,MIN($H901-K901,L901-K901)*INDEX('2018_commission_structure'!$A$11:$I$14,MATCH(Calculations!$E901,'2018_commission_structure'!$A$11:$A$14,0), MATCH(Calculations!R$1,'2018_commission_structure'!$A$11:$I$11,0)),0)</f>
        <v>0</v>
      </c>
      <c r="S901" s="7">
        <f>IF(H901&gt;L901,(H901-L901)*INDEX('2018_commission_structure'!$A$11:$I$14,MATCH(Calculations!$E901,'2018_commission_structure'!$A$11:$A$14,0),MATCH(Calculations!S$1,'2018_commission_structure'!$A$11:$I$11,0)),0)</f>
        <v>0</v>
      </c>
      <c r="T901" s="7">
        <f t="shared" si="131"/>
        <v>98100.15</v>
      </c>
      <c r="U901" s="7">
        <f t="shared" si="132"/>
        <v>184930.15</v>
      </c>
      <c r="V901" s="7">
        <f>MIN(H901,I901)*INDEX('2018_commission_structure'!$A$5:$J$8,MATCH(Calculations!$E901,'2018_commission_structure'!$A$5:$A$8,0),MATCH(Calculations!V$1,'2018_commission_structure'!$A$5:$J$5,0))</f>
        <v>98100.15</v>
      </c>
      <c r="W901" s="2">
        <f>IF($H901&gt;I901,MIN($H901-I901,J901-I901)*INDEX('2018_commission_structure'!$A$5:$J$8,MATCH(Calculations!$E901,'2018_commission_structure'!$A$5:$A$8,0),MATCH(Calculations!W$1,'2018_commission_structure'!$A$5:$J$5,0)),0)</f>
        <v>0</v>
      </c>
      <c r="X901" s="2">
        <f>IF($H901&gt;J901,MIN($H901-J901,K901-J901)*INDEX('2018_commission_structure'!$A$5:$J$8,MATCH(Calculations!$E901,'2018_commission_structure'!$A$5:$A$8,0),MATCH(Calculations!X$1,'2018_commission_structure'!$A$5:$J$5,0)),0)</f>
        <v>0</v>
      </c>
      <c r="Y901" s="2">
        <f>IF($H901&gt;K901,MIN($H901-K901,L901-K901)*INDEX('2018_commission_structure'!$A$5:$J$8,MATCH(Calculations!$E901,'2018_commission_structure'!$A$5:$A$8,0),MATCH(Calculations!Y$1,'2018_commission_structure'!$A$5:$J$5,0)),0)</f>
        <v>0</v>
      </c>
      <c r="Z901" s="2">
        <f xml:space="preserve"> IF(H901&gt;L901,(H901-L901)*INDEX('2018_commission_structure'!$A$11:$I$14,MATCH(Calculations!$E901,'2018_commission_structure'!$A$11:$A$14,0),MATCH(Calculations!Z$1,'2018_commission_structure'!$A$11:$I$11,0)),0)</f>
        <v>0</v>
      </c>
      <c r="AA901" s="7">
        <f t="shared" si="133"/>
        <v>98100.15</v>
      </c>
      <c r="AB901" s="7">
        <f t="shared" si="134"/>
        <v>184930.15</v>
      </c>
    </row>
    <row r="902" spans="1:28" x14ac:dyDescent="0.25">
      <c r="A902">
        <v>8187246642</v>
      </c>
      <c r="B902" t="s">
        <v>448</v>
      </c>
      <c r="C902" t="s">
        <v>449</v>
      </c>
      <c r="D902" t="str">
        <f>B902&amp;" "&amp;C902</f>
        <v>Otha Tappor</v>
      </c>
      <c r="E902" t="s">
        <v>29</v>
      </c>
      <c r="F902">
        <v>59840</v>
      </c>
      <c r="G902">
        <f>COUNTIF(deals_closed!D:D,Calculations!A902)</f>
        <v>19</v>
      </c>
      <c r="H902" s="2">
        <f>SUMIF(deals_closed!D:D,Calculations!A902,deals_closed!C:C)</f>
        <v>673714</v>
      </c>
      <c r="I902" s="2">
        <f>VLOOKUP(E902,'2018_commission_structure'!$A$11:$I$14,9,FALSE)</f>
        <v>600000</v>
      </c>
      <c r="J902" s="2">
        <f t="shared" si="126"/>
        <v>750000</v>
      </c>
      <c r="K902" s="2">
        <f t="shared" si="127"/>
        <v>900000</v>
      </c>
      <c r="L902" s="2">
        <f t="shared" si="128"/>
        <v>1200000</v>
      </c>
      <c r="M902" s="6">
        <f t="shared" si="129"/>
        <v>1.1228566666666666</v>
      </c>
      <c r="N902" t="str">
        <f t="shared" si="130"/>
        <v>100-125%</v>
      </c>
      <c r="O902" s="7">
        <f>MIN(I902,H902)*INDEX('2018_commission_structure'!$A$11:$I$14,MATCH(Calculations!$E902,'2018_commission_structure'!$A$11:$A$14,0),MATCH(Calculations!O$1,'2018_commission_structure'!$A$11:$I$11,0))</f>
        <v>78000</v>
      </c>
      <c r="P902" s="7">
        <f>IF($H902&gt;I902,MIN($H902-I902,J902-I902)*INDEX('2018_commission_structure'!$A$11:$I$14,MATCH(Calculations!$E902,'2018_commission_structure'!$A$11:$A$14,0), MATCH(Calculations!P$1,'2018_commission_structure'!$A$11:$I$11,0)),0)</f>
        <v>12531.380000000001</v>
      </c>
      <c r="Q902" s="7">
        <f>IF($H902&gt;J902,MIN($H902-J902,K902-J902)*INDEX('2018_commission_structure'!$A$11:$I$14,MATCH(Calculations!$E902,'2018_commission_structure'!$A$11:$A$14,0), MATCH(Calculations!Q$1,'2018_commission_structure'!$A$11:$I$11,0)),0)</f>
        <v>0</v>
      </c>
      <c r="R902" s="7">
        <f>IF($H902&gt;K902,MIN($H902-K902,L902-K902)*INDEX('2018_commission_structure'!$A$11:$I$14,MATCH(Calculations!$E902,'2018_commission_structure'!$A$11:$A$14,0), MATCH(Calculations!R$1,'2018_commission_structure'!$A$11:$I$11,0)),0)</f>
        <v>0</v>
      </c>
      <c r="S902" s="7">
        <f>IF(H902&gt;L902,(H902-L902)*INDEX('2018_commission_structure'!$A$11:$I$14,MATCH(Calculations!$E902,'2018_commission_structure'!$A$11:$A$14,0),MATCH(Calculations!S$1,'2018_commission_structure'!$A$11:$I$11,0)),0)</f>
        <v>0</v>
      </c>
      <c r="T902" s="7">
        <f t="shared" si="131"/>
        <v>90531.38</v>
      </c>
      <c r="U902" s="7">
        <f t="shared" si="132"/>
        <v>150371.38</v>
      </c>
      <c r="V902" s="7">
        <f>MIN(H902,I902)*INDEX('2018_commission_structure'!$A$5:$J$8,MATCH(Calculations!$E902,'2018_commission_structure'!$A$5:$A$8,0),MATCH(Calculations!V$1,'2018_commission_structure'!$A$5:$J$5,0))</f>
        <v>90000</v>
      </c>
      <c r="W902" s="2">
        <f>IF($H902&gt;I902,MIN($H902-I902,J902-I902)*INDEX('2018_commission_structure'!$A$5:$J$8,MATCH(Calculations!$E902,'2018_commission_structure'!$A$5:$A$8,0),MATCH(Calculations!W$1,'2018_commission_structure'!$A$5:$J$5,0)),0)</f>
        <v>13268.519999999999</v>
      </c>
      <c r="X902" s="2">
        <f>IF($H902&gt;J902,MIN($H902-J902,K902-J902)*INDEX('2018_commission_structure'!$A$5:$J$8,MATCH(Calculations!$E902,'2018_commission_structure'!$A$5:$A$8,0),MATCH(Calculations!X$1,'2018_commission_structure'!$A$5:$J$5,0)),0)</f>
        <v>0</v>
      </c>
      <c r="Y902" s="2">
        <f>IF($H902&gt;K902,MIN($H902-K902,L902-K902)*INDEX('2018_commission_structure'!$A$5:$J$8,MATCH(Calculations!$E902,'2018_commission_structure'!$A$5:$A$8,0),MATCH(Calculations!Y$1,'2018_commission_structure'!$A$5:$J$5,0)),0)</f>
        <v>0</v>
      </c>
      <c r="Z902" s="2">
        <f xml:space="preserve"> IF(H902&gt;L902,(H902-L902)*INDEX('2018_commission_structure'!$A$11:$I$14,MATCH(Calculations!$E902,'2018_commission_structure'!$A$11:$A$14,0),MATCH(Calculations!Z$1,'2018_commission_structure'!$A$11:$I$11,0)),0)</f>
        <v>0</v>
      </c>
      <c r="AA902" s="7">
        <f t="shared" si="133"/>
        <v>103268.52</v>
      </c>
      <c r="AB902" s="7">
        <f t="shared" si="134"/>
        <v>163108.52000000002</v>
      </c>
    </row>
    <row r="903" spans="1:28" x14ac:dyDescent="0.25">
      <c r="A903">
        <v>7039995972</v>
      </c>
      <c r="B903" t="s">
        <v>1348</v>
      </c>
      <c r="C903" t="s">
        <v>1349</v>
      </c>
      <c r="D903" t="str">
        <f>B903&amp;" "&amp;C903</f>
        <v>Della Tapson</v>
      </c>
      <c r="E903" t="s">
        <v>29</v>
      </c>
      <c r="F903">
        <v>56729</v>
      </c>
      <c r="G903">
        <f>COUNTIF(deals_closed!D:D,Calculations!A903)</f>
        <v>24</v>
      </c>
      <c r="H903" s="2">
        <f>SUMIF(deals_closed!D:D,Calculations!A903,deals_closed!C:C)</f>
        <v>862767</v>
      </c>
      <c r="I903" s="2">
        <f>VLOOKUP(E903,'2018_commission_structure'!$A$11:$I$14,9,FALSE)</f>
        <v>600000</v>
      </c>
      <c r="J903" s="2">
        <f t="shared" si="126"/>
        <v>750000</v>
      </c>
      <c r="K903" s="2">
        <f t="shared" si="127"/>
        <v>900000</v>
      </c>
      <c r="L903" s="2">
        <f t="shared" si="128"/>
        <v>1200000</v>
      </c>
      <c r="M903" s="6">
        <f t="shared" si="129"/>
        <v>1.437945</v>
      </c>
      <c r="N903" t="str">
        <f t="shared" si="130"/>
        <v>125-150%</v>
      </c>
      <c r="O903" s="7">
        <f>MIN(I903,H903)*INDEX('2018_commission_structure'!$A$11:$I$14,MATCH(Calculations!$E903,'2018_commission_structure'!$A$11:$A$14,0),MATCH(Calculations!O$1,'2018_commission_structure'!$A$11:$I$11,0))</f>
        <v>78000</v>
      </c>
      <c r="P903" s="7">
        <f>IF($H903&gt;I903,MIN($H903-I903,J903-I903)*INDEX('2018_commission_structure'!$A$11:$I$14,MATCH(Calculations!$E903,'2018_commission_structure'!$A$11:$A$14,0), MATCH(Calculations!P$1,'2018_commission_structure'!$A$11:$I$11,0)),0)</f>
        <v>25500.000000000004</v>
      </c>
      <c r="Q903" s="7">
        <f>IF($H903&gt;J903,MIN($H903-J903,K903-J903)*INDEX('2018_commission_structure'!$A$11:$I$14,MATCH(Calculations!$E903,'2018_commission_structure'!$A$11:$A$14,0), MATCH(Calculations!Q$1,'2018_commission_structure'!$A$11:$I$11,0)),0)</f>
        <v>23681.07</v>
      </c>
      <c r="R903" s="7">
        <f>IF($H903&gt;K903,MIN($H903-K903,L903-K903)*INDEX('2018_commission_structure'!$A$11:$I$14,MATCH(Calculations!$E903,'2018_commission_structure'!$A$11:$A$14,0), MATCH(Calculations!R$1,'2018_commission_structure'!$A$11:$I$11,0)),0)</f>
        <v>0</v>
      </c>
      <c r="S903" s="7">
        <f>IF(H903&gt;L903,(H903-L903)*INDEX('2018_commission_structure'!$A$11:$I$14,MATCH(Calculations!$E903,'2018_commission_structure'!$A$11:$A$14,0),MATCH(Calculations!S$1,'2018_commission_structure'!$A$11:$I$11,0)),0)</f>
        <v>0</v>
      </c>
      <c r="T903" s="7">
        <f t="shared" si="131"/>
        <v>127181.07</v>
      </c>
      <c r="U903" s="7">
        <f t="shared" si="132"/>
        <v>183910.07</v>
      </c>
      <c r="V903" s="7">
        <f>MIN(H903,I903)*INDEX('2018_commission_structure'!$A$5:$J$8,MATCH(Calculations!$E903,'2018_commission_structure'!$A$5:$A$8,0),MATCH(Calculations!V$1,'2018_commission_structure'!$A$5:$J$5,0))</f>
        <v>90000</v>
      </c>
      <c r="W903" s="2">
        <f>IF($H903&gt;I903,MIN($H903-I903,J903-I903)*INDEX('2018_commission_structure'!$A$5:$J$8,MATCH(Calculations!$E903,'2018_commission_structure'!$A$5:$A$8,0),MATCH(Calculations!W$1,'2018_commission_structure'!$A$5:$J$5,0)),0)</f>
        <v>27000</v>
      </c>
      <c r="X903" s="2">
        <f>IF($H903&gt;J903,MIN($H903-J903,K903-J903)*INDEX('2018_commission_structure'!$A$5:$J$8,MATCH(Calculations!$E903,'2018_commission_structure'!$A$5:$A$8,0),MATCH(Calculations!X$1,'2018_commission_structure'!$A$5:$J$5,0)),0)</f>
        <v>28191.75</v>
      </c>
      <c r="Y903" s="2">
        <f>IF($H903&gt;K903,MIN($H903-K903,L903-K903)*INDEX('2018_commission_structure'!$A$5:$J$8,MATCH(Calculations!$E903,'2018_commission_structure'!$A$5:$A$8,0),MATCH(Calculations!Y$1,'2018_commission_structure'!$A$5:$J$5,0)),0)</f>
        <v>0</v>
      </c>
      <c r="Z903" s="2">
        <f xml:space="preserve"> IF(H903&gt;L903,(H903-L903)*INDEX('2018_commission_structure'!$A$11:$I$14,MATCH(Calculations!$E903,'2018_commission_structure'!$A$11:$A$14,0),MATCH(Calculations!Z$1,'2018_commission_structure'!$A$11:$I$11,0)),0)</f>
        <v>0</v>
      </c>
      <c r="AA903" s="7">
        <f t="shared" si="133"/>
        <v>145191.75</v>
      </c>
      <c r="AB903" s="7">
        <f t="shared" si="134"/>
        <v>201920.75</v>
      </c>
    </row>
    <row r="904" spans="1:28" x14ac:dyDescent="0.25">
      <c r="A904">
        <v>4718207207</v>
      </c>
      <c r="B904" t="s">
        <v>412</v>
      </c>
      <c r="C904" t="s">
        <v>413</v>
      </c>
      <c r="D904" t="str">
        <f>B904&amp;" "&amp;C904</f>
        <v>Lefty Tatteshall</v>
      </c>
      <c r="E904" t="s">
        <v>29</v>
      </c>
      <c r="F904">
        <v>54302</v>
      </c>
      <c r="G904">
        <f>COUNTIF(deals_closed!D:D,Calculations!A904)</f>
        <v>22</v>
      </c>
      <c r="H904" s="2">
        <f>SUMIF(deals_closed!D:D,Calculations!A904,deals_closed!C:C)</f>
        <v>751994</v>
      </c>
      <c r="I904" s="2">
        <f>VLOOKUP(E904,'2018_commission_structure'!$A$11:$I$14,9,FALSE)</f>
        <v>600000</v>
      </c>
      <c r="J904" s="2">
        <f t="shared" si="126"/>
        <v>750000</v>
      </c>
      <c r="K904" s="2">
        <f t="shared" si="127"/>
        <v>900000</v>
      </c>
      <c r="L904" s="2">
        <f t="shared" si="128"/>
        <v>1200000</v>
      </c>
      <c r="M904" s="6">
        <f t="shared" si="129"/>
        <v>1.2533233333333333</v>
      </c>
      <c r="N904" t="str">
        <f t="shared" si="130"/>
        <v>125-150%</v>
      </c>
      <c r="O904" s="7">
        <f>MIN(I904,H904)*INDEX('2018_commission_structure'!$A$11:$I$14,MATCH(Calculations!$E904,'2018_commission_structure'!$A$11:$A$14,0),MATCH(Calculations!O$1,'2018_commission_structure'!$A$11:$I$11,0))</f>
        <v>78000</v>
      </c>
      <c r="P904" s="7">
        <f>IF($H904&gt;I904,MIN($H904-I904,J904-I904)*INDEX('2018_commission_structure'!$A$11:$I$14,MATCH(Calculations!$E904,'2018_commission_structure'!$A$11:$A$14,0), MATCH(Calculations!P$1,'2018_commission_structure'!$A$11:$I$11,0)),0)</f>
        <v>25500.000000000004</v>
      </c>
      <c r="Q904" s="7">
        <f>IF($H904&gt;J904,MIN($H904-J904,K904-J904)*INDEX('2018_commission_structure'!$A$11:$I$14,MATCH(Calculations!$E904,'2018_commission_structure'!$A$11:$A$14,0), MATCH(Calculations!Q$1,'2018_commission_structure'!$A$11:$I$11,0)),0)</f>
        <v>418.74</v>
      </c>
      <c r="R904" s="7">
        <f>IF($H904&gt;K904,MIN($H904-K904,L904-K904)*INDEX('2018_commission_structure'!$A$11:$I$14,MATCH(Calculations!$E904,'2018_commission_structure'!$A$11:$A$14,0), MATCH(Calculations!R$1,'2018_commission_structure'!$A$11:$I$11,0)),0)</f>
        <v>0</v>
      </c>
      <c r="S904" s="7">
        <f>IF(H904&gt;L904,(H904-L904)*INDEX('2018_commission_structure'!$A$11:$I$14,MATCH(Calculations!$E904,'2018_commission_structure'!$A$11:$A$14,0),MATCH(Calculations!S$1,'2018_commission_structure'!$A$11:$I$11,0)),0)</f>
        <v>0</v>
      </c>
      <c r="T904" s="7">
        <f t="shared" si="131"/>
        <v>103918.74</v>
      </c>
      <c r="U904" s="7">
        <f t="shared" si="132"/>
        <v>158220.74</v>
      </c>
      <c r="V904" s="7">
        <f>MIN(H904,I904)*INDEX('2018_commission_structure'!$A$5:$J$8,MATCH(Calculations!$E904,'2018_commission_structure'!$A$5:$A$8,0),MATCH(Calculations!V$1,'2018_commission_structure'!$A$5:$J$5,0))</f>
        <v>90000</v>
      </c>
      <c r="W904" s="2">
        <f>IF($H904&gt;I904,MIN($H904-I904,J904-I904)*INDEX('2018_commission_structure'!$A$5:$J$8,MATCH(Calculations!$E904,'2018_commission_structure'!$A$5:$A$8,0),MATCH(Calculations!W$1,'2018_commission_structure'!$A$5:$J$5,0)),0)</f>
        <v>27000</v>
      </c>
      <c r="X904" s="2">
        <f>IF($H904&gt;J904,MIN($H904-J904,K904-J904)*INDEX('2018_commission_structure'!$A$5:$J$8,MATCH(Calculations!$E904,'2018_commission_structure'!$A$5:$A$8,0),MATCH(Calculations!X$1,'2018_commission_structure'!$A$5:$J$5,0)),0)</f>
        <v>498.5</v>
      </c>
      <c r="Y904" s="2">
        <f>IF($H904&gt;K904,MIN($H904-K904,L904-K904)*INDEX('2018_commission_structure'!$A$5:$J$8,MATCH(Calculations!$E904,'2018_commission_structure'!$A$5:$A$8,0),MATCH(Calculations!Y$1,'2018_commission_structure'!$A$5:$J$5,0)),0)</f>
        <v>0</v>
      </c>
      <c r="Z904" s="2">
        <f xml:space="preserve"> IF(H904&gt;L904,(H904-L904)*INDEX('2018_commission_structure'!$A$11:$I$14,MATCH(Calculations!$E904,'2018_commission_structure'!$A$11:$A$14,0),MATCH(Calculations!Z$1,'2018_commission_structure'!$A$11:$I$11,0)),0)</f>
        <v>0</v>
      </c>
      <c r="AA904" s="7">
        <f t="shared" si="133"/>
        <v>117498.5</v>
      </c>
      <c r="AB904" s="7">
        <f t="shared" si="134"/>
        <v>171800.5</v>
      </c>
    </row>
    <row r="905" spans="1:28" x14ac:dyDescent="0.25">
      <c r="A905">
        <v>3013094990</v>
      </c>
      <c r="B905" t="s">
        <v>870</v>
      </c>
      <c r="C905" t="s">
        <v>871</v>
      </c>
      <c r="D905" t="str">
        <f>B905&amp;" "&amp;C905</f>
        <v>Wendel Taudevin</v>
      </c>
      <c r="E905" t="s">
        <v>7</v>
      </c>
      <c r="F905">
        <v>58874</v>
      </c>
      <c r="G905">
        <f>COUNTIF(deals_closed!D:D,Calculations!A905)</f>
        <v>11</v>
      </c>
      <c r="H905" s="2">
        <f>SUMIF(deals_closed!D:D,Calculations!A905,deals_closed!C:C)</f>
        <v>409689</v>
      </c>
      <c r="I905" s="2">
        <f>VLOOKUP(E905,'2018_commission_structure'!$A$11:$I$14,9,FALSE)</f>
        <v>500000</v>
      </c>
      <c r="J905" s="2">
        <f t="shared" si="126"/>
        <v>625000</v>
      </c>
      <c r="K905" s="2">
        <f t="shared" si="127"/>
        <v>750000</v>
      </c>
      <c r="L905" s="2">
        <f t="shared" si="128"/>
        <v>1000000</v>
      </c>
      <c r="M905" s="6">
        <f t="shared" si="129"/>
        <v>0.81937800000000005</v>
      </c>
      <c r="N905" t="str">
        <f t="shared" si="130"/>
        <v>0-100%</v>
      </c>
      <c r="O905" s="7">
        <f>MIN(I905,H905)*INDEX('2018_commission_structure'!$A$11:$I$14,MATCH(Calculations!$E905,'2018_commission_structure'!$A$11:$A$14,0),MATCH(Calculations!O$1,'2018_commission_structure'!$A$11:$I$11,0))</f>
        <v>40968.9</v>
      </c>
      <c r="P905" s="7">
        <f>IF($H905&gt;I905,MIN($H905-I905,J905-I905)*INDEX('2018_commission_structure'!$A$11:$I$14,MATCH(Calculations!$E905,'2018_commission_structure'!$A$11:$A$14,0), MATCH(Calculations!P$1,'2018_commission_structure'!$A$11:$I$11,0)),0)</f>
        <v>0</v>
      </c>
      <c r="Q905" s="7">
        <f>IF($H905&gt;J905,MIN($H905-J905,K905-J905)*INDEX('2018_commission_structure'!$A$11:$I$14,MATCH(Calculations!$E905,'2018_commission_structure'!$A$11:$A$14,0), MATCH(Calculations!Q$1,'2018_commission_structure'!$A$11:$I$11,0)),0)</f>
        <v>0</v>
      </c>
      <c r="R905" s="7">
        <f>IF($H905&gt;K905,MIN($H905-K905,L905-K905)*INDEX('2018_commission_structure'!$A$11:$I$14,MATCH(Calculations!$E905,'2018_commission_structure'!$A$11:$A$14,0), MATCH(Calculations!R$1,'2018_commission_structure'!$A$11:$I$11,0)),0)</f>
        <v>0</v>
      </c>
      <c r="S905" s="7">
        <f>IF(H905&gt;L905,(H905-L905)*INDEX('2018_commission_structure'!$A$11:$I$14,MATCH(Calculations!$E905,'2018_commission_structure'!$A$11:$A$14,0),MATCH(Calculations!S$1,'2018_commission_structure'!$A$11:$I$11,0)),0)</f>
        <v>0</v>
      </c>
      <c r="T905" s="7">
        <f t="shared" si="131"/>
        <v>40968.9</v>
      </c>
      <c r="U905" s="7">
        <f t="shared" si="132"/>
        <v>99842.9</v>
      </c>
      <c r="V905" s="7">
        <f>MIN(H905,I905)*INDEX('2018_commission_structure'!$A$5:$J$8,MATCH(Calculations!$E905,'2018_commission_structure'!$A$5:$A$8,0),MATCH(Calculations!V$1,'2018_commission_structure'!$A$5:$J$5,0))</f>
        <v>49162.68</v>
      </c>
      <c r="W905" s="2">
        <f>IF($H905&gt;I905,MIN($H905-I905,J905-I905)*INDEX('2018_commission_structure'!$A$5:$J$8,MATCH(Calculations!$E905,'2018_commission_structure'!$A$5:$A$8,0),MATCH(Calculations!W$1,'2018_commission_structure'!$A$5:$J$5,0)),0)</f>
        <v>0</v>
      </c>
      <c r="X905" s="2">
        <f>IF($H905&gt;J905,MIN($H905-J905,K905-J905)*INDEX('2018_commission_structure'!$A$5:$J$8,MATCH(Calculations!$E905,'2018_commission_structure'!$A$5:$A$8,0),MATCH(Calculations!X$1,'2018_commission_structure'!$A$5:$J$5,0)),0)</f>
        <v>0</v>
      </c>
      <c r="Y905" s="2">
        <f>IF($H905&gt;K905,MIN($H905-K905,L905-K905)*INDEX('2018_commission_structure'!$A$5:$J$8,MATCH(Calculations!$E905,'2018_commission_structure'!$A$5:$A$8,0),MATCH(Calculations!Y$1,'2018_commission_structure'!$A$5:$J$5,0)),0)</f>
        <v>0</v>
      </c>
      <c r="Z905" s="2">
        <f xml:space="preserve"> IF(H905&gt;L905,(H905-L905)*INDEX('2018_commission_structure'!$A$11:$I$14,MATCH(Calculations!$E905,'2018_commission_structure'!$A$11:$A$14,0),MATCH(Calculations!Z$1,'2018_commission_structure'!$A$11:$I$11,0)),0)</f>
        <v>0</v>
      </c>
      <c r="AA905" s="7">
        <f t="shared" si="133"/>
        <v>49162.68</v>
      </c>
      <c r="AB905" s="7">
        <f t="shared" si="134"/>
        <v>108036.68</v>
      </c>
    </row>
    <row r="906" spans="1:28" x14ac:dyDescent="0.25">
      <c r="A906">
        <v>8315800957</v>
      </c>
      <c r="B906" t="s">
        <v>482</v>
      </c>
      <c r="C906" t="s">
        <v>483</v>
      </c>
      <c r="D906" t="str">
        <f>B906&amp;" "&amp;C906</f>
        <v>Laural Teasey</v>
      </c>
      <c r="E906" t="s">
        <v>7</v>
      </c>
      <c r="F906">
        <v>54445</v>
      </c>
      <c r="G906">
        <f>COUNTIF(deals_closed!D:D,Calculations!A906)</f>
        <v>19</v>
      </c>
      <c r="H906" s="2">
        <f>SUMIF(deals_closed!D:D,Calculations!A906,deals_closed!C:C)</f>
        <v>756055</v>
      </c>
      <c r="I906" s="2">
        <f>VLOOKUP(E906,'2018_commission_structure'!$A$11:$I$14,9,FALSE)</f>
        <v>500000</v>
      </c>
      <c r="J906" s="2">
        <f t="shared" si="126"/>
        <v>625000</v>
      </c>
      <c r="K906" s="2">
        <f t="shared" si="127"/>
        <v>750000</v>
      </c>
      <c r="L906" s="2">
        <f t="shared" si="128"/>
        <v>1000000</v>
      </c>
      <c r="M906" s="6">
        <f t="shared" si="129"/>
        <v>1.5121100000000001</v>
      </c>
      <c r="N906" t="str">
        <f t="shared" si="130"/>
        <v>150-200%</v>
      </c>
      <c r="O906" s="7">
        <f>MIN(I906,H906)*INDEX('2018_commission_structure'!$A$11:$I$14,MATCH(Calculations!$E906,'2018_commission_structure'!$A$11:$A$14,0),MATCH(Calculations!O$1,'2018_commission_structure'!$A$11:$I$11,0))</f>
        <v>50000</v>
      </c>
      <c r="P906" s="7">
        <f>IF($H906&gt;I906,MIN($H906-I906,J906-I906)*INDEX('2018_commission_structure'!$A$11:$I$14,MATCH(Calculations!$E906,'2018_commission_structure'!$A$11:$A$14,0), MATCH(Calculations!P$1,'2018_commission_structure'!$A$11:$I$11,0)),0)</f>
        <v>18750</v>
      </c>
      <c r="Q906" s="7">
        <f>IF($H906&gt;J906,MIN($H906-J906,K906-J906)*INDEX('2018_commission_structure'!$A$11:$I$14,MATCH(Calculations!$E906,'2018_commission_structure'!$A$11:$A$14,0), MATCH(Calculations!Q$1,'2018_commission_structure'!$A$11:$I$11,0)),0)</f>
        <v>22500</v>
      </c>
      <c r="R906" s="7">
        <f>IF($H906&gt;K906,MIN($H906-K906,L906-K906)*INDEX('2018_commission_structure'!$A$11:$I$14,MATCH(Calculations!$E906,'2018_commission_structure'!$A$11:$A$14,0), MATCH(Calculations!R$1,'2018_commission_structure'!$A$11:$I$11,0)),0)</f>
        <v>1332.1</v>
      </c>
      <c r="S906" s="7">
        <f>IF(H906&gt;L906,(H906-L906)*INDEX('2018_commission_structure'!$A$11:$I$14,MATCH(Calculations!$E906,'2018_commission_structure'!$A$11:$A$14,0),MATCH(Calculations!S$1,'2018_commission_structure'!$A$11:$I$11,0)),0)</f>
        <v>0</v>
      </c>
      <c r="T906" s="7">
        <f t="shared" si="131"/>
        <v>92582.1</v>
      </c>
      <c r="U906" s="7">
        <f t="shared" si="132"/>
        <v>147027.1</v>
      </c>
      <c r="V906" s="7">
        <f>MIN(H906,I906)*INDEX('2018_commission_structure'!$A$5:$J$8,MATCH(Calculations!$E906,'2018_commission_structure'!$A$5:$A$8,0),MATCH(Calculations!V$1,'2018_commission_structure'!$A$5:$J$5,0))</f>
        <v>60000</v>
      </c>
      <c r="W906" s="2">
        <f>IF($H906&gt;I906,MIN($H906-I906,J906-I906)*INDEX('2018_commission_structure'!$A$5:$J$8,MATCH(Calculations!$E906,'2018_commission_structure'!$A$5:$A$8,0),MATCH(Calculations!W$1,'2018_commission_structure'!$A$5:$J$5,0)),0)</f>
        <v>21250</v>
      </c>
      <c r="X906" s="2">
        <f>IF($H906&gt;J906,MIN($H906-J906,K906-J906)*INDEX('2018_commission_structure'!$A$5:$J$8,MATCH(Calculations!$E906,'2018_commission_structure'!$A$5:$A$8,0),MATCH(Calculations!X$1,'2018_commission_structure'!$A$5:$J$5,0)),0)</f>
        <v>25000</v>
      </c>
      <c r="Y906" s="2">
        <f>IF($H906&gt;K906,MIN($H906-K906,L906-K906)*INDEX('2018_commission_structure'!$A$5:$J$8,MATCH(Calculations!$E906,'2018_commission_structure'!$A$5:$A$8,0),MATCH(Calculations!Y$1,'2018_commission_structure'!$A$5:$J$5,0)),0)</f>
        <v>1332.1</v>
      </c>
      <c r="Z906" s="2">
        <f xml:space="preserve"> IF(H906&gt;L906,(H906-L906)*INDEX('2018_commission_structure'!$A$11:$I$14,MATCH(Calculations!$E906,'2018_commission_structure'!$A$11:$A$14,0),MATCH(Calculations!Z$1,'2018_commission_structure'!$A$11:$I$11,0)),0)</f>
        <v>0</v>
      </c>
      <c r="AA906" s="7">
        <f t="shared" si="133"/>
        <v>107582.1</v>
      </c>
      <c r="AB906" s="7">
        <f t="shared" si="134"/>
        <v>162027.1</v>
      </c>
    </row>
    <row r="907" spans="1:28" x14ac:dyDescent="0.25">
      <c r="A907">
        <v>7273123196</v>
      </c>
      <c r="B907" t="s">
        <v>54</v>
      </c>
      <c r="C907" t="s">
        <v>55</v>
      </c>
      <c r="D907" t="str">
        <f>B907&amp;" "&amp;C907</f>
        <v>Pet Tellenbrook</v>
      </c>
      <c r="E907" t="s">
        <v>10</v>
      </c>
      <c r="F907">
        <v>83514</v>
      </c>
      <c r="G907">
        <f>COUNTIF(deals_closed!D:D,Calculations!A907)</f>
        <v>24</v>
      </c>
      <c r="H907" s="2">
        <f>SUMIF(deals_closed!D:D,Calculations!A907,deals_closed!C:C)</f>
        <v>841603</v>
      </c>
      <c r="I907" s="2">
        <f>VLOOKUP(E907,'2018_commission_structure'!$A$11:$I$14,9,FALSE)</f>
        <v>750000</v>
      </c>
      <c r="J907" s="2">
        <f t="shared" si="126"/>
        <v>937500</v>
      </c>
      <c r="K907" s="2">
        <f t="shared" si="127"/>
        <v>1125000</v>
      </c>
      <c r="L907" s="2">
        <f t="shared" si="128"/>
        <v>1500000</v>
      </c>
      <c r="M907" s="6">
        <f t="shared" si="129"/>
        <v>1.1221373333333333</v>
      </c>
      <c r="N907" t="str">
        <f t="shared" si="130"/>
        <v>100-125%</v>
      </c>
      <c r="O907" s="7">
        <f>MIN(I907,H907)*INDEX('2018_commission_structure'!$A$11:$I$14,MATCH(Calculations!$E907,'2018_commission_structure'!$A$11:$A$14,0),MATCH(Calculations!O$1,'2018_commission_structure'!$A$11:$I$11,0))</f>
        <v>112500</v>
      </c>
      <c r="P907" s="7">
        <f>IF($H907&gt;I907,MIN($H907-I907,J907-I907)*INDEX('2018_commission_structure'!$A$11:$I$14,MATCH(Calculations!$E907,'2018_commission_structure'!$A$11:$A$14,0), MATCH(Calculations!P$1,'2018_commission_structure'!$A$11:$I$11,0)),0)</f>
        <v>17404.57</v>
      </c>
      <c r="Q907" s="7">
        <f>IF($H907&gt;J907,MIN($H907-J907,K907-J907)*INDEX('2018_commission_structure'!$A$11:$I$14,MATCH(Calculations!$E907,'2018_commission_structure'!$A$11:$A$14,0), MATCH(Calculations!Q$1,'2018_commission_structure'!$A$11:$I$11,0)),0)</f>
        <v>0</v>
      </c>
      <c r="R907" s="7">
        <f>IF($H907&gt;K907,MIN($H907-K907,L907-K907)*INDEX('2018_commission_structure'!$A$11:$I$14,MATCH(Calculations!$E907,'2018_commission_structure'!$A$11:$A$14,0), MATCH(Calculations!R$1,'2018_commission_structure'!$A$11:$I$11,0)),0)</f>
        <v>0</v>
      </c>
      <c r="S907" s="7">
        <f>IF(H907&gt;L907,(H907-L907)*INDEX('2018_commission_structure'!$A$11:$I$14,MATCH(Calculations!$E907,'2018_commission_structure'!$A$11:$A$14,0),MATCH(Calculations!S$1,'2018_commission_structure'!$A$11:$I$11,0)),0)</f>
        <v>0</v>
      </c>
      <c r="T907" s="7">
        <f t="shared" si="131"/>
        <v>129904.57</v>
      </c>
      <c r="U907" s="7">
        <f t="shared" si="132"/>
        <v>213418.57</v>
      </c>
      <c r="V907" s="7">
        <f>MIN(H907,I907)*INDEX('2018_commission_structure'!$A$5:$J$8,MATCH(Calculations!$E907,'2018_commission_structure'!$A$5:$A$8,0),MATCH(Calculations!V$1,'2018_commission_structure'!$A$5:$J$5,0))</f>
        <v>112500</v>
      </c>
      <c r="W907" s="2">
        <f>IF($H907&gt;I907,MIN($H907-I907,J907-I907)*INDEX('2018_commission_structure'!$A$5:$J$8,MATCH(Calculations!$E907,'2018_commission_structure'!$A$5:$A$8,0),MATCH(Calculations!W$1,'2018_commission_structure'!$A$5:$J$5,0)),0)</f>
        <v>20152.66</v>
      </c>
      <c r="X907" s="2">
        <f>IF($H907&gt;J907,MIN($H907-J907,K907-J907)*INDEX('2018_commission_structure'!$A$5:$J$8,MATCH(Calculations!$E907,'2018_commission_structure'!$A$5:$A$8,0),MATCH(Calculations!X$1,'2018_commission_structure'!$A$5:$J$5,0)),0)</f>
        <v>0</v>
      </c>
      <c r="Y907" s="2">
        <f>IF($H907&gt;K907,MIN($H907-K907,L907-K907)*INDEX('2018_commission_structure'!$A$5:$J$8,MATCH(Calculations!$E907,'2018_commission_structure'!$A$5:$A$8,0),MATCH(Calculations!Y$1,'2018_commission_structure'!$A$5:$J$5,0)),0)</f>
        <v>0</v>
      </c>
      <c r="Z907" s="2">
        <f xml:space="preserve"> IF(H907&gt;L907,(H907-L907)*INDEX('2018_commission_structure'!$A$11:$I$14,MATCH(Calculations!$E907,'2018_commission_structure'!$A$11:$A$14,0),MATCH(Calculations!Z$1,'2018_commission_structure'!$A$11:$I$11,0)),0)</f>
        <v>0</v>
      </c>
      <c r="AA907" s="7">
        <f t="shared" si="133"/>
        <v>132652.66</v>
      </c>
      <c r="AB907" s="7">
        <f t="shared" si="134"/>
        <v>216166.66</v>
      </c>
    </row>
    <row r="908" spans="1:28" x14ac:dyDescent="0.25">
      <c r="A908">
        <v>2885061928</v>
      </c>
      <c r="B908" t="s">
        <v>1775</v>
      </c>
      <c r="C908" t="s">
        <v>1776</v>
      </c>
      <c r="D908" t="str">
        <f>B908&amp;" "&amp;C908</f>
        <v>Cletis Temlett</v>
      </c>
      <c r="E908" t="s">
        <v>10</v>
      </c>
      <c r="F908">
        <v>104981</v>
      </c>
      <c r="G908">
        <f>COUNTIF(deals_closed!D:D,Calculations!A908)</f>
        <v>27</v>
      </c>
      <c r="H908" s="2">
        <f>SUMIF(deals_closed!D:D,Calculations!A908,deals_closed!C:C)</f>
        <v>961540</v>
      </c>
      <c r="I908" s="2">
        <f>VLOOKUP(E908,'2018_commission_structure'!$A$11:$I$14,9,FALSE)</f>
        <v>750000</v>
      </c>
      <c r="J908" s="2">
        <f t="shared" si="126"/>
        <v>937500</v>
      </c>
      <c r="K908" s="2">
        <f t="shared" si="127"/>
        <v>1125000</v>
      </c>
      <c r="L908" s="2">
        <f t="shared" si="128"/>
        <v>1500000</v>
      </c>
      <c r="M908" s="6">
        <f t="shared" si="129"/>
        <v>1.2820533333333333</v>
      </c>
      <c r="N908" t="str">
        <f t="shared" si="130"/>
        <v>125-150%</v>
      </c>
      <c r="O908" s="7">
        <f>MIN(I908,H908)*INDEX('2018_commission_structure'!$A$11:$I$14,MATCH(Calculations!$E908,'2018_commission_structure'!$A$11:$A$14,0),MATCH(Calculations!O$1,'2018_commission_structure'!$A$11:$I$11,0))</f>
        <v>112500</v>
      </c>
      <c r="P908" s="7">
        <f>IF($H908&gt;I908,MIN($H908-I908,J908-I908)*INDEX('2018_commission_structure'!$A$11:$I$14,MATCH(Calculations!$E908,'2018_commission_structure'!$A$11:$A$14,0), MATCH(Calculations!P$1,'2018_commission_structure'!$A$11:$I$11,0)),0)</f>
        <v>35625</v>
      </c>
      <c r="Q908" s="7">
        <f>IF($H908&gt;J908,MIN($H908-J908,K908-J908)*INDEX('2018_commission_structure'!$A$11:$I$14,MATCH(Calculations!$E908,'2018_commission_structure'!$A$11:$A$14,0), MATCH(Calculations!Q$1,'2018_commission_structure'!$A$11:$I$11,0)),0)</f>
        <v>5529.2</v>
      </c>
      <c r="R908" s="7">
        <f>IF($H908&gt;K908,MIN($H908-K908,L908-K908)*INDEX('2018_commission_structure'!$A$11:$I$14,MATCH(Calculations!$E908,'2018_commission_structure'!$A$11:$A$14,0), MATCH(Calculations!R$1,'2018_commission_structure'!$A$11:$I$11,0)),0)</f>
        <v>0</v>
      </c>
      <c r="S908" s="7">
        <f>IF(H908&gt;L908,(H908-L908)*INDEX('2018_commission_structure'!$A$11:$I$14,MATCH(Calculations!$E908,'2018_commission_structure'!$A$11:$A$14,0),MATCH(Calculations!S$1,'2018_commission_structure'!$A$11:$I$11,0)),0)</f>
        <v>0</v>
      </c>
      <c r="T908" s="7">
        <f t="shared" si="131"/>
        <v>153654.20000000001</v>
      </c>
      <c r="U908" s="7">
        <f t="shared" si="132"/>
        <v>258635.2</v>
      </c>
      <c r="V908" s="7">
        <f>MIN(H908,I908)*INDEX('2018_commission_structure'!$A$5:$J$8,MATCH(Calculations!$E908,'2018_commission_structure'!$A$5:$A$8,0),MATCH(Calculations!V$1,'2018_commission_structure'!$A$5:$J$5,0))</f>
        <v>112500</v>
      </c>
      <c r="W908" s="2">
        <f>IF($H908&gt;I908,MIN($H908-I908,J908-I908)*INDEX('2018_commission_structure'!$A$5:$J$8,MATCH(Calculations!$E908,'2018_commission_structure'!$A$5:$A$8,0),MATCH(Calculations!W$1,'2018_commission_structure'!$A$5:$J$5,0)),0)</f>
        <v>41250</v>
      </c>
      <c r="X908" s="2">
        <f>IF($H908&gt;J908,MIN($H908-J908,K908-J908)*INDEX('2018_commission_structure'!$A$5:$J$8,MATCH(Calculations!$E908,'2018_commission_structure'!$A$5:$A$8,0),MATCH(Calculations!X$1,'2018_commission_structure'!$A$5:$J$5,0)),0)</f>
        <v>6010</v>
      </c>
      <c r="Y908" s="2">
        <f>IF($H908&gt;K908,MIN($H908-K908,L908-K908)*INDEX('2018_commission_structure'!$A$5:$J$8,MATCH(Calculations!$E908,'2018_commission_structure'!$A$5:$A$8,0),MATCH(Calculations!Y$1,'2018_commission_structure'!$A$5:$J$5,0)),0)</f>
        <v>0</v>
      </c>
      <c r="Z908" s="2">
        <f xml:space="preserve"> IF(H908&gt;L908,(H908-L908)*INDEX('2018_commission_structure'!$A$11:$I$14,MATCH(Calculations!$E908,'2018_commission_structure'!$A$11:$A$14,0),MATCH(Calculations!Z$1,'2018_commission_structure'!$A$11:$I$11,0)),0)</f>
        <v>0</v>
      </c>
      <c r="AA908" s="7">
        <f t="shared" si="133"/>
        <v>159760</v>
      </c>
      <c r="AB908" s="7">
        <f t="shared" si="134"/>
        <v>264741</v>
      </c>
    </row>
    <row r="909" spans="1:28" x14ac:dyDescent="0.25">
      <c r="A909">
        <v>1657097021</v>
      </c>
      <c r="B909" t="s">
        <v>1649</v>
      </c>
      <c r="C909" t="s">
        <v>1650</v>
      </c>
      <c r="D909" t="str">
        <f>B909&amp;" "&amp;C909</f>
        <v>Lotta Thoresbie</v>
      </c>
      <c r="E909" t="s">
        <v>7</v>
      </c>
      <c r="F909">
        <v>50269</v>
      </c>
      <c r="G909">
        <f>COUNTIF(deals_closed!D:D,Calculations!A909)</f>
        <v>21</v>
      </c>
      <c r="H909" s="2">
        <f>SUMIF(deals_closed!D:D,Calculations!A909,deals_closed!C:C)</f>
        <v>831018</v>
      </c>
      <c r="I909" s="2">
        <f>VLOOKUP(E909,'2018_commission_structure'!$A$11:$I$14,9,FALSE)</f>
        <v>500000</v>
      </c>
      <c r="J909" s="2">
        <f t="shared" si="126"/>
        <v>625000</v>
      </c>
      <c r="K909" s="2">
        <f t="shared" si="127"/>
        <v>750000</v>
      </c>
      <c r="L909" s="2">
        <f t="shared" si="128"/>
        <v>1000000</v>
      </c>
      <c r="M909" s="6">
        <f t="shared" si="129"/>
        <v>1.6620360000000001</v>
      </c>
      <c r="N909" t="str">
        <f t="shared" si="130"/>
        <v>150-200%</v>
      </c>
      <c r="O909" s="7">
        <f>MIN(I909,H909)*INDEX('2018_commission_structure'!$A$11:$I$14,MATCH(Calculations!$E909,'2018_commission_structure'!$A$11:$A$14,0),MATCH(Calculations!O$1,'2018_commission_structure'!$A$11:$I$11,0))</f>
        <v>50000</v>
      </c>
      <c r="P909" s="7">
        <f>IF($H909&gt;I909,MIN($H909-I909,J909-I909)*INDEX('2018_commission_structure'!$A$11:$I$14,MATCH(Calculations!$E909,'2018_commission_structure'!$A$11:$A$14,0), MATCH(Calculations!P$1,'2018_commission_structure'!$A$11:$I$11,0)),0)</f>
        <v>18750</v>
      </c>
      <c r="Q909" s="7">
        <f>IF($H909&gt;J909,MIN($H909-J909,K909-J909)*INDEX('2018_commission_structure'!$A$11:$I$14,MATCH(Calculations!$E909,'2018_commission_structure'!$A$11:$A$14,0), MATCH(Calculations!Q$1,'2018_commission_structure'!$A$11:$I$11,0)),0)</f>
        <v>22500</v>
      </c>
      <c r="R909" s="7">
        <f>IF($H909&gt;K909,MIN($H909-K909,L909-K909)*INDEX('2018_commission_structure'!$A$11:$I$14,MATCH(Calculations!$E909,'2018_commission_structure'!$A$11:$A$14,0), MATCH(Calculations!R$1,'2018_commission_structure'!$A$11:$I$11,0)),0)</f>
        <v>17823.96</v>
      </c>
      <c r="S909" s="7">
        <f>IF(H909&gt;L909,(H909-L909)*INDEX('2018_commission_structure'!$A$11:$I$14,MATCH(Calculations!$E909,'2018_commission_structure'!$A$11:$A$14,0),MATCH(Calculations!S$1,'2018_commission_structure'!$A$11:$I$11,0)),0)</f>
        <v>0</v>
      </c>
      <c r="T909" s="7">
        <f t="shared" si="131"/>
        <v>109073.95999999999</v>
      </c>
      <c r="U909" s="7">
        <f t="shared" si="132"/>
        <v>159342.96</v>
      </c>
      <c r="V909" s="7">
        <f>MIN(H909,I909)*INDEX('2018_commission_structure'!$A$5:$J$8,MATCH(Calculations!$E909,'2018_commission_structure'!$A$5:$A$8,0),MATCH(Calculations!V$1,'2018_commission_structure'!$A$5:$J$5,0))</f>
        <v>60000</v>
      </c>
      <c r="W909" s="2">
        <f>IF($H909&gt;I909,MIN($H909-I909,J909-I909)*INDEX('2018_commission_structure'!$A$5:$J$8,MATCH(Calculations!$E909,'2018_commission_structure'!$A$5:$A$8,0),MATCH(Calculations!W$1,'2018_commission_structure'!$A$5:$J$5,0)),0)</f>
        <v>21250</v>
      </c>
      <c r="X909" s="2">
        <f>IF($H909&gt;J909,MIN($H909-J909,K909-J909)*INDEX('2018_commission_structure'!$A$5:$J$8,MATCH(Calculations!$E909,'2018_commission_structure'!$A$5:$A$8,0),MATCH(Calculations!X$1,'2018_commission_structure'!$A$5:$J$5,0)),0)</f>
        <v>25000</v>
      </c>
      <c r="Y909" s="2">
        <f>IF($H909&gt;K909,MIN($H909-K909,L909-K909)*INDEX('2018_commission_structure'!$A$5:$J$8,MATCH(Calculations!$E909,'2018_commission_structure'!$A$5:$A$8,0),MATCH(Calculations!Y$1,'2018_commission_structure'!$A$5:$J$5,0)),0)</f>
        <v>17823.96</v>
      </c>
      <c r="Z909" s="2">
        <f xml:space="preserve"> IF(H909&gt;L909,(H909-L909)*INDEX('2018_commission_structure'!$A$11:$I$14,MATCH(Calculations!$E909,'2018_commission_structure'!$A$11:$A$14,0),MATCH(Calculations!Z$1,'2018_commission_structure'!$A$11:$I$11,0)),0)</f>
        <v>0</v>
      </c>
      <c r="AA909" s="7">
        <f t="shared" si="133"/>
        <v>124073.95999999999</v>
      </c>
      <c r="AB909" s="7">
        <f t="shared" si="134"/>
        <v>174342.96</v>
      </c>
    </row>
    <row r="910" spans="1:28" x14ac:dyDescent="0.25">
      <c r="A910">
        <v>2136806068</v>
      </c>
      <c r="B910" t="s">
        <v>1241</v>
      </c>
      <c r="C910" t="s">
        <v>1906</v>
      </c>
      <c r="D910" t="str">
        <f>B910&amp;" "&amp;C910</f>
        <v>Chan Thorwarth</v>
      </c>
      <c r="E910" t="s">
        <v>29</v>
      </c>
      <c r="F910">
        <v>75616</v>
      </c>
      <c r="G910">
        <f>COUNTIF(deals_closed!D:D,Calculations!A910)</f>
        <v>13</v>
      </c>
      <c r="H910" s="2">
        <f>SUMIF(deals_closed!D:D,Calculations!A910,deals_closed!C:C)</f>
        <v>478069</v>
      </c>
      <c r="I910" s="2">
        <f>VLOOKUP(E910,'2018_commission_structure'!$A$11:$I$14,9,FALSE)</f>
        <v>600000</v>
      </c>
      <c r="J910" s="2">
        <f t="shared" si="126"/>
        <v>750000</v>
      </c>
      <c r="K910" s="2">
        <f t="shared" si="127"/>
        <v>900000</v>
      </c>
      <c r="L910" s="2">
        <f t="shared" si="128"/>
        <v>1200000</v>
      </c>
      <c r="M910" s="6">
        <f t="shared" si="129"/>
        <v>0.79678166666666672</v>
      </c>
      <c r="N910" t="str">
        <f t="shared" si="130"/>
        <v>0-100%</v>
      </c>
      <c r="O910" s="7">
        <f>MIN(I910,H910)*INDEX('2018_commission_structure'!$A$11:$I$14,MATCH(Calculations!$E910,'2018_commission_structure'!$A$11:$A$14,0),MATCH(Calculations!O$1,'2018_commission_structure'!$A$11:$I$11,0))</f>
        <v>62148.97</v>
      </c>
      <c r="P910" s="7">
        <f>IF($H910&gt;I910,MIN($H910-I910,J910-I910)*INDEX('2018_commission_structure'!$A$11:$I$14,MATCH(Calculations!$E910,'2018_commission_structure'!$A$11:$A$14,0), MATCH(Calculations!P$1,'2018_commission_structure'!$A$11:$I$11,0)),0)</f>
        <v>0</v>
      </c>
      <c r="Q910" s="7">
        <f>IF($H910&gt;J910,MIN($H910-J910,K910-J910)*INDEX('2018_commission_structure'!$A$11:$I$14,MATCH(Calculations!$E910,'2018_commission_structure'!$A$11:$A$14,0), MATCH(Calculations!Q$1,'2018_commission_structure'!$A$11:$I$11,0)),0)</f>
        <v>0</v>
      </c>
      <c r="R910" s="7">
        <f>IF($H910&gt;K910,MIN($H910-K910,L910-K910)*INDEX('2018_commission_structure'!$A$11:$I$14,MATCH(Calculations!$E910,'2018_commission_structure'!$A$11:$A$14,0), MATCH(Calculations!R$1,'2018_commission_structure'!$A$11:$I$11,0)),0)</f>
        <v>0</v>
      </c>
      <c r="S910" s="7">
        <f>IF(H910&gt;L910,(H910-L910)*INDEX('2018_commission_structure'!$A$11:$I$14,MATCH(Calculations!$E910,'2018_commission_structure'!$A$11:$A$14,0),MATCH(Calculations!S$1,'2018_commission_structure'!$A$11:$I$11,0)),0)</f>
        <v>0</v>
      </c>
      <c r="T910" s="7">
        <f t="shared" si="131"/>
        <v>62148.97</v>
      </c>
      <c r="U910" s="7">
        <f t="shared" si="132"/>
        <v>137764.97</v>
      </c>
      <c r="V910" s="7">
        <f>MIN(H910,I910)*INDEX('2018_commission_structure'!$A$5:$J$8,MATCH(Calculations!$E910,'2018_commission_structure'!$A$5:$A$8,0),MATCH(Calculations!V$1,'2018_commission_structure'!$A$5:$J$5,0))</f>
        <v>71710.349999999991</v>
      </c>
      <c r="W910" s="2">
        <f>IF($H910&gt;I910,MIN($H910-I910,J910-I910)*INDEX('2018_commission_structure'!$A$5:$J$8,MATCH(Calculations!$E910,'2018_commission_structure'!$A$5:$A$8,0),MATCH(Calculations!W$1,'2018_commission_structure'!$A$5:$J$5,0)),0)</f>
        <v>0</v>
      </c>
      <c r="X910" s="2">
        <f>IF($H910&gt;J910,MIN($H910-J910,K910-J910)*INDEX('2018_commission_structure'!$A$5:$J$8,MATCH(Calculations!$E910,'2018_commission_structure'!$A$5:$A$8,0),MATCH(Calculations!X$1,'2018_commission_structure'!$A$5:$J$5,0)),0)</f>
        <v>0</v>
      </c>
      <c r="Y910" s="2">
        <f>IF($H910&gt;K910,MIN($H910-K910,L910-K910)*INDEX('2018_commission_structure'!$A$5:$J$8,MATCH(Calculations!$E910,'2018_commission_structure'!$A$5:$A$8,0),MATCH(Calculations!Y$1,'2018_commission_structure'!$A$5:$J$5,0)),0)</f>
        <v>0</v>
      </c>
      <c r="Z910" s="2">
        <f xml:space="preserve"> IF(H910&gt;L910,(H910-L910)*INDEX('2018_commission_structure'!$A$11:$I$14,MATCH(Calculations!$E910,'2018_commission_structure'!$A$11:$A$14,0),MATCH(Calculations!Z$1,'2018_commission_structure'!$A$11:$I$11,0)),0)</f>
        <v>0</v>
      </c>
      <c r="AA910" s="7">
        <f t="shared" si="133"/>
        <v>71710.349999999991</v>
      </c>
      <c r="AB910" s="7">
        <f t="shared" si="134"/>
        <v>147326.34999999998</v>
      </c>
    </row>
    <row r="911" spans="1:28" x14ac:dyDescent="0.25">
      <c r="A911">
        <v>1990335721</v>
      </c>
      <c r="B911" t="s">
        <v>1570</v>
      </c>
      <c r="C911" t="s">
        <v>1799</v>
      </c>
      <c r="D911" t="str">
        <f>B911&amp;" "&amp;C911</f>
        <v>Garey Thow</v>
      </c>
      <c r="E911" t="s">
        <v>29</v>
      </c>
      <c r="F911">
        <v>54491</v>
      </c>
      <c r="G911">
        <f>COUNTIF(deals_closed!D:D,Calculations!A911)</f>
        <v>20</v>
      </c>
      <c r="H911" s="2">
        <f>SUMIF(deals_closed!D:D,Calculations!A911,deals_closed!C:C)</f>
        <v>722680</v>
      </c>
      <c r="I911" s="2">
        <f>VLOOKUP(E911,'2018_commission_structure'!$A$11:$I$14,9,FALSE)</f>
        <v>600000</v>
      </c>
      <c r="J911" s="2">
        <f t="shared" si="126"/>
        <v>750000</v>
      </c>
      <c r="K911" s="2">
        <f t="shared" si="127"/>
        <v>900000</v>
      </c>
      <c r="L911" s="2">
        <f t="shared" si="128"/>
        <v>1200000</v>
      </c>
      <c r="M911" s="6">
        <f t="shared" si="129"/>
        <v>1.2044666666666666</v>
      </c>
      <c r="N911" t="str">
        <f t="shared" si="130"/>
        <v>100-125%</v>
      </c>
      <c r="O911" s="7">
        <f>MIN(I911,H911)*INDEX('2018_commission_structure'!$A$11:$I$14,MATCH(Calculations!$E911,'2018_commission_structure'!$A$11:$A$14,0),MATCH(Calculations!O$1,'2018_commission_structure'!$A$11:$I$11,0))</f>
        <v>78000</v>
      </c>
      <c r="P911" s="7">
        <f>IF($H911&gt;I911,MIN($H911-I911,J911-I911)*INDEX('2018_commission_structure'!$A$11:$I$14,MATCH(Calculations!$E911,'2018_commission_structure'!$A$11:$A$14,0), MATCH(Calculations!P$1,'2018_commission_structure'!$A$11:$I$11,0)),0)</f>
        <v>20855.600000000002</v>
      </c>
      <c r="Q911" s="7">
        <f>IF($H911&gt;J911,MIN($H911-J911,K911-J911)*INDEX('2018_commission_structure'!$A$11:$I$14,MATCH(Calculations!$E911,'2018_commission_structure'!$A$11:$A$14,0), MATCH(Calculations!Q$1,'2018_commission_structure'!$A$11:$I$11,0)),0)</f>
        <v>0</v>
      </c>
      <c r="R911" s="7">
        <f>IF($H911&gt;K911,MIN($H911-K911,L911-K911)*INDEX('2018_commission_structure'!$A$11:$I$14,MATCH(Calculations!$E911,'2018_commission_structure'!$A$11:$A$14,0), MATCH(Calculations!R$1,'2018_commission_structure'!$A$11:$I$11,0)),0)</f>
        <v>0</v>
      </c>
      <c r="S911" s="7">
        <f>IF(H911&gt;L911,(H911-L911)*INDEX('2018_commission_structure'!$A$11:$I$14,MATCH(Calculations!$E911,'2018_commission_structure'!$A$11:$A$14,0),MATCH(Calculations!S$1,'2018_commission_structure'!$A$11:$I$11,0)),0)</f>
        <v>0</v>
      </c>
      <c r="T911" s="7">
        <f t="shared" si="131"/>
        <v>98855.6</v>
      </c>
      <c r="U911" s="7">
        <f t="shared" si="132"/>
        <v>153346.6</v>
      </c>
      <c r="V911" s="7">
        <f>MIN(H911,I911)*INDEX('2018_commission_structure'!$A$5:$J$8,MATCH(Calculations!$E911,'2018_commission_structure'!$A$5:$A$8,0),MATCH(Calculations!V$1,'2018_commission_structure'!$A$5:$J$5,0))</f>
        <v>90000</v>
      </c>
      <c r="W911" s="2">
        <f>IF($H911&gt;I911,MIN($H911-I911,J911-I911)*INDEX('2018_commission_structure'!$A$5:$J$8,MATCH(Calculations!$E911,'2018_commission_structure'!$A$5:$A$8,0),MATCH(Calculations!W$1,'2018_commission_structure'!$A$5:$J$5,0)),0)</f>
        <v>22082.399999999998</v>
      </c>
      <c r="X911" s="2">
        <f>IF($H911&gt;J911,MIN($H911-J911,K911-J911)*INDEX('2018_commission_structure'!$A$5:$J$8,MATCH(Calculations!$E911,'2018_commission_structure'!$A$5:$A$8,0),MATCH(Calculations!X$1,'2018_commission_structure'!$A$5:$J$5,0)),0)</f>
        <v>0</v>
      </c>
      <c r="Y911" s="2">
        <f>IF($H911&gt;K911,MIN($H911-K911,L911-K911)*INDEX('2018_commission_structure'!$A$5:$J$8,MATCH(Calculations!$E911,'2018_commission_structure'!$A$5:$A$8,0),MATCH(Calculations!Y$1,'2018_commission_structure'!$A$5:$J$5,0)),0)</f>
        <v>0</v>
      </c>
      <c r="Z911" s="2">
        <f xml:space="preserve"> IF(H911&gt;L911,(H911-L911)*INDEX('2018_commission_structure'!$A$11:$I$14,MATCH(Calculations!$E911,'2018_commission_structure'!$A$11:$A$14,0),MATCH(Calculations!Z$1,'2018_commission_structure'!$A$11:$I$11,0)),0)</f>
        <v>0</v>
      </c>
      <c r="AA911" s="7">
        <f t="shared" si="133"/>
        <v>112082.4</v>
      </c>
      <c r="AB911" s="7">
        <f t="shared" si="134"/>
        <v>166573.4</v>
      </c>
    </row>
    <row r="912" spans="1:28" x14ac:dyDescent="0.25">
      <c r="A912">
        <v>5726465660</v>
      </c>
      <c r="B912" t="s">
        <v>1607</v>
      </c>
      <c r="C912" t="s">
        <v>1608</v>
      </c>
      <c r="D912" t="str">
        <f>B912&amp;" "&amp;C912</f>
        <v>Abdul Thunnerclef</v>
      </c>
      <c r="E912" t="s">
        <v>29</v>
      </c>
      <c r="F912">
        <v>60233</v>
      </c>
      <c r="G912">
        <f>COUNTIF(deals_closed!D:D,Calculations!A912)</f>
        <v>22</v>
      </c>
      <c r="H912" s="2">
        <f>SUMIF(deals_closed!D:D,Calculations!A912,deals_closed!C:C)</f>
        <v>799312</v>
      </c>
      <c r="I912" s="2">
        <f>VLOOKUP(E912,'2018_commission_structure'!$A$11:$I$14,9,FALSE)</f>
        <v>600000</v>
      </c>
      <c r="J912" s="2">
        <f t="shared" si="126"/>
        <v>750000</v>
      </c>
      <c r="K912" s="2">
        <f t="shared" si="127"/>
        <v>900000</v>
      </c>
      <c r="L912" s="2">
        <f t="shared" si="128"/>
        <v>1200000</v>
      </c>
      <c r="M912" s="6">
        <f t="shared" si="129"/>
        <v>1.3321866666666666</v>
      </c>
      <c r="N912" t="str">
        <f t="shared" si="130"/>
        <v>125-150%</v>
      </c>
      <c r="O912" s="7">
        <f>MIN(I912,H912)*INDEX('2018_commission_structure'!$A$11:$I$14,MATCH(Calculations!$E912,'2018_commission_structure'!$A$11:$A$14,0),MATCH(Calculations!O$1,'2018_commission_structure'!$A$11:$I$11,0))</f>
        <v>78000</v>
      </c>
      <c r="P912" s="7">
        <f>IF($H912&gt;I912,MIN($H912-I912,J912-I912)*INDEX('2018_commission_structure'!$A$11:$I$14,MATCH(Calculations!$E912,'2018_commission_structure'!$A$11:$A$14,0), MATCH(Calculations!P$1,'2018_commission_structure'!$A$11:$I$11,0)),0)</f>
        <v>25500.000000000004</v>
      </c>
      <c r="Q912" s="7">
        <f>IF($H912&gt;J912,MIN($H912-J912,K912-J912)*INDEX('2018_commission_structure'!$A$11:$I$14,MATCH(Calculations!$E912,'2018_commission_structure'!$A$11:$A$14,0), MATCH(Calculations!Q$1,'2018_commission_structure'!$A$11:$I$11,0)),0)</f>
        <v>10355.52</v>
      </c>
      <c r="R912" s="7">
        <f>IF($H912&gt;K912,MIN($H912-K912,L912-K912)*INDEX('2018_commission_structure'!$A$11:$I$14,MATCH(Calculations!$E912,'2018_commission_structure'!$A$11:$A$14,0), MATCH(Calculations!R$1,'2018_commission_structure'!$A$11:$I$11,0)),0)</f>
        <v>0</v>
      </c>
      <c r="S912" s="7">
        <f>IF(H912&gt;L912,(H912-L912)*INDEX('2018_commission_structure'!$A$11:$I$14,MATCH(Calculations!$E912,'2018_commission_structure'!$A$11:$A$14,0),MATCH(Calculations!S$1,'2018_commission_structure'!$A$11:$I$11,0)),0)</f>
        <v>0</v>
      </c>
      <c r="T912" s="7">
        <f t="shared" si="131"/>
        <v>113855.52</v>
      </c>
      <c r="U912" s="7">
        <f t="shared" si="132"/>
        <v>174088.52000000002</v>
      </c>
      <c r="V912" s="7">
        <f>MIN(H912,I912)*INDEX('2018_commission_structure'!$A$5:$J$8,MATCH(Calculations!$E912,'2018_commission_structure'!$A$5:$A$8,0),MATCH(Calculations!V$1,'2018_commission_structure'!$A$5:$J$5,0))</f>
        <v>90000</v>
      </c>
      <c r="W912" s="2">
        <f>IF($H912&gt;I912,MIN($H912-I912,J912-I912)*INDEX('2018_commission_structure'!$A$5:$J$8,MATCH(Calculations!$E912,'2018_commission_structure'!$A$5:$A$8,0),MATCH(Calculations!W$1,'2018_commission_structure'!$A$5:$J$5,0)),0)</f>
        <v>27000</v>
      </c>
      <c r="X912" s="2">
        <f>IF($H912&gt;J912,MIN($H912-J912,K912-J912)*INDEX('2018_commission_structure'!$A$5:$J$8,MATCH(Calculations!$E912,'2018_commission_structure'!$A$5:$A$8,0),MATCH(Calculations!X$1,'2018_commission_structure'!$A$5:$J$5,0)),0)</f>
        <v>12328</v>
      </c>
      <c r="Y912" s="2">
        <f>IF($H912&gt;K912,MIN($H912-K912,L912-K912)*INDEX('2018_commission_structure'!$A$5:$J$8,MATCH(Calculations!$E912,'2018_commission_structure'!$A$5:$A$8,0),MATCH(Calculations!Y$1,'2018_commission_structure'!$A$5:$J$5,0)),0)</f>
        <v>0</v>
      </c>
      <c r="Z912" s="2">
        <f xml:space="preserve"> IF(H912&gt;L912,(H912-L912)*INDEX('2018_commission_structure'!$A$11:$I$14,MATCH(Calculations!$E912,'2018_commission_structure'!$A$11:$A$14,0),MATCH(Calculations!Z$1,'2018_commission_structure'!$A$11:$I$11,0)),0)</f>
        <v>0</v>
      </c>
      <c r="AA912" s="7">
        <f t="shared" si="133"/>
        <v>129328</v>
      </c>
      <c r="AB912" s="7">
        <f t="shared" si="134"/>
        <v>189561</v>
      </c>
    </row>
    <row r="913" spans="1:28" x14ac:dyDescent="0.25">
      <c r="A913">
        <v>1598957961</v>
      </c>
      <c r="B913" t="s">
        <v>64</v>
      </c>
      <c r="C913" t="s">
        <v>65</v>
      </c>
      <c r="D913" t="str">
        <f>B913&amp;" "&amp;C913</f>
        <v>Mil Tichelaar</v>
      </c>
      <c r="E913" t="s">
        <v>10</v>
      </c>
      <c r="F913">
        <v>75679</v>
      </c>
      <c r="G913">
        <f>COUNTIF(deals_closed!D:D,Calculations!A913)</f>
        <v>30</v>
      </c>
      <c r="H913" s="2">
        <f>SUMIF(deals_closed!D:D,Calculations!A913,deals_closed!C:C)</f>
        <v>1143449</v>
      </c>
      <c r="I913" s="2">
        <f>VLOOKUP(E913,'2018_commission_structure'!$A$11:$I$14,9,FALSE)</f>
        <v>750000</v>
      </c>
      <c r="J913" s="2">
        <f t="shared" si="126"/>
        <v>937500</v>
      </c>
      <c r="K913" s="2">
        <f t="shared" si="127"/>
        <v>1125000</v>
      </c>
      <c r="L913" s="2">
        <f t="shared" si="128"/>
        <v>1500000</v>
      </c>
      <c r="M913" s="6">
        <f t="shared" si="129"/>
        <v>1.5245986666666667</v>
      </c>
      <c r="N913" t="str">
        <f t="shared" si="130"/>
        <v>150-200%</v>
      </c>
      <c r="O913" s="7">
        <f>MIN(I913,H913)*INDEX('2018_commission_structure'!$A$11:$I$14,MATCH(Calculations!$E913,'2018_commission_structure'!$A$11:$A$14,0),MATCH(Calculations!O$1,'2018_commission_structure'!$A$11:$I$11,0))</f>
        <v>112500</v>
      </c>
      <c r="P913" s="7">
        <f>IF($H913&gt;I913,MIN($H913-I913,J913-I913)*INDEX('2018_commission_structure'!$A$11:$I$14,MATCH(Calculations!$E913,'2018_commission_structure'!$A$11:$A$14,0), MATCH(Calculations!P$1,'2018_commission_structure'!$A$11:$I$11,0)),0)</f>
        <v>35625</v>
      </c>
      <c r="Q913" s="7">
        <f>IF($H913&gt;J913,MIN($H913-J913,K913-J913)*INDEX('2018_commission_structure'!$A$11:$I$14,MATCH(Calculations!$E913,'2018_commission_structure'!$A$11:$A$14,0), MATCH(Calculations!Q$1,'2018_commission_structure'!$A$11:$I$11,0)),0)</f>
        <v>43125</v>
      </c>
      <c r="R913" s="7">
        <f>IF($H913&gt;K913,MIN($H913-K913,L913-K913)*INDEX('2018_commission_structure'!$A$11:$I$14,MATCH(Calculations!$E913,'2018_commission_structure'!$A$11:$A$14,0), MATCH(Calculations!R$1,'2018_commission_structure'!$A$11:$I$11,0)),0)</f>
        <v>5534.7</v>
      </c>
      <c r="S913" s="7">
        <f>IF(H913&gt;L913,(H913-L913)*INDEX('2018_commission_structure'!$A$11:$I$14,MATCH(Calculations!$E913,'2018_commission_structure'!$A$11:$A$14,0),MATCH(Calculations!S$1,'2018_commission_structure'!$A$11:$I$11,0)),0)</f>
        <v>0</v>
      </c>
      <c r="T913" s="7">
        <f t="shared" si="131"/>
        <v>196784.7</v>
      </c>
      <c r="U913" s="7">
        <f t="shared" si="132"/>
        <v>272463.7</v>
      </c>
      <c r="V913" s="7">
        <f>MIN(H913,I913)*INDEX('2018_commission_structure'!$A$5:$J$8,MATCH(Calculations!$E913,'2018_commission_structure'!$A$5:$A$8,0),MATCH(Calculations!V$1,'2018_commission_structure'!$A$5:$J$5,0))</f>
        <v>112500</v>
      </c>
      <c r="W913" s="2">
        <f>IF($H913&gt;I913,MIN($H913-I913,J913-I913)*INDEX('2018_commission_structure'!$A$5:$J$8,MATCH(Calculations!$E913,'2018_commission_structure'!$A$5:$A$8,0),MATCH(Calculations!W$1,'2018_commission_structure'!$A$5:$J$5,0)),0)</f>
        <v>41250</v>
      </c>
      <c r="X913" s="2">
        <f>IF($H913&gt;J913,MIN($H913-J913,K913-J913)*INDEX('2018_commission_structure'!$A$5:$J$8,MATCH(Calculations!$E913,'2018_commission_structure'!$A$5:$A$8,0),MATCH(Calculations!X$1,'2018_commission_structure'!$A$5:$J$5,0)),0)</f>
        <v>46875</v>
      </c>
      <c r="Y913" s="2">
        <f>IF($H913&gt;K913,MIN($H913-K913,L913-K913)*INDEX('2018_commission_structure'!$A$5:$J$8,MATCH(Calculations!$E913,'2018_commission_structure'!$A$5:$A$8,0),MATCH(Calculations!Y$1,'2018_commission_structure'!$A$5:$J$5,0)),0)</f>
        <v>6088.17</v>
      </c>
      <c r="Z913" s="2">
        <f xml:space="preserve"> IF(H913&gt;L913,(H913-L913)*INDEX('2018_commission_structure'!$A$11:$I$14,MATCH(Calculations!$E913,'2018_commission_structure'!$A$11:$A$14,0),MATCH(Calculations!Z$1,'2018_commission_structure'!$A$11:$I$11,0)),0)</f>
        <v>0</v>
      </c>
      <c r="AA913" s="7">
        <f t="shared" si="133"/>
        <v>206713.17</v>
      </c>
      <c r="AB913" s="7">
        <f t="shared" si="134"/>
        <v>282392.17000000004</v>
      </c>
    </row>
    <row r="914" spans="1:28" x14ac:dyDescent="0.25">
      <c r="A914">
        <v>4328154427</v>
      </c>
      <c r="B914" t="s">
        <v>1079</v>
      </c>
      <c r="C914" t="s">
        <v>1080</v>
      </c>
      <c r="D914" t="str">
        <f>B914&amp;" "&amp;C914</f>
        <v>Christabella Timblett</v>
      </c>
      <c r="E914" t="s">
        <v>7</v>
      </c>
      <c r="F914">
        <v>34691</v>
      </c>
      <c r="G914">
        <f>COUNTIF(deals_closed!D:D,Calculations!A914)</f>
        <v>20</v>
      </c>
      <c r="H914" s="2">
        <f>SUMIF(deals_closed!D:D,Calculations!A914,deals_closed!C:C)</f>
        <v>637072</v>
      </c>
      <c r="I914" s="2">
        <f>VLOOKUP(E914,'2018_commission_structure'!$A$11:$I$14,9,FALSE)</f>
        <v>500000</v>
      </c>
      <c r="J914" s="2">
        <f t="shared" si="126"/>
        <v>625000</v>
      </c>
      <c r="K914" s="2">
        <f t="shared" si="127"/>
        <v>750000</v>
      </c>
      <c r="L914" s="2">
        <f t="shared" si="128"/>
        <v>1000000</v>
      </c>
      <c r="M914" s="6">
        <f t="shared" si="129"/>
        <v>1.2741439999999999</v>
      </c>
      <c r="N914" t="str">
        <f t="shared" si="130"/>
        <v>125-150%</v>
      </c>
      <c r="O914" s="7">
        <f>MIN(I914,H914)*INDEX('2018_commission_structure'!$A$11:$I$14,MATCH(Calculations!$E914,'2018_commission_structure'!$A$11:$A$14,0),MATCH(Calculations!O$1,'2018_commission_structure'!$A$11:$I$11,0))</f>
        <v>50000</v>
      </c>
      <c r="P914" s="7">
        <f>IF($H914&gt;I914,MIN($H914-I914,J914-I914)*INDEX('2018_commission_structure'!$A$11:$I$14,MATCH(Calculations!$E914,'2018_commission_structure'!$A$11:$A$14,0), MATCH(Calculations!P$1,'2018_commission_structure'!$A$11:$I$11,0)),0)</f>
        <v>18750</v>
      </c>
      <c r="Q914" s="7">
        <f>IF($H914&gt;J914,MIN($H914-J914,K914-J914)*INDEX('2018_commission_structure'!$A$11:$I$14,MATCH(Calculations!$E914,'2018_commission_structure'!$A$11:$A$14,0), MATCH(Calculations!Q$1,'2018_commission_structure'!$A$11:$I$11,0)),0)</f>
        <v>2172.96</v>
      </c>
      <c r="R914" s="7">
        <f>IF($H914&gt;K914,MIN($H914-K914,L914-K914)*INDEX('2018_commission_structure'!$A$11:$I$14,MATCH(Calculations!$E914,'2018_commission_structure'!$A$11:$A$14,0), MATCH(Calculations!R$1,'2018_commission_structure'!$A$11:$I$11,0)),0)</f>
        <v>0</v>
      </c>
      <c r="S914" s="7">
        <f>IF(H914&gt;L914,(H914-L914)*INDEX('2018_commission_structure'!$A$11:$I$14,MATCH(Calculations!$E914,'2018_commission_structure'!$A$11:$A$14,0),MATCH(Calculations!S$1,'2018_commission_structure'!$A$11:$I$11,0)),0)</f>
        <v>0</v>
      </c>
      <c r="T914" s="7">
        <f t="shared" si="131"/>
        <v>70922.960000000006</v>
      </c>
      <c r="U914" s="7">
        <f t="shared" si="132"/>
        <v>105613.96</v>
      </c>
      <c r="V914" s="7">
        <f>MIN(H914,I914)*INDEX('2018_commission_structure'!$A$5:$J$8,MATCH(Calculations!$E914,'2018_commission_structure'!$A$5:$A$8,0),MATCH(Calculations!V$1,'2018_commission_structure'!$A$5:$J$5,0))</f>
        <v>60000</v>
      </c>
      <c r="W914" s="2">
        <f>IF($H914&gt;I914,MIN($H914-I914,J914-I914)*INDEX('2018_commission_structure'!$A$5:$J$8,MATCH(Calculations!$E914,'2018_commission_structure'!$A$5:$A$8,0),MATCH(Calculations!W$1,'2018_commission_structure'!$A$5:$J$5,0)),0)</f>
        <v>21250</v>
      </c>
      <c r="X914" s="2">
        <f>IF($H914&gt;J914,MIN($H914-J914,K914-J914)*INDEX('2018_commission_structure'!$A$5:$J$8,MATCH(Calculations!$E914,'2018_commission_structure'!$A$5:$A$8,0),MATCH(Calculations!X$1,'2018_commission_structure'!$A$5:$J$5,0)),0)</f>
        <v>2414.4</v>
      </c>
      <c r="Y914" s="2">
        <f>IF($H914&gt;K914,MIN($H914-K914,L914-K914)*INDEX('2018_commission_structure'!$A$5:$J$8,MATCH(Calculations!$E914,'2018_commission_structure'!$A$5:$A$8,0),MATCH(Calculations!Y$1,'2018_commission_structure'!$A$5:$J$5,0)),0)</f>
        <v>0</v>
      </c>
      <c r="Z914" s="2">
        <f xml:space="preserve"> IF(H914&gt;L914,(H914-L914)*INDEX('2018_commission_structure'!$A$11:$I$14,MATCH(Calculations!$E914,'2018_commission_structure'!$A$11:$A$14,0),MATCH(Calculations!Z$1,'2018_commission_structure'!$A$11:$I$11,0)),0)</f>
        <v>0</v>
      </c>
      <c r="AA914" s="7">
        <f t="shared" si="133"/>
        <v>83664.399999999994</v>
      </c>
      <c r="AB914" s="7">
        <f t="shared" si="134"/>
        <v>118355.4</v>
      </c>
    </row>
    <row r="915" spans="1:28" x14ac:dyDescent="0.25">
      <c r="A915">
        <v>5241020535</v>
      </c>
      <c r="B915" t="s">
        <v>1718</v>
      </c>
      <c r="C915" t="s">
        <v>1719</v>
      </c>
      <c r="D915" t="str">
        <f>B915&amp;" "&amp;C915</f>
        <v>Meara Timmis</v>
      </c>
      <c r="E915" t="s">
        <v>7</v>
      </c>
      <c r="F915">
        <v>38828</v>
      </c>
      <c r="G915">
        <f>COUNTIF(deals_closed!D:D,Calculations!A915)</f>
        <v>25</v>
      </c>
      <c r="H915" s="2">
        <f>SUMIF(deals_closed!D:D,Calculations!A915,deals_closed!C:C)</f>
        <v>863714</v>
      </c>
      <c r="I915" s="2">
        <f>VLOOKUP(E915,'2018_commission_structure'!$A$11:$I$14,9,FALSE)</f>
        <v>500000</v>
      </c>
      <c r="J915" s="2">
        <f t="shared" si="126"/>
        <v>625000</v>
      </c>
      <c r="K915" s="2">
        <f t="shared" si="127"/>
        <v>750000</v>
      </c>
      <c r="L915" s="2">
        <f t="shared" si="128"/>
        <v>1000000</v>
      </c>
      <c r="M915" s="6">
        <f t="shared" si="129"/>
        <v>1.727428</v>
      </c>
      <c r="N915" t="str">
        <f t="shared" si="130"/>
        <v>150-200%</v>
      </c>
      <c r="O915" s="7">
        <f>MIN(I915,H915)*INDEX('2018_commission_structure'!$A$11:$I$14,MATCH(Calculations!$E915,'2018_commission_structure'!$A$11:$A$14,0),MATCH(Calculations!O$1,'2018_commission_structure'!$A$11:$I$11,0))</f>
        <v>50000</v>
      </c>
      <c r="P915" s="7">
        <f>IF($H915&gt;I915,MIN($H915-I915,J915-I915)*INDEX('2018_commission_structure'!$A$11:$I$14,MATCH(Calculations!$E915,'2018_commission_structure'!$A$11:$A$14,0), MATCH(Calculations!P$1,'2018_commission_structure'!$A$11:$I$11,0)),0)</f>
        <v>18750</v>
      </c>
      <c r="Q915" s="7">
        <f>IF($H915&gt;J915,MIN($H915-J915,K915-J915)*INDEX('2018_commission_structure'!$A$11:$I$14,MATCH(Calculations!$E915,'2018_commission_structure'!$A$11:$A$14,0), MATCH(Calculations!Q$1,'2018_commission_structure'!$A$11:$I$11,0)),0)</f>
        <v>22500</v>
      </c>
      <c r="R915" s="7">
        <f>IF($H915&gt;K915,MIN($H915-K915,L915-K915)*INDEX('2018_commission_structure'!$A$11:$I$14,MATCH(Calculations!$E915,'2018_commission_structure'!$A$11:$A$14,0), MATCH(Calculations!R$1,'2018_commission_structure'!$A$11:$I$11,0)),0)</f>
        <v>25017.08</v>
      </c>
      <c r="S915" s="7">
        <f>IF(H915&gt;L915,(H915-L915)*INDEX('2018_commission_structure'!$A$11:$I$14,MATCH(Calculations!$E915,'2018_commission_structure'!$A$11:$A$14,0),MATCH(Calculations!S$1,'2018_commission_structure'!$A$11:$I$11,0)),0)</f>
        <v>0</v>
      </c>
      <c r="T915" s="7">
        <f t="shared" si="131"/>
        <v>116267.08</v>
      </c>
      <c r="U915" s="7">
        <f t="shared" si="132"/>
        <v>155095.08000000002</v>
      </c>
      <c r="V915" s="7">
        <f>MIN(H915,I915)*INDEX('2018_commission_structure'!$A$5:$J$8,MATCH(Calculations!$E915,'2018_commission_structure'!$A$5:$A$8,0),MATCH(Calculations!V$1,'2018_commission_structure'!$A$5:$J$5,0))</f>
        <v>60000</v>
      </c>
      <c r="W915" s="2">
        <f>IF($H915&gt;I915,MIN($H915-I915,J915-I915)*INDEX('2018_commission_structure'!$A$5:$J$8,MATCH(Calculations!$E915,'2018_commission_structure'!$A$5:$A$8,0),MATCH(Calculations!W$1,'2018_commission_structure'!$A$5:$J$5,0)),0)</f>
        <v>21250</v>
      </c>
      <c r="X915" s="2">
        <f>IF($H915&gt;J915,MIN($H915-J915,K915-J915)*INDEX('2018_commission_structure'!$A$5:$J$8,MATCH(Calculations!$E915,'2018_commission_structure'!$A$5:$A$8,0),MATCH(Calculations!X$1,'2018_commission_structure'!$A$5:$J$5,0)),0)</f>
        <v>25000</v>
      </c>
      <c r="Y915" s="2">
        <f>IF($H915&gt;K915,MIN($H915-K915,L915-K915)*INDEX('2018_commission_structure'!$A$5:$J$8,MATCH(Calculations!$E915,'2018_commission_structure'!$A$5:$A$8,0),MATCH(Calculations!Y$1,'2018_commission_structure'!$A$5:$J$5,0)),0)</f>
        <v>25017.08</v>
      </c>
      <c r="Z915" s="2">
        <f xml:space="preserve"> IF(H915&gt;L915,(H915-L915)*INDEX('2018_commission_structure'!$A$11:$I$14,MATCH(Calculations!$E915,'2018_commission_structure'!$A$11:$A$14,0),MATCH(Calculations!Z$1,'2018_commission_structure'!$A$11:$I$11,0)),0)</f>
        <v>0</v>
      </c>
      <c r="AA915" s="7">
        <f t="shared" si="133"/>
        <v>131267.08000000002</v>
      </c>
      <c r="AB915" s="7">
        <f t="shared" si="134"/>
        <v>170095.08000000002</v>
      </c>
    </row>
    <row r="916" spans="1:28" x14ac:dyDescent="0.25">
      <c r="A916">
        <v>9547713507</v>
      </c>
      <c r="B916" t="s">
        <v>1129</v>
      </c>
      <c r="C916" t="s">
        <v>1130</v>
      </c>
      <c r="D916" t="str">
        <f>B916&amp;" "&amp;C916</f>
        <v>Darwin Tinsley</v>
      </c>
      <c r="E916" t="s">
        <v>10</v>
      </c>
      <c r="F916">
        <v>80591</v>
      </c>
      <c r="G916">
        <f>COUNTIF(deals_closed!D:D,Calculations!A916)</f>
        <v>19</v>
      </c>
      <c r="H916" s="2">
        <f>SUMIF(deals_closed!D:D,Calculations!A916,deals_closed!C:C)</f>
        <v>762760</v>
      </c>
      <c r="I916" s="2">
        <f>VLOOKUP(E916,'2018_commission_structure'!$A$11:$I$14,9,FALSE)</f>
        <v>750000</v>
      </c>
      <c r="J916" s="2">
        <f t="shared" si="126"/>
        <v>937500</v>
      </c>
      <c r="K916" s="2">
        <f t="shared" si="127"/>
        <v>1125000</v>
      </c>
      <c r="L916" s="2">
        <f t="shared" si="128"/>
        <v>1500000</v>
      </c>
      <c r="M916" s="6">
        <f t="shared" si="129"/>
        <v>1.0170133333333333</v>
      </c>
      <c r="N916" t="str">
        <f t="shared" si="130"/>
        <v>100-125%</v>
      </c>
      <c r="O916" s="7">
        <f>MIN(I916,H916)*INDEX('2018_commission_structure'!$A$11:$I$14,MATCH(Calculations!$E916,'2018_commission_structure'!$A$11:$A$14,0),MATCH(Calculations!O$1,'2018_commission_structure'!$A$11:$I$11,0))</f>
        <v>112500</v>
      </c>
      <c r="P916" s="7">
        <f>IF($H916&gt;I916,MIN($H916-I916,J916-I916)*INDEX('2018_commission_structure'!$A$11:$I$14,MATCH(Calculations!$E916,'2018_commission_structure'!$A$11:$A$14,0), MATCH(Calculations!P$1,'2018_commission_structure'!$A$11:$I$11,0)),0)</f>
        <v>2424.4</v>
      </c>
      <c r="Q916" s="7">
        <f>IF($H916&gt;J916,MIN($H916-J916,K916-J916)*INDEX('2018_commission_structure'!$A$11:$I$14,MATCH(Calculations!$E916,'2018_commission_structure'!$A$11:$A$14,0), MATCH(Calculations!Q$1,'2018_commission_structure'!$A$11:$I$11,0)),0)</f>
        <v>0</v>
      </c>
      <c r="R916" s="7">
        <f>IF($H916&gt;K916,MIN($H916-K916,L916-K916)*INDEX('2018_commission_structure'!$A$11:$I$14,MATCH(Calculations!$E916,'2018_commission_structure'!$A$11:$A$14,0), MATCH(Calculations!R$1,'2018_commission_structure'!$A$11:$I$11,0)),0)</f>
        <v>0</v>
      </c>
      <c r="S916" s="7">
        <f>IF(H916&gt;L916,(H916-L916)*INDEX('2018_commission_structure'!$A$11:$I$14,MATCH(Calculations!$E916,'2018_commission_structure'!$A$11:$A$14,0),MATCH(Calculations!S$1,'2018_commission_structure'!$A$11:$I$11,0)),0)</f>
        <v>0</v>
      </c>
      <c r="T916" s="7">
        <f t="shared" si="131"/>
        <v>114924.4</v>
      </c>
      <c r="U916" s="7">
        <f t="shared" si="132"/>
        <v>195515.4</v>
      </c>
      <c r="V916" s="7">
        <f>MIN(H916,I916)*INDEX('2018_commission_structure'!$A$5:$J$8,MATCH(Calculations!$E916,'2018_commission_structure'!$A$5:$A$8,0),MATCH(Calculations!V$1,'2018_commission_structure'!$A$5:$J$5,0))</f>
        <v>112500</v>
      </c>
      <c r="W916" s="2">
        <f>IF($H916&gt;I916,MIN($H916-I916,J916-I916)*INDEX('2018_commission_structure'!$A$5:$J$8,MATCH(Calculations!$E916,'2018_commission_structure'!$A$5:$A$8,0),MATCH(Calculations!W$1,'2018_commission_structure'!$A$5:$J$5,0)),0)</f>
        <v>2807.2</v>
      </c>
      <c r="X916" s="2">
        <f>IF($H916&gt;J916,MIN($H916-J916,K916-J916)*INDEX('2018_commission_structure'!$A$5:$J$8,MATCH(Calculations!$E916,'2018_commission_structure'!$A$5:$A$8,0),MATCH(Calculations!X$1,'2018_commission_structure'!$A$5:$J$5,0)),0)</f>
        <v>0</v>
      </c>
      <c r="Y916" s="2">
        <f>IF($H916&gt;K916,MIN($H916-K916,L916-K916)*INDEX('2018_commission_structure'!$A$5:$J$8,MATCH(Calculations!$E916,'2018_commission_structure'!$A$5:$A$8,0),MATCH(Calculations!Y$1,'2018_commission_structure'!$A$5:$J$5,0)),0)</f>
        <v>0</v>
      </c>
      <c r="Z916" s="2">
        <f xml:space="preserve"> IF(H916&gt;L916,(H916-L916)*INDEX('2018_commission_structure'!$A$11:$I$14,MATCH(Calculations!$E916,'2018_commission_structure'!$A$11:$A$14,0),MATCH(Calculations!Z$1,'2018_commission_structure'!$A$11:$I$11,0)),0)</f>
        <v>0</v>
      </c>
      <c r="AA916" s="7">
        <f t="shared" si="133"/>
        <v>115307.2</v>
      </c>
      <c r="AB916" s="7">
        <f t="shared" si="134"/>
        <v>195898.2</v>
      </c>
    </row>
    <row r="917" spans="1:28" x14ac:dyDescent="0.25">
      <c r="A917">
        <v>1923178164</v>
      </c>
      <c r="B917" t="s">
        <v>307</v>
      </c>
      <c r="C917" t="s">
        <v>308</v>
      </c>
      <c r="D917" t="str">
        <f>B917&amp;" "&amp;C917</f>
        <v>Erroll Tirkin</v>
      </c>
      <c r="E917" t="s">
        <v>10</v>
      </c>
      <c r="F917">
        <v>111852</v>
      </c>
      <c r="G917">
        <f>COUNTIF(deals_closed!D:D,Calculations!A917)</f>
        <v>18</v>
      </c>
      <c r="H917" s="2">
        <f>SUMIF(deals_closed!D:D,Calculations!A917,deals_closed!C:C)</f>
        <v>605464</v>
      </c>
      <c r="I917" s="2">
        <f>VLOOKUP(E917,'2018_commission_structure'!$A$11:$I$14,9,FALSE)</f>
        <v>750000</v>
      </c>
      <c r="J917" s="2">
        <f t="shared" si="126"/>
        <v>937500</v>
      </c>
      <c r="K917" s="2">
        <f t="shared" si="127"/>
        <v>1125000</v>
      </c>
      <c r="L917" s="2">
        <f t="shared" si="128"/>
        <v>1500000</v>
      </c>
      <c r="M917" s="6">
        <f t="shared" si="129"/>
        <v>0.8072853333333333</v>
      </c>
      <c r="N917" t="str">
        <f t="shared" si="130"/>
        <v>0-100%</v>
      </c>
      <c r="O917" s="7">
        <f>MIN(I917,H917)*INDEX('2018_commission_structure'!$A$11:$I$14,MATCH(Calculations!$E917,'2018_commission_structure'!$A$11:$A$14,0),MATCH(Calculations!O$1,'2018_commission_structure'!$A$11:$I$11,0))</f>
        <v>90819.599999999991</v>
      </c>
      <c r="P917" s="7">
        <f>IF($H917&gt;I917,MIN($H917-I917,J917-I917)*INDEX('2018_commission_structure'!$A$11:$I$14,MATCH(Calculations!$E917,'2018_commission_structure'!$A$11:$A$14,0), MATCH(Calculations!P$1,'2018_commission_structure'!$A$11:$I$11,0)),0)</f>
        <v>0</v>
      </c>
      <c r="Q917" s="7">
        <f>IF($H917&gt;J917,MIN($H917-J917,K917-J917)*INDEX('2018_commission_structure'!$A$11:$I$14,MATCH(Calculations!$E917,'2018_commission_structure'!$A$11:$A$14,0), MATCH(Calculations!Q$1,'2018_commission_structure'!$A$11:$I$11,0)),0)</f>
        <v>0</v>
      </c>
      <c r="R917" s="7">
        <f>IF($H917&gt;K917,MIN($H917-K917,L917-K917)*INDEX('2018_commission_structure'!$A$11:$I$14,MATCH(Calculations!$E917,'2018_commission_structure'!$A$11:$A$14,0), MATCH(Calculations!R$1,'2018_commission_structure'!$A$11:$I$11,0)),0)</f>
        <v>0</v>
      </c>
      <c r="S917" s="7">
        <f>IF(H917&gt;L917,(H917-L917)*INDEX('2018_commission_structure'!$A$11:$I$14,MATCH(Calculations!$E917,'2018_commission_structure'!$A$11:$A$14,0),MATCH(Calculations!S$1,'2018_commission_structure'!$A$11:$I$11,0)),0)</f>
        <v>0</v>
      </c>
      <c r="T917" s="7">
        <f t="shared" si="131"/>
        <v>90819.599999999991</v>
      </c>
      <c r="U917" s="7">
        <f t="shared" si="132"/>
        <v>202671.59999999998</v>
      </c>
      <c r="V917" s="7">
        <f>MIN(H917,I917)*INDEX('2018_commission_structure'!$A$5:$J$8,MATCH(Calculations!$E917,'2018_commission_structure'!$A$5:$A$8,0),MATCH(Calculations!V$1,'2018_commission_structure'!$A$5:$J$5,0))</f>
        <v>90819.599999999991</v>
      </c>
      <c r="W917" s="2">
        <f>IF($H917&gt;I917,MIN($H917-I917,J917-I917)*INDEX('2018_commission_structure'!$A$5:$J$8,MATCH(Calculations!$E917,'2018_commission_structure'!$A$5:$A$8,0),MATCH(Calculations!W$1,'2018_commission_structure'!$A$5:$J$5,0)),0)</f>
        <v>0</v>
      </c>
      <c r="X917" s="2">
        <f>IF($H917&gt;J917,MIN($H917-J917,K917-J917)*INDEX('2018_commission_structure'!$A$5:$J$8,MATCH(Calculations!$E917,'2018_commission_structure'!$A$5:$A$8,0),MATCH(Calculations!X$1,'2018_commission_structure'!$A$5:$J$5,0)),0)</f>
        <v>0</v>
      </c>
      <c r="Y917" s="2">
        <f>IF($H917&gt;K917,MIN($H917-K917,L917-K917)*INDEX('2018_commission_structure'!$A$5:$J$8,MATCH(Calculations!$E917,'2018_commission_structure'!$A$5:$A$8,0),MATCH(Calculations!Y$1,'2018_commission_structure'!$A$5:$J$5,0)),0)</f>
        <v>0</v>
      </c>
      <c r="Z917" s="2">
        <f xml:space="preserve"> IF(H917&gt;L917,(H917-L917)*INDEX('2018_commission_structure'!$A$11:$I$14,MATCH(Calculations!$E917,'2018_commission_structure'!$A$11:$A$14,0),MATCH(Calculations!Z$1,'2018_commission_structure'!$A$11:$I$11,0)),0)</f>
        <v>0</v>
      </c>
      <c r="AA917" s="7">
        <f t="shared" si="133"/>
        <v>90819.599999999991</v>
      </c>
      <c r="AB917" s="7">
        <f t="shared" si="134"/>
        <v>202671.59999999998</v>
      </c>
    </row>
    <row r="918" spans="1:28" x14ac:dyDescent="0.25">
      <c r="A918">
        <v>6915102108</v>
      </c>
      <c r="B918" t="s">
        <v>426</v>
      </c>
      <c r="C918" t="s">
        <v>427</v>
      </c>
      <c r="D918" t="str">
        <f>B918&amp;" "&amp;C918</f>
        <v>Kit Tivolier</v>
      </c>
      <c r="E918" t="s">
        <v>10</v>
      </c>
      <c r="F918">
        <v>84051</v>
      </c>
      <c r="G918">
        <f>COUNTIF(deals_closed!D:D,Calculations!A918)</f>
        <v>21</v>
      </c>
      <c r="H918" s="2">
        <f>SUMIF(deals_closed!D:D,Calculations!A918,deals_closed!C:C)</f>
        <v>707829</v>
      </c>
      <c r="I918" s="2">
        <f>VLOOKUP(E918,'2018_commission_structure'!$A$11:$I$14,9,FALSE)</f>
        <v>750000</v>
      </c>
      <c r="J918" s="2">
        <f t="shared" si="126"/>
        <v>937500</v>
      </c>
      <c r="K918" s="2">
        <f t="shared" si="127"/>
        <v>1125000</v>
      </c>
      <c r="L918" s="2">
        <f t="shared" si="128"/>
        <v>1500000</v>
      </c>
      <c r="M918" s="6">
        <f t="shared" si="129"/>
        <v>0.94377200000000006</v>
      </c>
      <c r="N918" t="str">
        <f t="shared" si="130"/>
        <v>0-100%</v>
      </c>
      <c r="O918" s="7">
        <f>MIN(I918,H918)*INDEX('2018_commission_structure'!$A$11:$I$14,MATCH(Calculations!$E918,'2018_commission_structure'!$A$11:$A$14,0),MATCH(Calculations!O$1,'2018_commission_structure'!$A$11:$I$11,0))</f>
        <v>106174.34999999999</v>
      </c>
      <c r="P918" s="7">
        <f>IF($H918&gt;I918,MIN($H918-I918,J918-I918)*INDEX('2018_commission_structure'!$A$11:$I$14,MATCH(Calculations!$E918,'2018_commission_structure'!$A$11:$A$14,0), MATCH(Calculations!P$1,'2018_commission_structure'!$A$11:$I$11,0)),0)</f>
        <v>0</v>
      </c>
      <c r="Q918" s="7">
        <f>IF($H918&gt;J918,MIN($H918-J918,K918-J918)*INDEX('2018_commission_structure'!$A$11:$I$14,MATCH(Calculations!$E918,'2018_commission_structure'!$A$11:$A$14,0), MATCH(Calculations!Q$1,'2018_commission_structure'!$A$11:$I$11,0)),0)</f>
        <v>0</v>
      </c>
      <c r="R918" s="7">
        <f>IF($H918&gt;K918,MIN($H918-K918,L918-K918)*INDEX('2018_commission_structure'!$A$11:$I$14,MATCH(Calculations!$E918,'2018_commission_structure'!$A$11:$A$14,0), MATCH(Calculations!R$1,'2018_commission_structure'!$A$11:$I$11,0)),0)</f>
        <v>0</v>
      </c>
      <c r="S918" s="7">
        <f>IF(H918&gt;L918,(H918-L918)*INDEX('2018_commission_structure'!$A$11:$I$14,MATCH(Calculations!$E918,'2018_commission_structure'!$A$11:$A$14,0),MATCH(Calculations!S$1,'2018_commission_structure'!$A$11:$I$11,0)),0)</f>
        <v>0</v>
      </c>
      <c r="T918" s="7">
        <f t="shared" si="131"/>
        <v>106174.34999999999</v>
      </c>
      <c r="U918" s="7">
        <f t="shared" si="132"/>
        <v>190225.34999999998</v>
      </c>
      <c r="V918" s="7">
        <f>MIN(H918,I918)*INDEX('2018_commission_structure'!$A$5:$J$8,MATCH(Calculations!$E918,'2018_commission_structure'!$A$5:$A$8,0),MATCH(Calculations!V$1,'2018_commission_structure'!$A$5:$J$5,0))</f>
        <v>106174.34999999999</v>
      </c>
      <c r="W918" s="2">
        <f>IF($H918&gt;I918,MIN($H918-I918,J918-I918)*INDEX('2018_commission_structure'!$A$5:$J$8,MATCH(Calculations!$E918,'2018_commission_structure'!$A$5:$A$8,0),MATCH(Calculations!W$1,'2018_commission_structure'!$A$5:$J$5,0)),0)</f>
        <v>0</v>
      </c>
      <c r="X918" s="2">
        <f>IF($H918&gt;J918,MIN($H918-J918,K918-J918)*INDEX('2018_commission_structure'!$A$5:$J$8,MATCH(Calculations!$E918,'2018_commission_structure'!$A$5:$A$8,0),MATCH(Calculations!X$1,'2018_commission_structure'!$A$5:$J$5,0)),0)</f>
        <v>0</v>
      </c>
      <c r="Y918" s="2">
        <f>IF($H918&gt;K918,MIN($H918-K918,L918-K918)*INDEX('2018_commission_structure'!$A$5:$J$8,MATCH(Calculations!$E918,'2018_commission_structure'!$A$5:$A$8,0),MATCH(Calculations!Y$1,'2018_commission_structure'!$A$5:$J$5,0)),0)</f>
        <v>0</v>
      </c>
      <c r="Z918" s="2">
        <f xml:space="preserve"> IF(H918&gt;L918,(H918-L918)*INDEX('2018_commission_structure'!$A$11:$I$14,MATCH(Calculations!$E918,'2018_commission_structure'!$A$11:$A$14,0),MATCH(Calculations!Z$1,'2018_commission_structure'!$A$11:$I$11,0)),0)</f>
        <v>0</v>
      </c>
      <c r="AA918" s="7">
        <f t="shared" si="133"/>
        <v>106174.34999999999</v>
      </c>
      <c r="AB918" s="7">
        <f t="shared" si="134"/>
        <v>190225.34999999998</v>
      </c>
    </row>
    <row r="919" spans="1:28" x14ac:dyDescent="0.25">
      <c r="A919">
        <v>9855833406</v>
      </c>
      <c r="B919" t="s">
        <v>383</v>
      </c>
      <c r="C919" t="s">
        <v>384</v>
      </c>
      <c r="D919" t="str">
        <f>B919&amp;" "&amp;C919</f>
        <v>Giffer Toke</v>
      </c>
      <c r="E919" t="s">
        <v>10</v>
      </c>
      <c r="F919">
        <v>78771</v>
      </c>
      <c r="G919">
        <f>COUNTIF(deals_closed!D:D,Calculations!A919)</f>
        <v>14</v>
      </c>
      <c r="H919" s="2">
        <f>SUMIF(deals_closed!D:D,Calculations!A919,deals_closed!C:C)</f>
        <v>506627</v>
      </c>
      <c r="I919" s="2">
        <f>VLOOKUP(E919,'2018_commission_structure'!$A$11:$I$14,9,FALSE)</f>
        <v>750000</v>
      </c>
      <c r="J919" s="2">
        <f t="shared" si="126"/>
        <v>937500</v>
      </c>
      <c r="K919" s="2">
        <f t="shared" si="127"/>
        <v>1125000</v>
      </c>
      <c r="L919" s="2">
        <f t="shared" si="128"/>
        <v>1500000</v>
      </c>
      <c r="M919" s="6">
        <f t="shared" si="129"/>
        <v>0.6755026666666667</v>
      </c>
      <c r="N919" t="str">
        <f t="shared" si="130"/>
        <v>0-100%</v>
      </c>
      <c r="O919" s="7">
        <f>MIN(I919,H919)*INDEX('2018_commission_structure'!$A$11:$I$14,MATCH(Calculations!$E919,'2018_commission_structure'!$A$11:$A$14,0),MATCH(Calculations!O$1,'2018_commission_structure'!$A$11:$I$11,0))</f>
        <v>75994.05</v>
      </c>
      <c r="P919" s="7">
        <f>IF($H919&gt;I919,MIN($H919-I919,J919-I919)*INDEX('2018_commission_structure'!$A$11:$I$14,MATCH(Calculations!$E919,'2018_commission_structure'!$A$11:$A$14,0), MATCH(Calculations!P$1,'2018_commission_structure'!$A$11:$I$11,0)),0)</f>
        <v>0</v>
      </c>
      <c r="Q919" s="7">
        <f>IF($H919&gt;J919,MIN($H919-J919,K919-J919)*INDEX('2018_commission_structure'!$A$11:$I$14,MATCH(Calculations!$E919,'2018_commission_structure'!$A$11:$A$14,0), MATCH(Calculations!Q$1,'2018_commission_structure'!$A$11:$I$11,0)),0)</f>
        <v>0</v>
      </c>
      <c r="R919" s="7">
        <f>IF($H919&gt;K919,MIN($H919-K919,L919-K919)*INDEX('2018_commission_structure'!$A$11:$I$14,MATCH(Calculations!$E919,'2018_commission_structure'!$A$11:$A$14,0), MATCH(Calculations!R$1,'2018_commission_structure'!$A$11:$I$11,0)),0)</f>
        <v>0</v>
      </c>
      <c r="S919" s="7">
        <f>IF(H919&gt;L919,(H919-L919)*INDEX('2018_commission_structure'!$A$11:$I$14,MATCH(Calculations!$E919,'2018_commission_structure'!$A$11:$A$14,0),MATCH(Calculations!S$1,'2018_commission_structure'!$A$11:$I$11,0)),0)</f>
        <v>0</v>
      </c>
      <c r="T919" s="7">
        <f t="shared" si="131"/>
        <v>75994.05</v>
      </c>
      <c r="U919" s="7">
        <f t="shared" si="132"/>
        <v>154765.04999999999</v>
      </c>
      <c r="V919" s="7">
        <f>MIN(H919,I919)*INDEX('2018_commission_structure'!$A$5:$J$8,MATCH(Calculations!$E919,'2018_commission_structure'!$A$5:$A$8,0),MATCH(Calculations!V$1,'2018_commission_structure'!$A$5:$J$5,0))</f>
        <v>75994.05</v>
      </c>
      <c r="W919" s="2">
        <f>IF($H919&gt;I919,MIN($H919-I919,J919-I919)*INDEX('2018_commission_structure'!$A$5:$J$8,MATCH(Calculations!$E919,'2018_commission_structure'!$A$5:$A$8,0),MATCH(Calculations!W$1,'2018_commission_structure'!$A$5:$J$5,0)),0)</f>
        <v>0</v>
      </c>
      <c r="X919" s="2">
        <f>IF($H919&gt;J919,MIN($H919-J919,K919-J919)*INDEX('2018_commission_structure'!$A$5:$J$8,MATCH(Calculations!$E919,'2018_commission_structure'!$A$5:$A$8,0),MATCH(Calculations!X$1,'2018_commission_structure'!$A$5:$J$5,0)),0)</f>
        <v>0</v>
      </c>
      <c r="Y919" s="2">
        <f>IF($H919&gt;K919,MIN($H919-K919,L919-K919)*INDEX('2018_commission_structure'!$A$5:$J$8,MATCH(Calculations!$E919,'2018_commission_structure'!$A$5:$A$8,0),MATCH(Calculations!Y$1,'2018_commission_structure'!$A$5:$J$5,0)),0)</f>
        <v>0</v>
      </c>
      <c r="Z919" s="2">
        <f xml:space="preserve"> IF(H919&gt;L919,(H919-L919)*INDEX('2018_commission_structure'!$A$11:$I$14,MATCH(Calculations!$E919,'2018_commission_structure'!$A$11:$A$14,0),MATCH(Calculations!Z$1,'2018_commission_structure'!$A$11:$I$11,0)),0)</f>
        <v>0</v>
      </c>
      <c r="AA919" s="7">
        <f t="shared" si="133"/>
        <v>75994.05</v>
      </c>
      <c r="AB919" s="7">
        <f t="shared" si="134"/>
        <v>154765.04999999999</v>
      </c>
    </row>
    <row r="920" spans="1:28" x14ac:dyDescent="0.25">
      <c r="A920">
        <v>2234966051</v>
      </c>
      <c r="B920" t="s">
        <v>1070</v>
      </c>
      <c r="C920" t="s">
        <v>1071</v>
      </c>
      <c r="D920" t="str">
        <f>B920&amp;" "&amp;C920</f>
        <v>Vania Tolefree</v>
      </c>
      <c r="E920" t="s">
        <v>10</v>
      </c>
      <c r="F920">
        <v>100058</v>
      </c>
      <c r="G920">
        <f>COUNTIF(deals_closed!D:D,Calculations!A920)</f>
        <v>21</v>
      </c>
      <c r="H920" s="2">
        <f>SUMIF(deals_closed!D:D,Calculations!A920,deals_closed!C:C)</f>
        <v>699976</v>
      </c>
      <c r="I920" s="2">
        <f>VLOOKUP(E920,'2018_commission_structure'!$A$11:$I$14,9,FALSE)</f>
        <v>750000</v>
      </c>
      <c r="J920" s="2">
        <f t="shared" si="126"/>
        <v>937500</v>
      </c>
      <c r="K920" s="2">
        <f t="shared" si="127"/>
        <v>1125000</v>
      </c>
      <c r="L920" s="2">
        <f t="shared" si="128"/>
        <v>1500000</v>
      </c>
      <c r="M920" s="6">
        <f t="shared" si="129"/>
        <v>0.93330133333333332</v>
      </c>
      <c r="N920" t="str">
        <f t="shared" si="130"/>
        <v>0-100%</v>
      </c>
      <c r="O920" s="7">
        <f>MIN(I920,H920)*INDEX('2018_commission_structure'!$A$11:$I$14,MATCH(Calculations!$E920,'2018_commission_structure'!$A$11:$A$14,0),MATCH(Calculations!O$1,'2018_commission_structure'!$A$11:$I$11,0))</f>
        <v>104996.4</v>
      </c>
      <c r="P920" s="7">
        <f>IF($H920&gt;I920,MIN($H920-I920,J920-I920)*INDEX('2018_commission_structure'!$A$11:$I$14,MATCH(Calculations!$E920,'2018_commission_structure'!$A$11:$A$14,0), MATCH(Calculations!P$1,'2018_commission_structure'!$A$11:$I$11,0)),0)</f>
        <v>0</v>
      </c>
      <c r="Q920" s="7">
        <f>IF($H920&gt;J920,MIN($H920-J920,K920-J920)*INDEX('2018_commission_structure'!$A$11:$I$14,MATCH(Calculations!$E920,'2018_commission_structure'!$A$11:$A$14,0), MATCH(Calculations!Q$1,'2018_commission_structure'!$A$11:$I$11,0)),0)</f>
        <v>0</v>
      </c>
      <c r="R920" s="7">
        <f>IF($H920&gt;K920,MIN($H920-K920,L920-K920)*INDEX('2018_commission_structure'!$A$11:$I$14,MATCH(Calculations!$E920,'2018_commission_structure'!$A$11:$A$14,0), MATCH(Calculations!R$1,'2018_commission_structure'!$A$11:$I$11,0)),0)</f>
        <v>0</v>
      </c>
      <c r="S920" s="7">
        <f>IF(H920&gt;L920,(H920-L920)*INDEX('2018_commission_structure'!$A$11:$I$14,MATCH(Calculations!$E920,'2018_commission_structure'!$A$11:$A$14,0),MATCH(Calculations!S$1,'2018_commission_structure'!$A$11:$I$11,0)),0)</f>
        <v>0</v>
      </c>
      <c r="T920" s="7">
        <f t="shared" si="131"/>
        <v>104996.4</v>
      </c>
      <c r="U920" s="7">
        <f t="shared" si="132"/>
        <v>205054.4</v>
      </c>
      <c r="V920" s="7">
        <f>MIN(H920,I920)*INDEX('2018_commission_structure'!$A$5:$J$8,MATCH(Calculations!$E920,'2018_commission_structure'!$A$5:$A$8,0),MATCH(Calculations!V$1,'2018_commission_structure'!$A$5:$J$5,0))</f>
        <v>104996.4</v>
      </c>
      <c r="W920" s="2">
        <f>IF($H920&gt;I920,MIN($H920-I920,J920-I920)*INDEX('2018_commission_structure'!$A$5:$J$8,MATCH(Calculations!$E920,'2018_commission_structure'!$A$5:$A$8,0),MATCH(Calculations!W$1,'2018_commission_structure'!$A$5:$J$5,0)),0)</f>
        <v>0</v>
      </c>
      <c r="X920" s="2">
        <f>IF($H920&gt;J920,MIN($H920-J920,K920-J920)*INDEX('2018_commission_structure'!$A$5:$J$8,MATCH(Calculations!$E920,'2018_commission_structure'!$A$5:$A$8,0),MATCH(Calculations!X$1,'2018_commission_structure'!$A$5:$J$5,0)),0)</f>
        <v>0</v>
      </c>
      <c r="Y920" s="2">
        <f>IF($H920&gt;K920,MIN($H920-K920,L920-K920)*INDEX('2018_commission_structure'!$A$5:$J$8,MATCH(Calculations!$E920,'2018_commission_structure'!$A$5:$A$8,0),MATCH(Calculations!Y$1,'2018_commission_structure'!$A$5:$J$5,0)),0)</f>
        <v>0</v>
      </c>
      <c r="Z920" s="2">
        <f xml:space="preserve"> IF(H920&gt;L920,(H920-L920)*INDEX('2018_commission_structure'!$A$11:$I$14,MATCH(Calculations!$E920,'2018_commission_structure'!$A$11:$A$14,0),MATCH(Calculations!Z$1,'2018_commission_structure'!$A$11:$I$11,0)),0)</f>
        <v>0</v>
      </c>
      <c r="AA920" s="7">
        <f t="shared" si="133"/>
        <v>104996.4</v>
      </c>
      <c r="AB920" s="7">
        <f t="shared" si="134"/>
        <v>205054.4</v>
      </c>
    </row>
    <row r="921" spans="1:28" x14ac:dyDescent="0.25">
      <c r="A921">
        <v>6596440737</v>
      </c>
      <c r="B921" t="s">
        <v>113</v>
      </c>
      <c r="C921" t="s">
        <v>114</v>
      </c>
      <c r="D921" t="str">
        <f>B921&amp;" "&amp;C921</f>
        <v>Bryn Tomas</v>
      </c>
      <c r="E921" t="s">
        <v>7</v>
      </c>
      <c r="F921">
        <v>34438</v>
      </c>
      <c r="G921">
        <f>COUNTIF(deals_closed!D:D,Calculations!A921)</f>
        <v>27</v>
      </c>
      <c r="H921" s="2">
        <f>SUMIF(deals_closed!D:D,Calculations!A921,deals_closed!C:C)</f>
        <v>915219</v>
      </c>
      <c r="I921" s="2">
        <f>VLOOKUP(E921,'2018_commission_structure'!$A$11:$I$14,9,FALSE)</f>
        <v>500000</v>
      </c>
      <c r="J921" s="2">
        <f t="shared" si="126"/>
        <v>625000</v>
      </c>
      <c r="K921" s="2">
        <f t="shared" si="127"/>
        <v>750000</v>
      </c>
      <c r="L921" s="2">
        <f t="shared" si="128"/>
        <v>1000000</v>
      </c>
      <c r="M921" s="6">
        <f t="shared" si="129"/>
        <v>1.830438</v>
      </c>
      <c r="N921" t="str">
        <f t="shared" si="130"/>
        <v>150-200%</v>
      </c>
      <c r="O921" s="7">
        <f>MIN(I921,H921)*INDEX('2018_commission_structure'!$A$11:$I$14,MATCH(Calculations!$E921,'2018_commission_structure'!$A$11:$A$14,0),MATCH(Calculations!O$1,'2018_commission_structure'!$A$11:$I$11,0))</f>
        <v>50000</v>
      </c>
      <c r="P921" s="7">
        <f>IF($H921&gt;I921,MIN($H921-I921,J921-I921)*INDEX('2018_commission_structure'!$A$11:$I$14,MATCH(Calculations!$E921,'2018_commission_structure'!$A$11:$A$14,0), MATCH(Calculations!P$1,'2018_commission_structure'!$A$11:$I$11,0)),0)</f>
        <v>18750</v>
      </c>
      <c r="Q921" s="7">
        <f>IF($H921&gt;J921,MIN($H921-J921,K921-J921)*INDEX('2018_commission_structure'!$A$11:$I$14,MATCH(Calculations!$E921,'2018_commission_structure'!$A$11:$A$14,0), MATCH(Calculations!Q$1,'2018_commission_structure'!$A$11:$I$11,0)),0)</f>
        <v>22500</v>
      </c>
      <c r="R921" s="7">
        <f>IF($H921&gt;K921,MIN($H921-K921,L921-K921)*INDEX('2018_commission_structure'!$A$11:$I$14,MATCH(Calculations!$E921,'2018_commission_structure'!$A$11:$A$14,0), MATCH(Calculations!R$1,'2018_commission_structure'!$A$11:$I$11,0)),0)</f>
        <v>36348.18</v>
      </c>
      <c r="S921" s="7">
        <f>IF(H921&gt;L921,(H921-L921)*INDEX('2018_commission_structure'!$A$11:$I$14,MATCH(Calculations!$E921,'2018_commission_structure'!$A$11:$A$14,0),MATCH(Calculations!S$1,'2018_commission_structure'!$A$11:$I$11,0)),0)</f>
        <v>0</v>
      </c>
      <c r="T921" s="7">
        <f t="shared" si="131"/>
        <v>127598.18</v>
      </c>
      <c r="U921" s="7">
        <f t="shared" si="132"/>
        <v>162036.18</v>
      </c>
      <c r="V921" s="7">
        <f>MIN(H921,I921)*INDEX('2018_commission_structure'!$A$5:$J$8,MATCH(Calculations!$E921,'2018_commission_structure'!$A$5:$A$8,0),MATCH(Calculations!V$1,'2018_commission_structure'!$A$5:$J$5,0))</f>
        <v>60000</v>
      </c>
      <c r="W921" s="2">
        <f>IF($H921&gt;I921,MIN($H921-I921,J921-I921)*INDEX('2018_commission_structure'!$A$5:$J$8,MATCH(Calculations!$E921,'2018_commission_structure'!$A$5:$A$8,0),MATCH(Calculations!W$1,'2018_commission_structure'!$A$5:$J$5,0)),0)</f>
        <v>21250</v>
      </c>
      <c r="X921" s="2">
        <f>IF($H921&gt;J921,MIN($H921-J921,K921-J921)*INDEX('2018_commission_structure'!$A$5:$J$8,MATCH(Calculations!$E921,'2018_commission_structure'!$A$5:$A$8,0),MATCH(Calculations!X$1,'2018_commission_structure'!$A$5:$J$5,0)),0)</f>
        <v>25000</v>
      </c>
      <c r="Y921" s="2">
        <f>IF($H921&gt;K921,MIN($H921-K921,L921-K921)*INDEX('2018_commission_structure'!$A$5:$J$8,MATCH(Calculations!$E921,'2018_commission_structure'!$A$5:$A$8,0),MATCH(Calculations!Y$1,'2018_commission_structure'!$A$5:$J$5,0)),0)</f>
        <v>36348.18</v>
      </c>
      <c r="Z921" s="2">
        <f xml:space="preserve"> IF(H921&gt;L921,(H921-L921)*INDEX('2018_commission_structure'!$A$11:$I$14,MATCH(Calculations!$E921,'2018_commission_structure'!$A$11:$A$14,0),MATCH(Calculations!Z$1,'2018_commission_structure'!$A$11:$I$11,0)),0)</f>
        <v>0</v>
      </c>
      <c r="AA921" s="7">
        <f t="shared" si="133"/>
        <v>142598.18</v>
      </c>
      <c r="AB921" s="7">
        <f t="shared" si="134"/>
        <v>177036.18</v>
      </c>
    </row>
    <row r="922" spans="1:28" x14ac:dyDescent="0.25">
      <c r="A922">
        <v>3569414450</v>
      </c>
      <c r="B922" t="s">
        <v>830</v>
      </c>
      <c r="C922" t="s">
        <v>831</v>
      </c>
      <c r="D922" t="str">
        <f>B922&amp;" "&amp;C922</f>
        <v>Brade Torn</v>
      </c>
      <c r="E922" t="s">
        <v>7</v>
      </c>
      <c r="F922">
        <v>42780</v>
      </c>
      <c r="G922">
        <f>COUNTIF(deals_closed!D:D,Calculations!A922)</f>
        <v>21</v>
      </c>
      <c r="H922" s="2">
        <f>SUMIF(deals_closed!D:D,Calculations!A922,deals_closed!C:C)</f>
        <v>715285</v>
      </c>
      <c r="I922" s="2">
        <f>VLOOKUP(E922,'2018_commission_structure'!$A$11:$I$14,9,FALSE)</f>
        <v>500000</v>
      </c>
      <c r="J922" s="2">
        <f t="shared" si="126"/>
        <v>625000</v>
      </c>
      <c r="K922" s="2">
        <f t="shared" si="127"/>
        <v>750000</v>
      </c>
      <c r="L922" s="2">
        <f t="shared" si="128"/>
        <v>1000000</v>
      </c>
      <c r="M922" s="6">
        <f t="shared" si="129"/>
        <v>1.4305699999999999</v>
      </c>
      <c r="N922" t="str">
        <f t="shared" si="130"/>
        <v>125-150%</v>
      </c>
      <c r="O922" s="7">
        <f>MIN(I922,H922)*INDEX('2018_commission_structure'!$A$11:$I$14,MATCH(Calculations!$E922,'2018_commission_structure'!$A$11:$A$14,0),MATCH(Calculations!O$1,'2018_commission_structure'!$A$11:$I$11,0))</f>
        <v>50000</v>
      </c>
      <c r="P922" s="7">
        <f>IF($H922&gt;I922,MIN($H922-I922,J922-I922)*INDEX('2018_commission_structure'!$A$11:$I$14,MATCH(Calculations!$E922,'2018_commission_structure'!$A$11:$A$14,0), MATCH(Calculations!P$1,'2018_commission_structure'!$A$11:$I$11,0)),0)</f>
        <v>18750</v>
      </c>
      <c r="Q922" s="7">
        <f>IF($H922&gt;J922,MIN($H922-J922,K922-J922)*INDEX('2018_commission_structure'!$A$11:$I$14,MATCH(Calculations!$E922,'2018_commission_structure'!$A$11:$A$14,0), MATCH(Calculations!Q$1,'2018_commission_structure'!$A$11:$I$11,0)),0)</f>
        <v>16251.3</v>
      </c>
      <c r="R922" s="7">
        <f>IF($H922&gt;K922,MIN($H922-K922,L922-K922)*INDEX('2018_commission_structure'!$A$11:$I$14,MATCH(Calculations!$E922,'2018_commission_structure'!$A$11:$A$14,0), MATCH(Calculations!R$1,'2018_commission_structure'!$A$11:$I$11,0)),0)</f>
        <v>0</v>
      </c>
      <c r="S922" s="7">
        <f>IF(H922&gt;L922,(H922-L922)*INDEX('2018_commission_structure'!$A$11:$I$14,MATCH(Calculations!$E922,'2018_commission_structure'!$A$11:$A$14,0),MATCH(Calculations!S$1,'2018_commission_structure'!$A$11:$I$11,0)),0)</f>
        <v>0</v>
      </c>
      <c r="T922" s="7">
        <f t="shared" si="131"/>
        <v>85001.3</v>
      </c>
      <c r="U922" s="7">
        <f t="shared" si="132"/>
        <v>127781.3</v>
      </c>
      <c r="V922" s="7">
        <f>MIN(H922,I922)*INDEX('2018_commission_structure'!$A$5:$J$8,MATCH(Calculations!$E922,'2018_commission_structure'!$A$5:$A$8,0),MATCH(Calculations!V$1,'2018_commission_structure'!$A$5:$J$5,0))</f>
        <v>60000</v>
      </c>
      <c r="W922" s="2">
        <f>IF($H922&gt;I922,MIN($H922-I922,J922-I922)*INDEX('2018_commission_structure'!$A$5:$J$8,MATCH(Calculations!$E922,'2018_commission_structure'!$A$5:$A$8,0),MATCH(Calculations!W$1,'2018_commission_structure'!$A$5:$J$5,0)),0)</f>
        <v>21250</v>
      </c>
      <c r="X922" s="2">
        <f>IF($H922&gt;J922,MIN($H922-J922,K922-J922)*INDEX('2018_commission_structure'!$A$5:$J$8,MATCH(Calculations!$E922,'2018_commission_structure'!$A$5:$A$8,0),MATCH(Calculations!X$1,'2018_commission_structure'!$A$5:$J$5,0)),0)</f>
        <v>18057</v>
      </c>
      <c r="Y922" s="2">
        <f>IF($H922&gt;K922,MIN($H922-K922,L922-K922)*INDEX('2018_commission_structure'!$A$5:$J$8,MATCH(Calculations!$E922,'2018_commission_structure'!$A$5:$A$8,0),MATCH(Calculations!Y$1,'2018_commission_structure'!$A$5:$J$5,0)),0)</f>
        <v>0</v>
      </c>
      <c r="Z922" s="2">
        <f xml:space="preserve"> IF(H922&gt;L922,(H922-L922)*INDEX('2018_commission_structure'!$A$11:$I$14,MATCH(Calculations!$E922,'2018_commission_structure'!$A$11:$A$14,0),MATCH(Calculations!Z$1,'2018_commission_structure'!$A$11:$I$11,0)),0)</f>
        <v>0</v>
      </c>
      <c r="AA922" s="7">
        <f t="shared" si="133"/>
        <v>99307</v>
      </c>
      <c r="AB922" s="7">
        <f t="shared" si="134"/>
        <v>142087</v>
      </c>
    </row>
    <row r="923" spans="1:28" x14ac:dyDescent="0.25">
      <c r="A923">
        <v>6214787945</v>
      </c>
      <c r="B923" t="s">
        <v>121</v>
      </c>
      <c r="C923" t="s">
        <v>122</v>
      </c>
      <c r="D923" t="str">
        <f>B923&amp;" "&amp;C923</f>
        <v>Ruthi Torrance</v>
      </c>
      <c r="E923" t="s">
        <v>29</v>
      </c>
      <c r="F923">
        <v>63850</v>
      </c>
      <c r="G923">
        <f>COUNTIF(deals_closed!D:D,Calculations!A923)</f>
        <v>19</v>
      </c>
      <c r="H923" s="2">
        <f>SUMIF(deals_closed!D:D,Calculations!A923,deals_closed!C:C)</f>
        <v>743904</v>
      </c>
      <c r="I923" s="2">
        <f>VLOOKUP(E923,'2018_commission_structure'!$A$11:$I$14,9,FALSE)</f>
        <v>600000</v>
      </c>
      <c r="J923" s="2">
        <f t="shared" si="126"/>
        <v>750000</v>
      </c>
      <c r="K923" s="2">
        <f t="shared" si="127"/>
        <v>900000</v>
      </c>
      <c r="L923" s="2">
        <f t="shared" si="128"/>
        <v>1200000</v>
      </c>
      <c r="M923" s="6">
        <f t="shared" si="129"/>
        <v>1.2398400000000001</v>
      </c>
      <c r="N923" t="str">
        <f t="shared" si="130"/>
        <v>100-125%</v>
      </c>
      <c r="O923" s="7">
        <f>MIN(I923,H923)*INDEX('2018_commission_structure'!$A$11:$I$14,MATCH(Calculations!$E923,'2018_commission_structure'!$A$11:$A$14,0),MATCH(Calculations!O$1,'2018_commission_structure'!$A$11:$I$11,0))</f>
        <v>78000</v>
      </c>
      <c r="P923" s="7">
        <f>IF($H923&gt;I923,MIN($H923-I923,J923-I923)*INDEX('2018_commission_structure'!$A$11:$I$14,MATCH(Calculations!$E923,'2018_commission_structure'!$A$11:$A$14,0), MATCH(Calculations!P$1,'2018_commission_structure'!$A$11:$I$11,0)),0)</f>
        <v>24463.68</v>
      </c>
      <c r="Q923" s="7">
        <f>IF($H923&gt;J923,MIN($H923-J923,K923-J923)*INDEX('2018_commission_structure'!$A$11:$I$14,MATCH(Calculations!$E923,'2018_commission_structure'!$A$11:$A$14,0), MATCH(Calculations!Q$1,'2018_commission_structure'!$A$11:$I$11,0)),0)</f>
        <v>0</v>
      </c>
      <c r="R923" s="7">
        <f>IF($H923&gt;K923,MIN($H923-K923,L923-K923)*INDEX('2018_commission_structure'!$A$11:$I$14,MATCH(Calculations!$E923,'2018_commission_structure'!$A$11:$A$14,0), MATCH(Calculations!R$1,'2018_commission_structure'!$A$11:$I$11,0)),0)</f>
        <v>0</v>
      </c>
      <c r="S923" s="7">
        <f>IF(H923&gt;L923,(H923-L923)*INDEX('2018_commission_structure'!$A$11:$I$14,MATCH(Calculations!$E923,'2018_commission_structure'!$A$11:$A$14,0),MATCH(Calculations!S$1,'2018_commission_structure'!$A$11:$I$11,0)),0)</f>
        <v>0</v>
      </c>
      <c r="T923" s="7">
        <f t="shared" si="131"/>
        <v>102463.67999999999</v>
      </c>
      <c r="U923" s="7">
        <f t="shared" si="132"/>
        <v>166313.68</v>
      </c>
      <c r="V923" s="7">
        <f>MIN(H923,I923)*INDEX('2018_commission_structure'!$A$5:$J$8,MATCH(Calculations!$E923,'2018_commission_structure'!$A$5:$A$8,0),MATCH(Calculations!V$1,'2018_commission_structure'!$A$5:$J$5,0))</f>
        <v>90000</v>
      </c>
      <c r="W923" s="2">
        <f>IF($H923&gt;I923,MIN($H923-I923,J923-I923)*INDEX('2018_commission_structure'!$A$5:$J$8,MATCH(Calculations!$E923,'2018_commission_structure'!$A$5:$A$8,0),MATCH(Calculations!W$1,'2018_commission_structure'!$A$5:$J$5,0)),0)</f>
        <v>25902.719999999998</v>
      </c>
      <c r="X923" s="2">
        <f>IF($H923&gt;J923,MIN($H923-J923,K923-J923)*INDEX('2018_commission_structure'!$A$5:$J$8,MATCH(Calculations!$E923,'2018_commission_structure'!$A$5:$A$8,0),MATCH(Calculations!X$1,'2018_commission_structure'!$A$5:$J$5,0)),0)</f>
        <v>0</v>
      </c>
      <c r="Y923" s="2">
        <f>IF($H923&gt;K923,MIN($H923-K923,L923-K923)*INDEX('2018_commission_structure'!$A$5:$J$8,MATCH(Calculations!$E923,'2018_commission_structure'!$A$5:$A$8,0),MATCH(Calculations!Y$1,'2018_commission_structure'!$A$5:$J$5,0)),0)</f>
        <v>0</v>
      </c>
      <c r="Z923" s="2">
        <f xml:space="preserve"> IF(H923&gt;L923,(H923-L923)*INDEX('2018_commission_structure'!$A$11:$I$14,MATCH(Calculations!$E923,'2018_commission_structure'!$A$11:$A$14,0),MATCH(Calculations!Z$1,'2018_commission_structure'!$A$11:$I$11,0)),0)</f>
        <v>0</v>
      </c>
      <c r="AA923" s="7">
        <f t="shared" si="133"/>
        <v>115902.72</v>
      </c>
      <c r="AB923" s="7">
        <f t="shared" si="134"/>
        <v>179752.72</v>
      </c>
    </row>
    <row r="924" spans="1:28" x14ac:dyDescent="0.25">
      <c r="A924">
        <v>5372344725</v>
      </c>
      <c r="B924" t="s">
        <v>159</v>
      </c>
      <c r="C924" t="s">
        <v>160</v>
      </c>
      <c r="D924" t="str">
        <f>B924&amp;" "&amp;C924</f>
        <v>Brewer Torres</v>
      </c>
      <c r="E924" t="s">
        <v>7</v>
      </c>
      <c r="F924">
        <v>42683</v>
      </c>
      <c r="G924">
        <f>COUNTIF(deals_closed!D:D,Calculations!A924)</f>
        <v>19</v>
      </c>
      <c r="H924" s="2">
        <f>SUMIF(deals_closed!D:D,Calculations!A924,deals_closed!C:C)</f>
        <v>762516</v>
      </c>
      <c r="I924" s="2">
        <f>VLOOKUP(E924,'2018_commission_structure'!$A$11:$I$14,9,FALSE)</f>
        <v>500000</v>
      </c>
      <c r="J924" s="2">
        <f t="shared" si="126"/>
        <v>625000</v>
      </c>
      <c r="K924" s="2">
        <f t="shared" si="127"/>
        <v>750000</v>
      </c>
      <c r="L924" s="2">
        <f t="shared" si="128"/>
        <v>1000000</v>
      </c>
      <c r="M924" s="6">
        <f t="shared" si="129"/>
        <v>1.5250319999999999</v>
      </c>
      <c r="N924" t="str">
        <f t="shared" si="130"/>
        <v>150-200%</v>
      </c>
      <c r="O924" s="7">
        <f>MIN(I924,H924)*INDEX('2018_commission_structure'!$A$11:$I$14,MATCH(Calculations!$E924,'2018_commission_structure'!$A$11:$A$14,0),MATCH(Calculations!O$1,'2018_commission_structure'!$A$11:$I$11,0))</f>
        <v>50000</v>
      </c>
      <c r="P924" s="7">
        <f>IF($H924&gt;I924,MIN($H924-I924,J924-I924)*INDEX('2018_commission_structure'!$A$11:$I$14,MATCH(Calculations!$E924,'2018_commission_structure'!$A$11:$A$14,0), MATCH(Calculations!P$1,'2018_commission_structure'!$A$11:$I$11,0)),0)</f>
        <v>18750</v>
      </c>
      <c r="Q924" s="7">
        <f>IF($H924&gt;J924,MIN($H924-J924,K924-J924)*INDEX('2018_commission_structure'!$A$11:$I$14,MATCH(Calculations!$E924,'2018_commission_structure'!$A$11:$A$14,0), MATCH(Calculations!Q$1,'2018_commission_structure'!$A$11:$I$11,0)),0)</f>
        <v>22500</v>
      </c>
      <c r="R924" s="7">
        <f>IF($H924&gt;K924,MIN($H924-K924,L924-K924)*INDEX('2018_commission_structure'!$A$11:$I$14,MATCH(Calculations!$E924,'2018_commission_structure'!$A$11:$A$14,0), MATCH(Calculations!R$1,'2018_commission_structure'!$A$11:$I$11,0)),0)</f>
        <v>2753.52</v>
      </c>
      <c r="S924" s="7">
        <f>IF(H924&gt;L924,(H924-L924)*INDEX('2018_commission_structure'!$A$11:$I$14,MATCH(Calculations!$E924,'2018_commission_structure'!$A$11:$A$14,0),MATCH(Calculations!S$1,'2018_commission_structure'!$A$11:$I$11,0)),0)</f>
        <v>0</v>
      </c>
      <c r="T924" s="7">
        <f t="shared" si="131"/>
        <v>94003.520000000004</v>
      </c>
      <c r="U924" s="7">
        <f t="shared" si="132"/>
        <v>136686.52000000002</v>
      </c>
      <c r="V924" s="7">
        <f>MIN(H924,I924)*INDEX('2018_commission_structure'!$A$5:$J$8,MATCH(Calculations!$E924,'2018_commission_structure'!$A$5:$A$8,0),MATCH(Calculations!V$1,'2018_commission_structure'!$A$5:$J$5,0))</f>
        <v>60000</v>
      </c>
      <c r="W924" s="2">
        <f>IF($H924&gt;I924,MIN($H924-I924,J924-I924)*INDEX('2018_commission_structure'!$A$5:$J$8,MATCH(Calculations!$E924,'2018_commission_structure'!$A$5:$A$8,0),MATCH(Calculations!W$1,'2018_commission_structure'!$A$5:$J$5,0)),0)</f>
        <v>21250</v>
      </c>
      <c r="X924" s="2">
        <f>IF($H924&gt;J924,MIN($H924-J924,K924-J924)*INDEX('2018_commission_structure'!$A$5:$J$8,MATCH(Calculations!$E924,'2018_commission_structure'!$A$5:$A$8,0),MATCH(Calculations!X$1,'2018_commission_structure'!$A$5:$J$5,0)),0)</f>
        <v>25000</v>
      </c>
      <c r="Y924" s="2">
        <f>IF($H924&gt;K924,MIN($H924-K924,L924-K924)*INDEX('2018_commission_structure'!$A$5:$J$8,MATCH(Calculations!$E924,'2018_commission_structure'!$A$5:$A$8,0),MATCH(Calculations!Y$1,'2018_commission_structure'!$A$5:$J$5,0)),0)</f>
        <v>2753.52</v>
      </c>
      <c r="Z924" s="2">
        <f xml:space="preserve"> IF(H924&gt;L924,(H924-L924)*INDEX('2018_commission_structure'!$A$11:$I$14,MATCH(Calculations!$E924,'2018_commission_structure'!$A$11:$A$14,0),MATCH(Calculations!Z$1,'2018_commission_structure'!$A$11:$I$11,0)),0)</f>
        <v>0</v>
      </c>
      <c r="AA924" s="7">
        <f t="shared" si="133"/>
        <v>109003.52</v>
      </c>
      <c r="AB924" s="7">
        <f t="shared" si="134"/>
        <v>151686.52000000002</v>
      </c>
    </row>
    <row r="925" spans="1:28" x14ac:dyDescent="0.25">
      <c r="A925">
        <v>2493113470</v>
      </c>
      <c r="B925" t="s">
        <v>244</v>
      </c>
      <c r="C925" t="s">
        <v>245</v>
      </c>
      <c r="D925" t="str">
        <f>B925&amp;" "&amp;C925</f>
        <v>Baxter Toulamain</v>
      </c>
      <c r="E925" t="s">
        <v>29</v>
      </c>
      <c r="F925">
        <v>62403</v>
      </c>
      <c r="G925">
        <f>COUNTIF(deals_closed!D:D,Calculations!A925)</f>
        <v>23</v>
      </c>
      <c r="H925" s="2">
        <f>SUMIF(deals_closed!D:D,Calculations!A925,deals_closed!C:C)</f>
        <v>778958</v>
      </c>
      <c r="I925" s="2">
        <f>VLOOKUP(E925,'2018_commission_structure'!$A$11:$I$14,9,FALSE)</f>
        <v>600000</v>
      </c>
      <c r="J925" s="2">
        <f t="shared" si="126"/>
        <v>750000</v>
      </c>
      <c r="K925" s="2">
        <f t="shared" si="127"/>
        <v>900000</v>
      </c>
      <c r="L925" s="2">
        <f t="shared" si="128"/>
        <v>1200000</v>
      </c>
      <c r="M925" s="6">
        <f t="shared" si="129"/>
        <v>1.2982633333333333</v>
      </c>
      <c r="N925" t="str">
        <f t="shared" si="130"/>
        <v>125-150%</v>
      </c>
      <c r="O925" s="7">
        <f>MIN(I925,H925)*INDEX('2018_commission_structure'!$A$11:$I$14,MATCH(Calculations!$E925,'2018_commission_structure'!$A$11:$A$14,0),MATCH(Calculations!O$1,'2018_commission_structure'!$A$11:$I$11,0))</f>
        <v>78000</v>
      </c>
      <c r="P925" s="7">
        <f>IF($H925&gt;I925,MIN($H925-I925,J925-I925)*INDEX('2018_commission_structure'!$A$11:$I$14,MATCH(Calculations!$E925,'2018_commission_structure'!$A$11:$A$14,0), MATCH(Calculations!P$1,'2018_commission_structure'!$A$11:$I$11,0)),0)</f>
        <v>25500.000000000004</v>
      </c>
      <c r="Q925" s="7">
        <f>IF($H925&gt;J925,MIN($H925-J925,K925-J925)*INDEX('2018_commission_structure'!$A$11:$I$14,MATCH(Calculations!$E925,'2018_commission_structure'!$A$11:$A$14,0), MATCH(Calculations!Q$1,'2018_commission_structure'!$A$11:$I$11,0)),0)</f>
        <v>6081.1799999999994</v>
      </c>
      <c r="R925" s="7">
        <f>IF($H925&gt;K925,MIN($H925-K925,L925-K925)*INDEX('2018_commission_structure'!$A$11:$I$14,MATCH(Calculations!$E925,'2018_commission_structure'!$A$11:$A$14,0), MATCH(Calculations!R$1,'2018_commission_structure'!$A$11:$I$11,0)),0)</f>
        <v>0</v>
      </c>
      <c r="S925" s="7">
        <f>IF(H925&gt;L925,(H925-L925)*INDEX('2018_commission_structure'!$A$11:$I$14,MATCH(Calculations!$E925,'2018_commission_structure'!$A$11:$A$14,0),MATCH(Calculations!S$1,'2018_commission_structure'!$A$11:$I$11,0)),0)</f>
        <v>0</v>
      </c>
      <c r="T925" s="7">
        <f t="shared" si="131"/>
        <v>109581.18</v>
      </c>
      <c r="U925" s="7">
        <f t="shared" si="132"/>
        <v>171984.18</v>
      </c>
      <c r="V925" s="7">
        <f>MIN(H925,I925)*INDEX('2018_commission_structure'!$A$5:$J$8,MATCH(Calculations!$E925,'2018_commission_structure'!$A$5:$A$8,0),MATCH(Calculations!V$1,'2018_commission_structure'!$A$5:$J$5,0))</f>
        <v>90000</v>
      </c>
      <c r="W925" s="2">
        <f>IF($H925&gt;I925,MIN($H925-I925,J925-I925)*INDEX('2018_commission_structure'!$A$5:$J$8,MATCH(Calculations!$E925,'2018_commission_structure'!$A$5:$A$8,0),MATCH(Calculations!W$1,'2018_commission_structure'!$A$5:$J$5,0)),0)</f>
        <v>27000</v>
      </c>
      <c r="X925" s="2">
        <f>IF($H925&gt;J925,MIN($H925-J925,K925-J925)*INDEX('2018_commission_structure'!$A$5:$J$8,MATCH(Calculations!$E925,'2018_commission_structure'!$A$5:$A$8,0),MATCH(Calculations!X$1,'2018_commission_structure'!$A$5:$J$5,0)),0)</f>
        <v>7239.5</v>
      </c>
      <c r="Y925" s="2">
        <f>IF($H925&gt;K925,MIN($H925-K925,L925-K925)*INDEX('2018_commission_structure'!$A$5:$J$8,MATCH(Calculations!$E925,'2018_commission_structure'!$A$5:$A$8,0),MATCH(Calculations!Y$1,'2018_commission_structure'!$A$5:$J$5,0)),0)</f>
        <v>0</v>
      </c>
      <c r="Z925" s="2">
        <f xml:space="preserve"> IF(H925&gt;L925,(H925-L925)*INDEX('2018_commission_structure'!$A$11:$I$14,MATCH(Calculations!$E925,'2018_commission_structure'!$A$11:$A$14,0),MATCH(Calculations!Z$1,'2018_commission_structure'!$A$11:$I$11,0)),0)</f>
        <v>0</v>
      </c>
      <c r="AA925" s="7">
        <f t="shared" si="133"/>
        <v>124239.5</v>
      </c>
      <c r="AB925" s="7">
        <f t="shared" si="134"/>
        <v>186642.5</v>
      </c>
    </row>
    <row r="926" spans="1:28" x14ac:dyDescent="0.25">
      <c r="A926">
        <v>2649428619</v>
      </c>
      <c r="B926" t="s">
        <v>468</v>
      </c>
      <c r="C926" t="s">
        <v>469</v>
      </c>
      <c r="D926" t="str">
        <f>B926&amp;" "&amp;C926</f>
        <v>Lyn Trewett</v>
      </c>
      <c r="E926" t="s">
        <v>29</v>
      </c>
      <c r="F926">
        <v>73372</v>
      </c>
      <c r="G926">
        <f>COUNTIF(deals_closed!D:D,Calculations!A926)</f>
        <v>14</v>
      </c>
      <c r="H926" s="2">
        <f>SUMIF(deals_closed!D:D,Calculations!A926,deals_closed!C:C)</f>
        <v>440900</v>
      </c>
      <c r="I926" s="2">
        <f>VLOOKUP(E926,'2018_commission_structure'!$A$11:$I$14,9,FALSE)</f>
        <v>600000</v>
      </c>
      <c r="J926" s="2">
        <f t="shared" si="126"/>
        <v>750000</v>
      </c>
      <c r="K926" s="2">
        <f t="shared" si="127"/>
        <v>900000</v>
      </c>
      <c r="L926" s="2">
        <f t="shared" si="128"/>
        <v>1200000</v>
      </c>
      <c r="M926" s="6">
        <f t="shared" si="129"/>
        <v>0.73483333333333334</v>
      </c>
      <c r="N926" t="str">
        <f t="shared" si="130"/>
        <v>0-100%</v>
      </c>
      <c r="O926" s="7">
        <f>MIN(I926,H926)*INDEX('2018_commission_structure'!$A$11:$I$14,MATCH(Calculations!$E926,'2018_commission_structure'!$A$11:$A$14,0),MATCH(Calculations!O$1,'2018_commission_structure'!$A$11:$I$11,0))</f>
        <v>57317</v>
      </c>
      <c r="P926" s="7">
        <f>IF($H926&gt;I926,MIN($H926-I926,J926-I926)*INDEX('2018_commission_structure'!$A$11:$I$14,MATCH(Calculations!$E926,'2018_commission_structure'!$A$11:$A$14,0), MATCH(Calculations!P$1,'2018_commission_structure'!$A$11:$I$11,0)),0)</f>
        <v>0</v>
      </c>
      <c r="Q926" s="7">
        <f>IF($H926&gt;J926,MIN($H926-J926,K926-J926)*INDEX('2018_commission_structure'!$A$11:$I$14,MATCH(Calculations!$E926,'2018_commission_structure'!$A$11:$A$14,0), MATCH(Calculations!Q$1,'2018_commission_structure'!$A$11:$I$11,0)),0)</f>
        <v>0</v>
      </c>
      <c r="R926" s="7">
        <f>IF($H926&gt;K926,MIN($H926-K926,L926-K926)*INDEX('2018_commission_structure'!$A$11:$I$14,MATCH(Calculations!$E926,'2018_commission_structure'!$A$11:$A$14,0), MATCH(Calculations!R$1,'2018_commission_structure'!$A$11:$I$11,0)),0)</f>
        <v>0</v>
      </c>
      <c r="S926" s="7">
        <f>IF(H926&gt;L926,(H926-L926)*INDEX('2018_commission_structure'!$A$11:$I$14,MATCH(Calculations!$E926,'2018_commission_structure'!$A$11:$A$14,0),MATCH(Calculations!S$1,'2018_commission_structure'!$A$11:$I$11,0)),0)</f>
        <v>0</v>
      </c>
      <c r="T926" s="7">
        <f t="shared" si="131"/>
        <v>57317</v>
      </c>
      <c r="U926" s="7">
        <f t="shared" si="132"/>
        <v>130689</v>
      </c>
      <c r="V926" s="7">
        <f>MIN(H926,I926)*INDEX('2018_commission_structure'!$A$5:$J$8,MATCH(Calculations!$E926,'2018_commission_structure'!$A$5:$A$8,0),MATCH(Calculations!V$1,'2018_commission_structure'!$A$5:$J$5,0))</f>
        <v>66135</v>
      </c>
      <c r="W926" s="2">
        <f>IF($H926&gt;I926,MIN($H926-I926,J926-I926)*INDEX('2018_commission_structure'!$A$5:$J$8,MATCH(Calculations!$E926,'2018_commission_structure'!$A$5:$A$8,0),MATCH(Calculations!W$1,'2018_commission_structure'!$A$5:$J$5,0)),0)</f>
        <v>0</v>
      </c>
      <c r="X926" s="2">
        <f>IF($H926&gt;J926,MIN($H926-J926,K926-J926)*INDEX('2018_commission_structure'!$A$5:$J$8,MATCH(Calculations!$E926,'2018_commission_structure'!$A$5:$A$8,0),MATCH(Calculations!X$1,'2018_commission_structure'!$A$5:$J$5,0)),0)</f>
        <v>0</v>
      </c>
      <c r="Y926" s="2">
        <f>IF($H926&gt;K926,MIN($H926-K926,L926-K926)*INDEX('2018_commission_structure'!$A$5:$J$8,MATCH(Calculations!$E926,'2018_commission_structure'!$A$5:$A$8,0),MATCH(Calculations!Y$1,'2018_commission_structure'!$A$5:$J$5,0)),0)</f>
        <v>0</v>
      </c>
      <c r="Z926" s="2">
        <f xml:space="preserve"> IF(H926&gt;L926,(H926-L926)*INDEX('2018_commission_structure'!$A$11:$I$14,MATCH(Calculations!$E926,'2018_commission_structure'!$A$11:$A$14,0),MATCH(Calculations!Z$1,'2018_commission_structure'!$A$11:$I$11,0)),0)</f>
        <v>0</v>
      </c>
      <c r="AA926" s="7">
        <f t="shared" si="133"/>
        <v>66135</v>
      </c>
      <c r="AB926" s="7">
        <f t="shared" si="134"/>
        <v>139507</v>
      </c>
    </row>
    <row r="927" spans="1:28" x14ac:dyDescent="0.25">
      <c r="A927">
        <v>4689682046</v>
      </c>
      <c r="B927" t="s">
        <v>466</v>
      </c>
      <c r="C927" t="s">
        <v>467</v>
      </c>
      <c r="D927" t="str">
        <f>B927&amp;" "&amp;C927</f>
        <v>Sharline Tribbeck</v>
      </c>
      <c r="E927" t="s">
        <v>7</v>
      </c>
      <c r="F927">
        <v>61679</v>
      </c>
      <c r="G927">
        <f>COUNTIF(deals_closed!D:D,Calculations!A927)</f>
        <v>12</v>
      </c>
      <c r="H927" s="2">
        <f>SUMIF(deals_closed!D:D,Calculations!A927,deals_closed!C:C)</f>
        <v>372405</v>
      </c>
      <c r="I927" s="2">
        <f>VLOOKUP(E927,'2018_commission_structure'!$A$11:$I$14,9,FALSE)</f>
        <v>500000</v>
      </c>
      <c r="J927" s="2">
        <f t="shared" si="126"/>
        <v>625000</v>
      </c>
      <c r="K927" s="2">
        <f t="shared" si="127"/>
        <v>750000</v>
      </c>
      <c r="L927" s="2">
        <f t="shared" si="128"/>
        <v>1000000</v>
      </c>
      <c r="M927" s="6">
        <f t="shared" si="129"/>
        <v>0.74480999999999997</v>
      </c>
      <c r="N927" t="str">
        <f t="shared" si="130"/>
        <v>0-100%</v>
      </c>
      <c r="O927" s="7">
        <f>MIN(I927,H927)*INDEX('2018_commission_structure'!$A$11:$I$14,MATCH(Calculations!$E927,'2018_commission_structure'!$A$11:$A$14,0),MATCH(Calculations!O$1,'2018_commission_structure'!$A$11:$I$11,0))</f>
        <v>37240.5</v>
      </c>
      <c r="P927" s="7">
        <f>IF($H927&gt;I927,MIN($H927-I927,J927-I927)*INDEX('2018_commission_structure'!$A$11:$I$14,MATCH(Calculations!$E927,'2018_commission_structure'!$A$11:$A$14,0), MATCH(Calculations!P$1,'2018_commission_structure'!$A$11:$I$11,0)),0)</f>
        <v>0</v>
      </c>
      <c r="Q927" s="7">
        <f>IF($H927&gt;J927,MIN($H927-J927,K927-J927)*INDEX('2018_commission_structure'!$A$11:$I$14,MATCH(Calculations!$E927,'2018_commission_structure'!$A$11:$A$14,0), MATCH(Calculations!Q$1,'2018_commission_structure'!$A$11:$I$11,0)),0)</f>
        <v>0</v>
      </c>
      <c r="R927" s="7">
        <f>IF($H927&gt;K927,MIN($H927-K927,L927-K927)*INDEX('2018_commission_structure'!$A$11:$I$14,MATCH(Calculations!$E927,'2018_commission_structure'!$A$11:$A$14,0), MATCH(Calculations!R$1,'2018_commission_structure'!$A$11:$I$11,0)),0)</f>
        <v>0</v>
      </c>
      <c r="S927" s="7">
        <f>IF(H927&gt;L927,(H927-L927)*INDEX('2018_commission_structure'!$A$11:$I$14,MATCH(Calculations!$E927,'2018_commission_structure'!$A$11:$A$14,0),MATCH(Calculations!S$1,'2018_commission_structure'!$A$11:$I$11,0)),0)</f>
        <v>0</v>
      </c>
      <c r="T927" s="7">
        <f t="shared" si="131"/>
        <v>37240.5</v>
      </c>
      <c r="U927" s="7">
        <f t="shared" si="132"/>
        <v>98919.5</v>
      </c>
      <c r="V927" s="7">
        <f>MIN(H927,I927)*INDEX('2018_commission_structure'!$A$5:$J$8,MATCH(Calculations!$E927,'2018_commission_structure'!$A$5:$A$8,0),MATCH(Calculations!V$1,'2018_commission_structure'!$A$5:$J$5,0))</f>
        <v>44688.6</v>
      </c>
      <c r="W927" s="2">
        <f>IF($H927&gt;I927,MIN($H927-I927,J927-I927)*INDEX('2018_commission_structure'!$A$5:$J$8,MATCH(Calculations!$E927,'2018_commission_structure'!$A$5:$A$8,0),MATCH(Calculations!W$1,'2018_commission_structure'!$A$5:$J$5,0)),0)</f>
        <v>0</v>
      </c>
      <c r="X927" s="2">
        <f>IF($H927&gt;J927,MIN($H927-J927,K927-J927)*INDEX('2018_commission_structure'!$A$5:$J$8,MATCH(Calculations!$E927,'2018_commission_structure'!$A$5:$A$8,0),MATCH(Calculations!X$1,'2018_commission_structure'!$A$5:$J$5,0)),0)</f>
        <v>0</v>
      </c>
      <c r="Y927" s="2">
        <f>IF($H927&gt;K927,MIN($H927-K927,L927-K927)*INDEX('2018_commission_structure'!$A$5:$J$8,MATCH(Calculations!$E927,'2018_commission_structure'!$A$5:$A$8,0),MATCH(Calculations!Y$1,'2018_commission_structure'!$A$5:$J$5,0)),0)</f>
        <v>0</v>
      </c>
      <c r="Z927" s="2">
        <f xml:space="preserve"> IF(H927&gt;L927,(H927-L927)*INDEX('2018_commission_structure'!$A$11:$I$14,MATCH(Calculations!$E927,'2018_commission_structure'!$A$11:$A$14,0),MATCH(Calculations!Z$1,'2018_commission_structure'!$A$11:$I$11,0)),0)</f>
        <v>0</v>
      </c>
      <c r="AA927" s="7">
        <f t="shared" si="133"/>
        <v>44688.6</v>
      </c>
      <c r="AB927" s="7">
        <f t="shared" si="134"/>
        <v>106367.6</v>
      </c>
    </row>
    <row r="928" spans="1:28" x14ac:dyDescent="0.25">
      <c r="A928">
        <v>8676088039</v>
      </c>
      <c r="B928" t="s">
        <v>1777</v>
      </c>
      <c r="C928" t="s">
        <v>1778</v>
      </c>
      <c r="D928" t="str">
        <f>B928&amp;" "&amp;C928</f>
        <v>Norina Truckett</v>
      </c>
      <c r="E928" t="s">
        <v>29</v>
      </c>
      <c r="F928">
        <v>67203</v>
      </c>
      <c r="G928">
        <f>COUNTIF(deals_closed!D:D,Calculations!A928)</f>
        <v>24</v>
      </c>
      <c r="H928" s="2">
        <f>SUMIF(deals_closed!D:D,Calculations!A928,deals_closed!C:C)</f>
        <v>923269</v>
      </c>
      <c r="I928" s="2">
        <f>VLOOKUP(E928,'2018_commission_structure'!$A$11:$I$14,9,FALSE)</f>
        <v>600000</v>
      </c>
      <c r="J928" s="2">
        <f t="shared" si="126"/>
        <v>750000</v>
      </c>
      <c r="K928" s="2">
        <f t="shared" si="127"/>
        <v>900000</v>
      </c>
      <c r="L928" s="2">
        <f t="shared" si="128"/>
        <v>1200000</v>
      </c>
      <c r="M928" s="6">
        <f t="shared" si="129"/>
        <v>1.5387816666666667</v>
      </c>
      <c r="N928" t="str">
        <f t="shared" si="130"/>
        <v>150-200%</v>
      </c>
      <c r="O928" s="7">
        <f>MIN(I928,H928)*INDEX('2018_commission_structure'!$A$11:$I$14,MATCH(Calculations!$E928,'2018_commission_structure'!$A$11:$A$14,0),MATCH(Calculations!O$1,'2018_commission_structure'!$A$11:$I$11,0))</f>
        <v>78000</v>
      </c>
      <c r="P928" s="7">
        <f>IF($H928&gt;I928,MIN($H928-I928,J928-I928)*INDEX('2018_commission_structure'!$A$11:$I$14,MATCH(Calculations!$E928,'2018_commission_structure'!$A$11:$A$14,0), MATCH(Calculations!P$1,'2018_commission_structure'!$A$11:$I$11,0)),0)</f>
        <v>25500.000000000004</v>
      </c>
      <c r="Q928" s="7">
        <f>IF($H928&gt;J928,MIN($H928-J928,K928-J928)*INDEX('2018_commission_structure'!$A$11:$I$14,MATCH(Calculations!$E928,'2018_commission_structure'!$A$11:$A$14,0), MATCH(Calculations!Q$1,'2018_commission_structure'!$A$11:$I$11,0)),0)</f>
        <v>31500</v>
      </c>
      <c r="R928" s="7">
        <f>IF($H928&gt;K928,MIN($H928-K928,L928-K928)*INDEX('2018_commission_structure'!$A$11:$I$14,MATCH(Calculations!$E928,'2018_commission_structure'!$A$11:$A$14,0), MATCH(Calculations!R$1,'2018_commission_structure'!$A$11:$I$11,0)),0)</f>
        <v>6049.9400000000005</v>
      </c>
      <c r="S928" s="7">
        <f>IF(H928&gt;L928,(H928-L928)*INDEX('2018_commission_structure'!$A$11:$I$14,MATCH(Calculations!$E928,'2018_commission_structure'!$A$11:$A$14,0),MATCH(Calculations!S$1,'2018_commission_structure'!$A$11:$I$11,0)),0)</f>
        <v>0</v>
      </c>
      <c r="T928" s="7">
        <f t="shared" si="131"/>
        <v>141049.94</v>
      </c>
      <c r="U928" s="7">
        <f t="shared" si="132"/>
        <v>208252.94</v>
      </c>
      <c r="V928" s="7">
        <f>MIN(H928,I928)*INDEX('2018_commission_structure'!$A$5:$J$8,MATCH(Calculations!$E928,'2018_commission_structure'!$A$5:$A$8,0),MATCH(Calculations!V$1,'2018_commission_structure'!$A$5:$J$5,0))</f>
        <v>90000</v>
      </c>
      <c r="W928" s="2">
        <f>IF($H928&gt;I928,MIN($H928-I928,J928-I928)*INDEX('2018_commission_structure'!$A$5:$J$8,MATCH(Calculations!$E928,'2018_commission_structure'!$A$5:$A$8,0),MATCH(Calculations!W$1,'2018_commission_structure'!$A$5:$J$5,0)),0)</f>
        <v>27000</v>
      </c>
      <c r="X928" s="2">
        <f>IF($H928&gt;J928,MIN($H928-J928,K928-J928)*INDEX('2018_commission_structure'!$A$5:$J$8,MATCH(Calculations!$E928,'2018_commission_structure'!$A$5:$A$8,0),MATCH(Calculations!X$1,'2018_commission_structure'!$A$5:$J$5,0)),0)</f>
        <v>37500</v>
      </c>
      <c r="Y928" s="2">
        <f>IF($H928&gt;K928,MIN($H928-K928,L928-K928)*INDEX('2018_commission_structure'!$A$5:$J$8,MATCH(Calculations!$E928,'2018_commission_structure'!$A$5:$A$8,0),MATCH(Calculations!Y$1,'2018_commission_structure'!$A$5:$J$5,0)),0)</f>
        <v>6980.7</v>
      </c>
      <c r="Z928" s="2">
        <f xml:space="preserve"> IF(H928&gt;L928,(H928-L928)*INDEX('2018_commission_structure'!$A$11:$I$14,MATCH(Calculations!$E928,'2018_commission_structure'!$A$11:$A$14,0),MATCH(Calculations!Z$1,'2018_commission_structure'!$A$11:$I$11,0)),0)</f>
        <v>0</v>
      </c>
      <c r="AA928" s="7">
        <f t="shared" si="133"/>
        <v>161480.70000000001</v>
      </c>
      <c r="AB928" s="7">
        <f t="shared" si="134"/>
        <v>228683.7</v>
      </c>
    </row>
    <row r="929" spans="1:28" x14ac:dyDescent="0.25">
      <c r="A929">
        <v>8552526727</v>
      </c>
      <c r="B929" t="s">
        <v>1298</v>
      </c>
      <c r="C929" t="s">
        <v>1299</v>
      </c>
      <c r="D929" t="str">
        <f>B929&amp;" "&amp;C929</f>
        <v>Godard Truett</v>
      </c>
      <c r="E929" t="s">
        <v>29</v>
      </c>
      <c r="F929">
        <v>57147</v>
      </c>
      <c r="G929">
        <f>COUNTIF(deals_closed!D:D,Calculations!A929)</f>
        <v>27</v>
      </c>
      <c r="H929" s="2">
        <f>SUMIF(deals_closed!D:D,Calculations!A929,deals_closed!C:C)</f>
        <v>1005142</v>
      </c>
      <c r="I929" s="2">
        <f>VLOOKUP(E929,'2018_commission_structure'!$A$11:$I$14,9,FALSE)</f>
        <v>600000</v>
      </c>
      <c r="J929" s="2">
        <f t="shared" si="126"/>
        <v>750000</v>
      </c>
      <c r="K929" s="2">
        <f t="shared" si="127"/>
        <v>900000</v>
      </c>
      <c r="L929" s="2">
        <f t="shared" si="128"/>
        <v>1200000</v>
      </c>
      <c r="M929" s="6">
        <f t="shared" si="129"/>
        <v>1.6752366666666667</v>
      </c>
      <c r="N929" t="str">
        <f t="shared" si="130"/>
        <v>150-200%</v>
      </c>
      <c r="O929" s="7">
        <f>MIN(I929,H929)*INDEX('2018_commission_structure'!$A$11:$I$14,MATCH(Calculations!$E929,'2018_commission_structure'!$A$11:$A$14,0),MATCH(Calculations!O$1,'2018_commission_structure'!$A$11:$I$11,0))</f>
        <v>78000</v>
      </c>
      <c r="P929" s="7">
        <f>IF($H929&gt;I929,MIN($H929-I929,J929-I929)*INDEX('2018_commission_structure'!$A$11:$I$14,MATCH(Calculations!$E929,'2018_commission_structure'!$A$11:$A$14,0), MATCH(Calculations!P$1,'2018_commission_structure'!$A$11:$I$11,0)),0)</f>
        <v>25500.000000000004</v>
      </c>
      <c r="Q929" s="7">
        <f>IF($H929&gt;J929,MIN($H929-J929,K929-J929)*INDEX('2018_commission_structure'!$A$11:$I$14,MATCH(Calculations!$E929,'2018_commission_structure'!$A$11:$A$14,0), MATCH(Calculations!Q$1,'2018_commission_structure'!$A$11:$I$11,0)),0)</f>
        <v>31500</v>
      </c>
      <c r="R929" s="7">
        <f>IF($H929&gt;K929,MIN($H929-K929,L929-K929)*INDEX('2018_commission_structure'!$A$11:$I$14,MATCH(Calculations!$E929,'2018_commission_structure'!$A$11:$A$14,0), MATCH(Calculations!R$1,'2018_commission_structure'!$A$11:$I$11,0)),0)</f>
        <v>27336.920000000002</v>
      </c>
      <c r="S929" s="7">
        <f>IF(H929&gt;L929,(H929-L929)*INDEX('2018_commission_structure'!$A$11:$I$14,MATCH(Calculations!$E929,'2018_commission_structure'!$A$11:$A$14,0),MATCH(Calculations!S$1,'2018_commission_structure'!$A$11:$I$11,0)),0)</f>
        <v>0</v>
      </c>
      <c r="T929" s="7">
        <f t="shared" si="131"/>
        <v>162336.92000000001</v>
      </c>
      <c r="U929" s="7">
        <f t="shared" si="132"/>
        <v>219483.92</v>
      </c>
      <c r="V929" s="7">
        <f>MIN(H929,I929)*INDEX('2018_commission_structure'!$A$5:$J$8,MATCH(Calculations!$E929,'2018_commission_structure'!$A$5:$A$8,0),MATCH(Calculations!V$1,'2018_commission_structure'!$A$5:$J$5,0))</f>
        <v>90000</v>
      </c>
      <c r="W929" s="2">
        <f>IF($H929&gt;I929,MIN($H929-I929,J929-I929)*INDEX('2018_commission_structure'!$A$5:$J$8,MATCH(Calculations!$E929,'2018_commission_structure'!$A$5:$A$8,0),MATCH(Calculations!W$1,'2018_commission_structure'!$A$5:$J$5,0)),0)</f>
        <v>27000</v>
      </c>
      <c r="X929" s="2">
        <f>IF($H929&gt;J929,MIN($H929-J929,K929-J929)*INDEX('2018_commission_structure'!$A$5:$J$8,MATCH(Calculations!$E929,'2018_commission_structure'!$A$5:$A$8,0),MATCH(Calculations!X$1,'2018_commission_structure'!$A$5:$J$5,0)),0)</f>
        <v>37500</v>
      </c>
      <c r="Y929" s="2">
        <f>IF($H929&gt;K929,MIN($H929-K929,L929-K929)*INDEX('2018_commission_structure'!$A$5:$J$8,MATCH(Calculations!$E929,'2018_commission_structure'!$A$5:$A$8,0),MATCH(Calculations!Y$1,'2018_commission_structure'!$A$5:$J$5,0)),0)</f>
        <v>31542.6</v>
      </c>
      <c r="Z929" s="2">
        <f xml:space="preserve"> IF(H929&gt;L929,(H929-L929)*INDEX('2018_commission_structure'!$A$11:$I$14,MATCH(Calculations!$E929,'2018_commission_structure'!$A$11:$A$14,0),MATCH(Calculations!Z$1,'2018_commission_structure'!$A$11:$I$11,0)),0)</f>
        <v>0</v>
      </c>
      <c r="AA929" s="7">
        <f t="shared" si="133"/>
        <v>186042.6</v>
      </c>
      <c r="AB929" s="7">
        <f t="shared" si="134"/>
        <v>243189.6</v>
      </c>
    </row>
    <row r="930" spans="1:28" x14ac:dyDescent="0.25">
      <c r="A930">
        <v>5990182805</v>
      </c>
      <c r="B930" t="s">
        <v>547</v>
      </c>
      <c r="C930" t="s">
        <v>548</v>
      </c>
      <c r="D930" t="str">
        <f>B930&amp;" "&amp;C930</f>
        <v>Malissia Try</v>
      </c>
      <c r="E930" t="s">
        <v>29</v>
      </c>
      <c r="F930">
        <v>71661</v>
      </c>
      <c r="G930">
        <f>COUNTIF(deals_closed!D:D,Calculations!A930)</f>
        <v>13</v>
      </c>
      <c r="H930" s="2">
        <f>SUMIF(deals_closed!D:D,Calculations!A930,deals_closed!C:C)</f>
        <v>462339</v>
      </c>
      <c r="I930" s="2">
        <f>VLOOKUP(E930,'2018_commission_structure'!$A$11:$I$14,9,FALSE)</f>
        <v>600000</v>
      </c>
      <c r="J930" s="2">
        <f t="shared" si="126"/>
        <v>750000</v>
      </c>
      <c r="K930" s="2">
        <f t="shared" si="127"/>
        <v>900000</v>
      </c>
      <c r="L930" s="2">
        <f t="shared" si="128"/>
        <v>1200000</v>
      </c>
      <c r="M930" s="6">
        <f t="shared" si="129"/>
        <v>0.77056500000000006</v>
      </c>
      <c r="N930" t="str">
        <f t="shared" si="130"/>
        <v>0-100%</v>
      </c>
      <c r="O930" s="7">
        <f>MIN(I930,H930)*INDEX('2018_commission_structure'!$A$11:$I$14,MATCH(Calculations!$E930,'2018_commission_structure'!$A$11:$A$14,0),MATCH(Calculations!O$1,'2018_commission_structure'!$A$11:$I$11,0))</f>
        <v>60104.07</v>
      </c>
      <c r="P930" s="7">
        <f>IF($H930&gt;I930,MIN($H930-I930,J930-I930)*INDEX('2018_commission_structure'!$A$11:$I$14,MATCH(Calculations!$E930,'2018_commission_structure'!$A$11:$A$14,0), MATCH(Calculations!P$1,'2018_commission_structure'!$A$11:$I$11,0)),0)</f>
        <v>0</v>
      </c>
      <c r="Q930" s="7">
        <f>IF($H930&gt;J930,MIN($H930-J930,K930-J930)*INDEX('2018_commission_structure'!$A$11:$I$14,MATCH(Calculations!$E930,'2018_commission_structure'!$A$11:$A$14,0), MATCH(Calculations!Q$1,'2018_commission_structure'!$A$11:$I$11,0)),0)</f>
        <v>0</v>
      </c>
      <c r="R930" s="7">
        <f>IF($H930&gt;K930,MIN($H930-K930,L930-K930)*INDEX('2018_commission_structure'!$A$11:$I$14,MATCH(Calculations!$E930,'2018_commission_structure'!$A$11:$A$14,0), MATCH(Calculations!R$1,'2018_commission_structure'!$A$11:$I$11,0)),0)</f>
        <v>0</v>
      </c>
      <c r="S930" s="7">
        <f>IF(H930&gt;L930,(H930-L930)*INDEX('2018_commission_structure'!$A$11:$I$14,MATCH(Calculations!$E930,'2018_commission_structure'!$A$11:$A$14,0),MATCH(Calculations!S$1,'2018_commission_structure'!$A$11:$I$11,0)),0)</f>
        <v>0</v>
      </c>
      <c r="T930" s="7">
        <f t="shared" si="131"/>
        <v>60104.07</v>
      </c>
      <c r="U930" s="7">
        <f t="shared" si="132"/>
        <v>131765.07</v>
      </c>
      <c r="V930" s="7">
        <f>MIN(H930,I930)*INDEX('2018_commission_structure'!$A$5:$J$8,MATCH(Calculations!$E930,'2018_commission_structure'!$A$5:$A$8,0),MATCH(Calculations!V$1,'2018_commission_structure'!$A$5:$J$5,0))</f>
        <v>69350.849999999991</v>
      </c>
      <c r="W930" s="2">
        <f>IF($H930&gt;I930,MIN($H930-I930,J930-I930)*INDEX('2018_commission_structure'!$A$5:$J$8,MATCH(Calculations!$E930,'2018_commission_structure'!$A$5:$A$8,0),MATCH(Calculations!W$1,'2018_commission_structure'!$A$5:$J$5,0)),0)</f>
        <v>0</v>
      </c>
      <c r="X930" s="2">
        <f>IF($H930&gt;J930,MIN($H930-J930,K930-J930)*INDEX('2018_commission_structure'!$A$5:$J$8,MATCH(Calculations!$E930,'2018_commission_structure'!$A$5:$A$8,0),MATCH(Calculations!X$1,'2018_commission_structure'!$A$5:$J$5,0)),0)</f>
        <v>0</v>
      </c>
      <c r="Y930" s="2">
        <f>IF($H930&gt;K930,MIN($H930-K930,L930-K930)*INDEX('2018_commission_structure'!$A$5:$J$8,MATCH(Calculations!$E930,'2018_commission_structure'!$A$5:$A$8,0),MATCH(Calculations!Y$1,'2018_commission_structure'!$A$5:$J$5,0)),0)</f>
        <v>0</v>
      </c>
      <c r="Z930" s="2">
        <f xml:space="preserve"> IF(H930&gt;L930,(H930-L930)*INDEX('2018_commission_structure'!$A$11:$I$14,MATCH(Calculations!$E930,'2018_commission_structure'!$A$11:$A$14,0),MATCH(Calculations!Z$1,'2018_commission_structure'!$A$11:$I$11,0)),0)</f>
        <v>0</v>
      </c>
      <c r="AA930" s="7">
        <f t="shared" si="133"/>
        <v>69350.849999999991</v>
      </c>
      <c r="AB930" s="7">
        <f t="shared" si="134"/>
        <v>141011.84999999998</v>
      </c>
    </row>
    <row r="931" spans="1:28" x14ac:dyDescent="0.25">
      <c r="A931">
        <v>2480515559</v>
      </c>
      <c r="B931" t="s">
        <v>8</v>
      </c>
      <c r="C931" t="s">
        <v>9</v>
      </c>
      <c r="D931" t="str">
        <f>B931&amp;" "&amp;C931</f>
        <v>Bertie Turpey</v>
      </c>
      <c r="E931" t="s">
        <v>10</v>
      </c>
      <c r="F931">
        <v>80760</v>
      </c>
      <c r="G931">
        <f>COUNTIF(deals_closed!D:D,Calculations!A931)</f>
        <v>27</v>
      </c>
      <c r="H931" s="2">
        <f>SUMIF(deals_closed!D:D,Calculations!A931,deals_closed!C:C)</f>
        <v>929293</v>
      </c>
      <c r="I931" s="2">
        <f>VLOOKUP(E931,'2018_commission_structure'!$A$11:$I$14,9,FALSE)</f>
        <v>750000</v>
      </c>
      <c r="J931" s="2">
        <f t="shared" si="126"/>
        <v>937500</v>
      </c>
      <c r="K931" s="2">
        <f t="shared" si="127"/>
        <v>1125000</v>
      </c>
      <c r="L931" s="2">
        <f t="shared" si="128"/>
        <v>1500000</v>
      </c>
      <c r="M931" s="6">
        <f t="shared" si="129"/>
        <v>1.2390573333333332</v>
      </c>
      <c r="N931" t="str">
        <f t="shared" si="130"/>
        <v>100-125%</v>
      </c>
      <c r="O931" s="7">
        <f>MIN(I931,H931)*INDEX('2018_commission_structure'!$A$11:$I$14,MATCH(Calculations!$E931,'2018_commission_structure'!$A$11:$A$14,0),MATCH(Calculations!O$1,'2018_commission_structure'!$A$11:$I$11,0))</f>
        <v>112500</v>
      </c>
      <c r="P931" s="7">
        <f>IF($H931&gt;I931,MIN($H931-I931,J931-I931)*INDEX('2018_commission_structure'!$A$11:$I$14,MATCH(Calculations!$E931,'2018_commission_structure'!$A$11:$A$14,0), MATCH(Calculations!P$1,'2018_commission_structure'!$A$11:$I$11,0)),0)</f>
        <v>34065.67</v>
      </c>
      <c r="Q931" s="7">
        <f>IF($H931&gt;J931,MIN($H931-J931,K931-J931)*INDEX('2018_commission_structure'!$A$11:$I$14,MATCH(Calculations!$E931,'2018_commission_structure'!$A$11:$A$14,0), MATCH(Calculations!Q$1,'2018_commission_structure'!$A$11:$I$11,0)),0)</f>
        <v>0</v>
      </c>
      <c r="R931" s="7">
        <f>IF($H931&gt;K931,MIN($H931-K931,L931-K931)*INDEX('2018_commission_structure'!$A$11:$I$14,MATCH(Calculations!$E931,'2018_commission_structure'!$A$11:$A$14,0), MATCH(Calculations!R$1,'2018_commission_structure'!$A$11:$I$11,0)),0)</f>
        <v>0</v>
      </c>
      <c r="S931" s="7">
        <f>IF(H931&gt;L931,(H931-L931)*INDEX('2018_commission_structure'!$A$11:$I$14,MATCH(Calculations!$E931,'2018_commission_structure'!$A$11:$A$14,0),MATCH(Calculations!S$1,'2018_commission_structure'!$A$11:$I$11,0)),0)</f>
        <v>0</v>
      </c>
      <c r="T931" s="7">
        <f t="shared" si="131"/>
        <v>146565.66999999998</v>
      </c>
      <c r="U931" s="7">
        <f t="shared" si="132"/>
        <v>227325.66999999998</v>
      </c>
      <c r="V931" s="7">
        <f>MIN(H931,I931)*INDEX('2018_commission_structure'!$A$5:$J$8,MATCH(Calculations!$E931,'2018_commission_structure'!$A$5:$A$8,0),MATCH(Calculations!V$1,'2018_commission_structure'!$A$5:$J$5,0))</f>
        <v>112500</v>
      </c>
      <c r="W931" s="2">
        <f>IF($H931&gt;I931,MIN($H931-I931,J931-I931)*INDEX('2018_commission_structure'!$A$5:$J$8,MATCH(Calculations!$E931,'2018_commission_structure'!$A$5:$A$8,0),MATCH(Calculations!W$1,'2018_commission_structure'!$A$5:$J$5,0)),0)</f>
        <v>39444.46</v>
      </c>
      <c r="X931" s="2">
        <f>IF($H931&gt;J931,MIN($H931-J931,K931-J931)*INDEX('2018_commission_structure'!$A$5:$J$8,MATCH(Calculations!$E931,'2018_commission_structure'!$A$5:$A$8,0),MATCH(Calculations!X$1,'2018_commission_structure'!$A$5:$J$5,0)),0)</f>
        <v>0</v>
      </c>
      <c r="Y931" s="2">
        <f>IF($H931&gt;K931,MIN($H931-K931,L931-K931)*INDEX('2018_commission_structure'!$A$5:$J$8,MATCH(Calculations!$E931,'2018_commission_structure'!$A$5:$A$8,0),MATCH(Calculations!Y$1,'2018_commission_structure'!$A$5:$J$5,0)),0)</f>
        <v>0</v>
      </c>
      <c r="Z931" s="2">
        <f xml:space="preserve"> IF(H931&gt;L931,(H931-L931)*INDEX('2018_commission_structure'!$A$11:$I$14,MATCH(Calculations!$E931,'2018_commission_structure'!$A$11:$A$14,0),MATCH(Calculations!Z$1,'2018_commission_structure'!$A$11:$I$11,0)),0)</f>
        <v>0</v>
      </c>
      <c r="AA931" s="7">
        <f t="shared" si="133"/>
        <v>151944.46</v>
      </c>
      <c r="AB931" s="7">
        <f t="shared" si="134"/>
        <v>232704.46</v>
      </c>
    </row>
    <row r="932" spans="1:28" x14ac:dyDescent="0.25">
      <c r="A932">
        <v>4074728869</v>
      </c>
      <c r="B932" t="s">
        <v>718</v>
      </c>
      <c r="C932" t="s">
        <v>719</v>
      </c>
      <c r="D932" t="str">
        <f>B932&amp;" "&amp;C932</f>
        <v>Valencia Ubsdale</v>
      </c>
      <c r="E932" t="s">
        <v>29</v>
      </c>
      <c r="F932">
        <v>72698</v>
      </c>
      <c r="G932">
        <f>COUNTIF(deals_closed!D:D,Calculations!A932)</f>
        <v>20</v>
      </c>
      <c r="H932" s="2">
        <f>SUMIF(deals_closed!D:D,Calculations!A932,deals_closed!C:C)</f>
        <v>806749</v>
      </c>
      <c r="I932" s="2">
        <f>VLOOKUP(E932,'2018_commission_structure'!$A$11:$I$14,9,FALSE)</f>
        <v>600000</v>
      </c>
      <c r="J932" s="2">
        <f t="shared" si="126"/>
        <v>750000</v>
      </c>
      <c r="K932" s="2">
        <f t="shared" si="127"/>
        <v>900000</v>
      </c>
      <c r="L932" s="2">
        <f t="shared" si="128"/>
        <v>1200000</v>
      </c>
      <c r="M932" s="6">
        <f t="shared" si="129"/>
        <v>1.3445816666666666</v>
      </c>
      <c r="N932" t="str">
        <f t="shared" si="130"/>
        <v>125-150%</v>
      </c>
      <c r="O932" s="7">
        <f>MIN(I932,H932)*INDEX('2018_commission_structure'!$A$11:$I$14,MATCH(Calculations!$E932,'2018_commission_structure'!$A$11:$A$14,0),MATCH(Calculations!O$1,'2018_commission_structure'!$A$11:$I$11,0))</f>
        <v>78000</v>
      </c>
      <c r="P932" s="7">
        <f>IF($H932&gt;I932,MIN($H932-I932,J932-I932)*INDEX('2018_commission_structure'!$A$11:$I$14,MATCH(Calculations!$E932,'2018_commission_structure'!$A$11:$A$14,0), MATCH(Calculations!P$1,'2018_commission_structure'!$A$11:$I$11,0)),0)</f>
        <v>25500.000000000004</v>
      </c>
      <c r="Q932" s="7">
        <f>IF($H932&gt;J932,MIN($H932-J932,K932-J932)*INDEX('2018_commission_structure'!$A$11:$I$14,MATCH(Calculations!$E932,'2018_commission_structure'!$A$11:$A$14,0), MATCH(Calculations!Q$1,'2018_commission_structure'!$A$11:$I$11,0)),0)</f>
        <v>11917.289999999999</v>
      </c>
      <c r="R932" s="7">
        <f>IF($H932&gt;K932,MIN($H932-K932,L932-K932)*INDEX('2018_commission_structure'!$A$11:$I$14,MATCH(Calculations!$E932,'2018_commission_structure'!$A$11:$A$14,0), MATCH(Calculations!R$1,'2018_commission_structure'!$A$11:$I$11,0)),0)</f>
        <v>0</v>
      </c>
      <c r="S932" s="7">
        <f>IF(H932&gt;L932,(H932-L932)*INDEX('2018_commission_structure'!$A$11:$I$14,MATCH(Calculations!$E932,'2018_commission_structure'!$A$11:$A$14,0),MATCH(Calculations!S$1,'2018_commission_structure'!$A$11:$I$11,0)),0)</f>
        <v>0</v>
      </c>
      <c r="T932" s="7">
        <f t="shared" si="131"/>
        <v>115417.29</v>
      </c>
      <c r="U932" s="7">
        <f t="shared" si="132"/>
        <v>188115.28999999998</v>
      </c>
      <c r="V932" s="7">
        <f>MIN(H932,I932)*INDEX('2018_commission_structure'!$A$5:$J$8,MATCH(Calculations!$E932,'2018_commission_structure'!$A$5:$A$8,0),MATCH(Calculations!V$1,'2018_commission_structure'!$A$5:$J$5,0))</f>
        <v>90000</v>
      </c>
      <c r="W932" s="2">
        <f>IF($H932&gt;I932,MIN($H932-I932,J932-I932)*INDEX('2018_commission_structure'!$A$5:$J$8,MATCH(Calculations!$E932,'2018_commission_structure'!$A$5:$A$8,0),MATCH(Calculations!W$1,'2018_commission_structure'!$A$5:$J$5,0)),0)</f>
        <v>27000</v>
      </c>
      <c r="X932" s="2">
        <f>IF($H932&gt;J932,MIN($H932-J932,K932-J932)*INDEX('2018_commission_structure'!$A$5:$J$8,MATCH(Calculations!$E932,'2018_commission_structure'!$A$5:$A$8,0),MATCH(Calculations!X$1,'2018_commission_structure'!$A$5:$J$5,0)),0)</f>
        <v>14187.25</v>
      </c>
      <c r="Y932" s="2">
        <f>IF($H932&gt;K932,MIN($H932-K932,L932-K932)*INDEX('2018_commission_structure'!$A$5:$J$8,MATCH(Calculations!$E932,'2018_commission_structure'!$A$5:$A$8,0),MATCH(Calculations!Y$1,'2018_commission_structure'!$A$5:$J$5,0)),0)</f>
        <v>0</v>
      </c>
      <c r="Z932" s="2">
        <f xml:space="preserve"> IF(H932&gt;L932,(H932-L932)*INDEX('2018_commission_structure'!$A$11:$I$14,MATCH(Calculations!$E932,'2018_commission_structure'!$A$11:$A$14,0),MATCH(Calculations!Z$1,'2018_commission_structure'!$A$11:$I$11,0)),0)</f>
        <v>0</v>
      </c>
      <c r="AA932" s="7">
        <f t="shared" si="133"/>
        <v>131187.25</v>
      </c>
      <c r="AB932" s="7">
        <f t="shared" si="134"/>
        <v>203885.25</v>
      </c>
    </row>
    <row r="933" spans="1:28" x14ac:dyDescent="0.25">
      <c r="A933">
        <v>8127128031</v>
      </c>
      <c r="B933" t="s">
        <v>1029</v>
      </c>
      <c r="C933" t="s">
        <v>1030</v>
      </c>
      <c r="D933" t="str">
        <f>B933&amp;" "&amp;C933</f>
        <v>Adolf Underhill</v>
      </c>
      <c r="E933" t="s">
        <v>29</v>
      </c>
      <c r="F933">
        <v>77872</v>
      </c>
      <c r="G933">
        <f>COUNTIF(deals_closed!D:D,Calculations!A933)</f>
        <v>17</v>
      </c>
      <c r="H933" s="2">
        <f>SUMIF(deals_closed!D:D,Calculations!A933,deals_closed!C:C)</f>
        <v>522770</v>
      </c>
      <c r="I933" s="2">
        <f>VLOOKUP(E933,'2018_commission_structure'!$A$11:$I$14,9,FALSE)</f>
        <v>600000</v>
      </c>
      <c r="J933" s="2">
        <f t="shared" si="126"/>
        <v>750000</v>
      </c>
      <c r="K933" s="2">
        <f t="shared" si="127"/>
        <v>900000</v>
      </c>
      <c r="L933" s="2">
        <f t="shared" si="128"/>
        <v>1200000</v>
      </c>
      <c r="M933" s="6">
        <f t="shared" si="129"/>
        <v>0.8712833333333333</v>
      </c>
      <c r="N933" t="str">
        <f t="shared" si="130"/>
        <v>0-100%</v>
      </c>
      <c r="O933" s="7">
        <f>MIN(I933,H933)*INDEX('2018_commission_structure'!$A$11:$I$14,MATCH(Calculations!$E933,'2018_commission_structure'!$A$11:$A$14,0),MATCH(Calculations!O$1,'2018_commission_structure'!$A$11:$I$11,0))</f>
        <v>67960.100000000006</v>
      </c>
      <c r="P933" s="7">
        <f>IF($H933&gt;I933,MIN($H933-I933,J933-I933)*INDEX('2018_commission_structure'!$A$11:$I$14,MATCH(Calculations!$E933,'2018_commission_structure'!$A$11:$A$14,0), MATCH(Calculations!P$1,'2018_commission_structure'!$A$11:$I$11,0)),0)</f>
        <v>0</v>
      </c>
      <c r="Q933" s="7">
        <f>IF($H933&gt;J933,MIN($H933-J933,K933-J933)*INDEX('2018_commission_structure'!$A$11:$I$14,MATCH(Calculations!$E933,'2018_commission_structure'!$A$11:$A$14,0), MATCH(Calculations!Q$1,'2018_commission_structure'!$A$11:$I$11,0)),0)</f>
        <v>0</v>
      </c>
      <c r="R933" s="7">
        <f>IF($H933&gt;K933,MIN($H933-K933,L933-K933)*INDEX('2018_commission_structure'!$A$11:$I$14,MATCH(Calculations!$E933,'2018_commission_structure'!$A$11:$A$14,0), MATCH(Calculations!R$1,'2018_commission_structure'!$A$11:$I$11,0)),0)</f>
        <v>0</v>
      </c>
      <c r="S933" s="7">
        <f>IF(H933&gt;L933,(H933-L933)*INDEX('2018_commission_structure'!$A$11:$I$14,MATCH(Calculations!$E933,'2018_commission_structure'!$A$11:$A$14,0),MATCH(Calculations!S$1,'2018_commission_structure'!$A$11:$I$11,0)),0)</f>
        <v>0</v>
      </c>
      <c r="T933" s="7">
        <f t="shared" si="131"/>
        <v>67960.100000000006</v>
      </c>
      <c r="U933" s="7">
        <f t="shared" si="132"/>
        <v>145832.1</v>
      </c>
      <c r="V933" s="7">
        <f>MIN(H933,I933)*INDEX('2018_commission_structure'!$A$5:$J$8,MATCH(Calculations!$E933,'2018_commission_structure'!$A$5:$A$8,0),MATCH(Calculations!V$1,'2018_commission_structure'!$A$5:$J$5,0))</f>
        <v>78415.5</v>
      </c>
      <c r="W933" s="2">
        <f>IF($H933&gt;I933,MIN($H933-I933,J933-I933)*INDEX('2018_commission_structure'!$A$5:$J$8,MATCH(Calculations!$E933,'2018_commission_structure'!$A$5:$A$8,0),MATCH(Calculations!W$1,'2018_commission_structure'!$A$5:$J$5,0)),0)</f>
        <v>0</v>
      </c>
      <c r="X933" s="2">
        <f>IF($H933&gt;J933,MIN($H933-J933,K933-J933)*INDEX('2018_commission_structure'!$A$5:$J$8,MATCH(Calculations!$E933,'2018_commission_structure'!$A$5:$A$8,0),MATCH(Calculations!X$1,'2018_commission_structure'!$A$5:$J$5,0)),0)</f>
        <v>0</v>
      </c>
      <c r="Y933" s="2">
        <f>IF($H933&gt;K933,MIN($H933-K933,L933-K933)*INDEX('2018_commission_structure'!$A$5:$J$8,MATCH(Calculations!$E933,'2018_commission_structure'!$A$5:$A$8,0),MATCH(Calculations!Y$1,'2018_commission_structure'!$A$5:$J$5,0)),0)</f>
        <v>0</v>
      </c>
      <c r="Z933" s="2">
        <f xml:space="preserve"> IF(H933&gt;L933,(H933-L933)*INDEX('2018_commission_structure'!$A$11:$I$14,MATCH(Calculations!$E933,'2018_commission_structure'!$A$11:$A$14,0),MATCH(Calculations!Z$1,'2018_commission_structure'!$A$11:$I$11,0)),0)</f>
        <v>0</v>
      </c>
      <c r="AA933" s="7">
        <f t="shared" si="133"/>
        <v>78415.5</v>
      </c>
      <c r="AB933" s="7">
        <f t="shared" si="134"/>
        <v>156287.5</v>
      </c>
    </row>
    <row r="934" spans="1:28" x14ac:dyDescent="0.25">
      <c r="A934">
        <v>7596173217</v>
      </c>
      <c r="B934" t="s">
        <v>1587</v>
      </c>
      <c r="C934" t="s">
        <v>1588</v>
      </c>
      <c r="D934" t="str">
        <f>B934&amp;" "&amp;C934</f>
        <v>Auguste Uren</v>
      </c>
      <c r="E934" t="s">
        <v>10</v>
      </c>
      <c r="F934">
        <v>91764</v>
      </c>
      <c r="G934">
        <f>COUNTIF(deals_closed!D:D,Calculations!A934)</f>
        <v>22</v>
      </c>
      <c r="H934" s="2">
        <f>SUMIF(deals_closed!D:D,Calculations!A934,deals_closed!C:C)</f>
        <v>779353</v>
      </c>
      <c r="I934" s="2">
        <f>VLOOKUP(E934,'2018_commission_structure'!$A$11:$I$14,9,FALSE)</f>
        <v>750000</v>
      </c>
      <c r="J934" s="2">
        <f t="shared" si="126"/>
        <v>937500</v>
      </c>
      <c r="K934" s="2">
        <f t="shared" si="127"/>
        <v>1125000</v>
      </c>
      <c r="L934" s="2">
        <f t="shared" si="128"/>
        <v>1500000</v>
      </c>
      <c r="M934" s="6">
        <f t="shared" si="129"/>
        <v>1.0391373333333334</v>
      </c>
      <c r="N934" t="str">
        <f t="shared" si="130"/>
        <v>100-125%</v>
      </c>
      <c r="O934" s="7">
        <f>MIN(I934,H934)*INDEX('2018_commission_structure'!$A$11:$I$14,MATCH(Calculations!$E934,'2018_commission_structure'!$A$11:$A$14,0),MATCH(Calculations!O$1,'2018_commission_structure'!$A$11:$I$11,0))</f>
        <v>112500</v>
      </c>
      <c r="P934" s="7">
        <f>IF($H934&gt;I934,MIN($H934-I934,J934-I934)*INDEX('2018_commission_structure'!$A$11:$I$14,MATCH(Calculations!$E934,'2018_commission_structure'!$A$11:$A$14,0), MATCH(Calculations!P$1,'2018_commission_structure'!$A$11:$I$11,0)),0)</f>
        <v>5577.07</v>
      </c>
      <c r="Q934" s="7">
        <f>IF($H934&gt;J934,MIN($H934-J934,K934-J934)*INDEX('2018_commission_structure'!$A$11:$I$14,MATCH(Calculations!$E934,'2018_commission_structure'!$A$11:$A$14,0), MATCH(Calculations!Q$1,'2018_commission_structure'!$A$11:$I$11,0)),0)</f>
        <v>0</v>
      </c>
      <c r="R934" s="7">
        <f>IF($H934&gt;K934,MIN($H934-K934,L934-K934)*INDEX('2018_commission_structure'!$A$11:$I$14,MATCH(Calculations!$E934,'2018_commission_structure'!$A$11:$A$14,0), MATCH(Calculations!R$1,'2018_commission_structure'!$A$11:$I$11,0)),0)</f>
        <v>0</v>
      </c>
      <c r="S934" s="7">
        <f>IF(H934&gt;L934,(H934-L934)*INDEX('2018_commission_structure'!$A$11:$I$14,MATCH(Calculations!$E934,'2018_commission_structure'!$A$11:$A$14,0),MATCH(Calculations!S$1,'2018_commission_structure'!$A$11:$I$11,0)),0)</f>
        <v>0</v>
      </c>
      <c r="T934" s="7">
        <f t="shared" si="131"/>
        <v>118077.07</v>
      </c>
      <c r="U934" s="7">
        <f t="shared" si="132"/>
        <v>209841.07</v>
      </c>
      <c r="V934" s="7">
        <f>MIN(H934,I934)*INDEX('2018_commission_structure'!$A$5:$J$8,MATCH(Calculations!$E934,'2018_commission_structure'!$A$5:$A$8,0),MATCH(Calculations!V$1,'2018_commission_structure'!$A$5:$J$5,0))</f>
        <v>112500</v>
      </c>
      <c r="W934" s="2">
        <f>IF($H934&gt;I934,MIN($H934-I934,J934-I934)*INDEX('2018_commission_structure'!$A$5:$J$8,MATCH(Calculations!$E934,'2018_commission_structure'!$A$5:$A$8,0),MATCH(Calculations!W$1,'2018_commission_structure'!$A$5:$J$5,0)),0)</f>
        <v>6457.66</v>
      </c>
      <c r="X934" s="2">
        <f>IF($H934&gt;J934,MIN($H934-J934,K934-J934)*INDEX('2018_commission_structure'!$A$5:$J$8,MATCH(Calculations!$E934,'2018_commission_structure'!$A$5:$A$8,0),MATCH(Calculations!X$1,'2018_commission_structure'!$A$5:$J$5,0)),0)</f>
        <v>0</v>
      </c>
      <c r="Y934" s="2">
        <f>IF($H934&gt;K934,MIN($H934-K934,L934-K934)*INDEX('2018_commission_structure'!$A$5:$J$8,MATCH(Calculations!$E934,'2018_commission_structure'!$A$5:$A$8,0),MATCH(Calculations!Y$1,'2018_commission_structure'!$A$5:$J$5,0)),0)</f>
        <v>0</v>
      </c>
      <c r="Z934" s="2">
        <f xml:space="preserve"> IF(H934&gt;L934,(H934-L934)*INDEX('2018_commission_structure'!$A$11:$I$14,MATCH(Calculations!$E934,'2018_commission_structure'!$A$11:$A$14,0),MATCH(Calculations!Z$1,'2018_commission_structure'!$A$11:$I$11,0)),0)</f>
        <v>0</v>
      </c>
      <c r="AA934" s="7">
        <f t="shared" si="133"/>
        <v>118957.66</v>
      </c>
      <c r="AB934" s="7">
        <f t="shared" si="134"/>
        <v>210721.66</v>
      </c>
    </row>
    <row r="935" spans="1:28" x14ac:dyDescent="0.25">
      <c r="A935">
        <v>2975315244</v>
      </c>
      <c r="B935" t="s">
        <v>1158</v>
      </c>
      <c r="C935" t="s">
        <v>1159</v>
      </c>
      <c r="D935" t="str">
        <f>B935&amp;" "&amp;C935</f>
        <v>Merrile Urrey</v>
      </c>
      <c r="E935" t="s">
        <v>10</v>
      </c>
      <c r="F935">
        <v>108445</v>
      </c>
      <c r="G935">
        <f>COUNTIF(deals_closed!D:D,Calculations!A935)</f>
        <v>21</v>
      </c>
      <c r="H935" s="2">
        <f>SUMIF(deals_closed!D:D,Calculations!A935,deals_closed!C:C)</f>
        <v>745518</v>
      </c>
      <c r="I935" s="2">
        <f>VLOOKUP(E935,'2018_commission_structure'!$A$11:$I$14,9,FALSE)</f>
        <v>750000</v>
      </c>
      <c r="J935" s="2">
        <f t="shared" si="126"/>
        <v>937500</v>
      </c>
      <c r="K935" s="2">
        <f t="shared" si="127"/>
        <v>1125000</v>
      </c>
      <c r="L935" s="2">
        <f t="shared" si="128"/>
        <v>1500000</v>
      </c>
      <c r="M935" s="6">
        <f t="shared" si="129"/>
        <v>0.99402400000000002</v>
      </c>
      <c r="N935" t="str">
        <f t="shared" si="130"/>
        <v>0-100%</v>
      </c>
      <c r="O935" s="7">
        <f>MIN(I935,H935)*INDEX('2018_commission_structure'!$A$11:$I$14,MATCH(Calculations!$E935,'2018_commission_structure'!$A$11:$A$14,0),MATCH(Calculations!O$1,'2018_commission_structure'!$A$11:$I$11,0))</f>
        <v>111827.7</v>
      </c>
      <c r="P935" s="7">
        <f>IF($H935&gt;I935,MIN($H935-I935,J935-I935)*INDEX('2018_commission_structure'!$A$11:$I$14,MATCH(Calculations!$E935,'2018_commission_structure'!$A$11:$A$14,0), MATCH(Calculations!P$1,'2018_commission_structure'!$A$11:$I$11,0)),0)</f>
        <v>0</v>
      </c>
      <c r="Q935" s="7">
        <f>IF($H935&gt;J935,MIN($H935-J935,K935-J935)*INDEX('2018_commission_structure'!$A$11:$I$14,MATCH(Calculations!$E935,'2018_commission_structure'!$A$11:$A$14,0), MATCH(Calculations!Q$1,'2018_commission_structure'!$A$11:$I$11,0)),0)</f>
        <v>0</v>
      </c>
      <c r="R935" s="7">
        <f>IF($H935&gt;K935,MIN($H935-K935,L935-K935)*INDEX('2018_commission_structure'!$A$11:$I$14,MATCH(Calculations!$E935,'2018_commission_structure'!$A$11:$A$14,0), MATCH(Calculations!R$1,'2018_commission_structure'!$A$11:$I$11,0)),0)</f>
        <v>0</v>
      </c>
      <c r="S935" s="7">
        <f>IF(H935&gt;L935,(H935-L935)*INDEX('2018_commission_structure'!$A$11:$I$14,MATCH(Calculations!$E935,'2018_commission_structure'!$A$11:$A$14,0),MATCH(Calculations!S$1,'2018_commission_structure'!$A$11:$I$11,0)),0)</f>
        <v>0</v>
      </c>
      <c r="T935" s="7">
        <f t="shared" si="131"/>
        <v>111827.7</v>
      </c>
      <c r="U935" s="7">
        <f t="shared" si="132"/>
        <v>220272.7</v>
      </c>
      <c r="V935" s="7">
        <f>MIN(H935,I935)*INDEX('2018_commission_structure'!$A$5:$J$8,MATCH(Calculations!$E935,'2018_commission_structure'!$A$5:$A$8,0),MATCH(Calculations!V$1,'2018_commission_structure'!$A$5:$J$5,0))</f>
        <v>111827.7</v>
      </c>
      <c r="W935" s="2">
        <f>IF($H935&gt;I935,MIN($H935-I935,J935-I935)*INDEX('2018_commission_structure'!$A$5:$J$8,MATCH(Calculations!$E935,'2018_commission_structure'!$A$5:$A$8,0),MATCH(Calculations!W$1,'2018_commission_structure'!$A$5:$J$5,0)),0)</f>
        <v>0</v>
      </c>
      <c r="X935" s="2">
        <f>IF($H935&gt;J935,MIN($H935-J935,K935-J935)*INDEX('2018_commission_structure'!$A$5:$J$8,MATCH(Calculations!$E935,'2018_commission_structure'!$A$5:$A$8,0),MATCH(Calculations!X$1,'2018_commission_structure'!$A$5:$J$5,0)),0)</f>
        <v>0</v>
      </c>
      <c r="Y935" s="2">
        <f>IF($H935&gt;K935,MIN($H935-K935,L935-K935)*INDEX('2018_commission_structure'!$A$5:$J$8,MATCH(Calculations!$E935,'2018_commission_structure'!$A$5:$A$8,0),MATCH(Calculations!Y$1,'2018_commission_structure'!$A$5:$J$5,0)),0)</f>
        <v>0</v>
      </c>
      <c r="Z935" s="2">
        <f xml:space="preserve"> IF(H935&gt;L935,(H935-L935)*INDEX('2018_commission_structure'!$A$11:$I$14,MATCH(Calculations!$E935,'2018_commission_structure'!$A$11:$A$14,0),MATCH(Calculations!Z$1,'2018_commission_structure'!$A$11:$I$11,0)),0)</f>
        <v>0</v>
      </c>
      <c r="AA935" s="7">
        <f t="shared" si="133"/>
        <v>111827.7</v>
      </c>
      <c r="AB935" s="7">
        <f t="shared" si="134"/>
        <v>220272.7</v>
      </c>
    </row>
    <row r="936" spans="1:28" x14ac:dyDescent="0.25">
      <c r="A936">
        <v>3904109642</v>
      </c>
      <c r="B936" t="s">
        <v>658</v>
      </c>
      <c r="C936" t="s">
        <v>659</v>
      </c>
      <c r="D936" t="str">
        <f>B936&amp;" "&amp;C936</f>
        <v>Carmelle Utridge</v>
      </c>
      <c r="E936" t="s">
        <v>7</v>
      </c>
      <c r="F936">
        <v>49695</v>
      </c>
      <c r="G936">
        <f>COUNTIF(deals_closed!D:D,Calculations!A936)</f>
        <v>16</v>
      </c>
      <c r="H936" s="2">
        <f>SUMIF(deals_closed!D:D,Calculations!A936,deals_closed!C:C)</f>
        <v>580253</v>
      </c>
      <c r="I936" s="2">
        <f>VLOOKUP(E936,'2018_commission_structure'!$A$11:$I$14,9,FALSE)</f>
        <v>500000</v>
      </c>
      <c r="J936" s="2">
        <f t="shared" si="126"/>
        <v>625000</v>
      </c>
      <c r="K936" s="2">
        <f t="shared" si="127"/>
        <v>750000</v>
      </c>
      <c r="L936" s="2">
        <f t="shared" si="128"/>
        <v>1000000</v>
      </c>
      <c r="M936" s="6">
        <f t="shared" si="129"/>
        <v>1.160506</v>
      </c>
      <c r="N936" t="str">
        <f t="shared" si="130"/>
        <v>100-125%</v>
      </c>
      <c r="O936" s="7">
        <f>MIN(I936,H936)*INDEX('2018_commission_structure'!$A$11:$I$14,MATCH(Calculations!$E936,'2018_commission_structure'!$A$11:$A$14,0),MATCH(Calculations!O$1,'2018_commission_structure'!$A$11:$I$11,0))</f>
        <v>50000</v>
      </c>
      <c r="P936" s="7">
        <f>IF($H936&gt;I936,MIN($H936-I936,J936-I936)*INDEX('2018_commission_structure'!$A$11:$I$14,MATCH(Calculations!$E936,'2018_commission_structure'!$A$11:$A$14,0), MATCH(Calculations!P$1,'2018_commission_structure'!$A$11:$I$11,0)),0)</f>
        <v>12037.949999999999</v>
      </c>
      <c r="Q936" s="7">
        <f>IF($H936&gt;J936,MIN($H936-J936,K936-J936)*INDEX('2018_commission_structure'!$A$11:$I$14,MATCH(Calculations!$E936,'2018_commission_structure'!$A$11:$A$14,0), MATCH(Calculations!Q$1,'2018_commission_structure'!$A$11:$I$11,0)),0)</f>
        <v>0</v>
      </c>
      <c r="R936" s="7">
        <f>IF($H936&gt;K936,MIN($H936-K936,L936-K936)*INDEX('2018_commission_structure'!$A$11:$I$14,MATCH(Calculations!$E936,'2018_commission_structure'!$A$11:$A$14,0), MATCH(Calculations!R$1,'2018_commission_structure'!$A$11:$I$11,0)),0)</f>
        <v>0</v>
      </c>
      <c r="S936" s="7">
        <f>IF(H936&gt;L936,(H936-L936)*INDEX('2018_commission_structure'!$A$11:$I$14,MATCH(Calculations!$E936,'2018_commission_structure'!$A$11:$A$14,0),MATCH(Calculations!S$1,'2018_commission_structure'!$A$11:$I$11,0)),0)</f>
        <v>0</v>
      </c>
      <c r="T936" s="7">
        <f t="shared" si="131"/>
        <v>62037.95</v>
      </c>
      <c r="U936" s="7">
        <f t="shared" si="132"/>
        <v>111732.95</v>
      </c>
      <c r="V936" s="7">
        <f>MIN(H936,I936)*INDEX('2018_commission_structure'!$A$5:$J$8,MATCH(Calculations!$E936,'2018_commission_structure'!$A$5:$A$8,0),MATCH(Calculations!V$1,'2018_commission_structure'!$A$5:$J$5,0))</f>
        <v>60000</v>
      </c>
      <c r="W936" s="2">
        <f>IF($H936&gt;I936,MIN($H936-I936,J936-I936)*INDEX('2018_commission_structure'!$A$5:$J$8,MATCH(Calculations!$E936,'2018_commission_structure'!$A$5:$A$8,0),MATCH(Calculations!W$1,'2018_commission_structure'!$A$5:$J$5,0)),0)</f>
        <v>13643.01</v>
      </c>
      <c r="X936" s="2">
        <f>IF($H936&gt;J936,MIN($H936-J936,K936-J936)*INDEX('2018_commission_structure'!$A$5:$J$8,MATCH(Calculations!$E936,'2018_commission_structure'!$A$5:$A$8,0),MATCH(Calculations!X$1,'2018_commission_structure'!$A$5:$J$5,0)),0)</f>
        <v>0</v>
      </c>
      <c r="Y936" s="2">
        <f>IF($H936&gt;K936,MIN($H936-K936,L936-K936)*INDEX('2018_commission_structure'!$A$5:$J$8,MATCH(Calculations!$E936,'2018_commission_structure'!$A$5:$A$8,0),MATCH(Calculations!Y$1,'2018_commission_structure'!$A$5:$J$5,0)),0)</f>
        <v>0</v>
      </c>
      <c r="Z936" s="2">
        <f xml:space="preserve"> IF(H936&gt;L936,(H936-L936)*INDEX('2018_commission_structure'!$A$11:$I$14,MATCH(Calculations!$E936,'2018_commission_structure'!$A$11:$A$14,0),MATCH(Calculations!Z$1,'2018_commission_structure'!$A$11:$I$11,0)),0)</f>
        <v>0</v>
      </c>
      <c r="AA936" s="7">
        <f t="shared" si="133"/>
        <v>73643.009999999995</v>
      </c>
      <c r="AB936" s="7">
        <f t="shared" si="134"/>
        <v>123338.01</v>
      </c>
    </row>
    <row r="937" spans="1:28" x14ac:dyDescent="0.25">
      <c r="A937">
        <v>7192290785</v>
      </c>
      <c r="B937" t="s">
        <v>617</v>
      </c>
      <c r="C937" t="s">
        <v>618</v>
      </c>
      <c r="D937" t="str">
        <f>B937&amp;" "&amp;C937</f>
        <v>Herrick Utterson</v>
      </c>
      <c r="E937" t="s">
        <v>7</v>
      </c>
      <c r="F937">
        <v>32187</v>
      </c>
      <c r="G937">
        <f>COUNTIF(deals_closed!D:D,Calculations!A937)</f>
        <v>24</v>
      </c>
      <c r="H937" s="2">
        <f>SUMIF(deals_closed!D:D,Calculations!A937,deals_closed!C:C)</f>
        <v>722087</v>
      </c>
      <c r="I937" s="2">
        <f>VLOOKUP(E937,'2018_commission_structure'!$A$11:$I$14,9,FALSE)</f>
        <v>500000</v>
      </c>
      <c r="J937" s="2">
        <f t="shared" si="126"/>
        <v>625000</v>
      </c>
      <c r="K937" s="2">
        <f t="shared" si="127"/>
        <v>750000</v>
      </c>
      <c r="L937" s="2">
        <f t="shared" si="128"/>
        <v>1000000</v>
      </c>
      <c r="M937" s="6">
        <f t="shared" si="129"/>
        <v>1.4441740000000001</v>
      </c>
      <c r="N937" t="str">
        <f t="shared" si="130"/>
        <v>125-150%</v>
      </c>
      <c r="O937" s="7">
        <f>MIN(I937,H937)*INDEX('2018_commission_structure'!$A$11:$I$14,MATCH(Calculations!$E937,'2018_commission_structure'!$A$11:$A$14,0),MATCH(Calculations!O$1,'2018_commission_structure'!$A$11:$I$11,0))</f>
        <v>50000</v>
      </c>
      <c r="P937" s="7">
        <f>IF($H937&gt;I937,MIN($H937-I937,J937-I937)*INDEX('2018_commission_structure'!$A$11:$I$14,MATCH(Calculations!$E937,'2018_commission_structure'!$A$11:$A$14,0), MATCH(Calculations!P$1,'2018_commission_structure'!$A$11:$I$11,0)),0)</f>
        <v>18750</v>
      </c>
      <c r="Q937" s="7">
        <f>IF($H937&gt;J937,MIN($H937-J937,K937-J937)*INDEX('2018_commission_structure'!$A$11:$I$14,MATCH(Calculations!$E937,'2018_commission_structure'!$A$11:$A$14,0), MATCH(Calculations!Q$1,'2018_commission_structure'!$A$11:$I$11,0)),0)</f>
        <v>17475.66</v>
      </c>
      <c r="R937" s="7">
        <f>IF($H937&gt;K937,MIN($H937-K937,L937-K937)*INDEX('2018_commission_structure'!$A$11:$I$14,MATCH(Calculations!$E937,'2018_commission_structure'!$A$11:$A$14,0), MATCH(Calculations!R$1,'2018_commission_structure'!$A$11:$I$11,0)),0)</f>
        <v>0</v>
      </c>
      <c r="S937" s="7">
        <f>IF(H937&gt;L937,(H937-L937)*INDEX('2018_commission_structure'!$A$11:$I$14,MATCH(Calculations!$E937,'2018_commission_structure'!$A$11:$A$14,0),MATCH(Calculations!S$1,'2018_commission_structure'!$A$11:$I$11,0)),0)</f>
        <v>0</v>
      </c>
      <c r="T937" s="7">
        <f t="shared" si="131"/>
        <v>86225.66</v>
      </c>
      <c r="U937" s="7">
        <f t="shared" si="132"/>
        <v>118412.66</v>
      </c>
      <c r="V937" s="7">
        <f>MIN(H937,I937)*INDEX('2018_commission_structure'!$A$5:$J$8,MATCH(Calculations!$E937,'2018_commission_structure'!$A$5:$A$8,0),MATCH(Calculations!V$1,'2018_commission_structure'!$A$5:$J$5,0))</f>
        <v>60000</v>
      </c>
      <c r="W937" s="2">
        <f>IF($H937&gt;I937,MIN($H937-I937,J937-I937)*INDEX('2018_commission_structure'!$A$5:$J$8,MATCH(Calculations!$E937,'2018_commission_structure'!$A$5:$A$8,0),MATCH(Calculations!W$1,'2018_commission_structure'!$A$5:$J$5,0)),0)</f>
        <v>21250</v>
      </c>
      <c r="X937" s="2">
        <f>IF($H937&gt;J937,MIN($H937-J937,K937-J937)*INDEX('2018_commission_structure'!$A$5:$J$8,MATCH(Calculations!$E937,'2018_commission_structure'!$A$5:$A$8,0),MATCH(Calculations!X$1,'2018_commission_structure'!$A$5:$J$5,0)),0)</f>
        <v>19417.400000000001</v>
      </c>
      <c r="Y937" s="2">
        <f>IF($H937&gt;K937,MIN($H937-K937,L937-K937)*INDEX('2018_commission_structure'!$A$5:$J$8,MATCH(Calculations!$E937,'2018_commission_structure'!$A$5:$A$8,0),MATCH(Calculations!Y$1,'2018_commission_structure'!$A$5:$J$5,0)),0)</f>
        <v>0</v>
      </c>
      <c r="Z937" s="2">
        <f xml:space="preserve"> IF(H937&gt;L937,(H937-L937)*INDEX('2018_commission_structure'!$A$11:$I$14,MATCH(Calculations!$E937,'2018_commission_structure'!$A$11:$A$14,0),MATCH(Calculations!Z$1,'2018_commission_structure'!$A$11:$I$11,0)),0)</f>
        <v>0</v>
      </c>
      <c r="AA937" s="7">
        <f t="shared" si="133"/>
        <v>100667.4</v>
      </c>
      <c r="AB937" s="7">
        <f t="shared" si="134"/>
        <v>132854.39999999999</v>
      </c>
    </row>
    <row r="938" spans="1:28" x14ac:dyDescent="0.25">
      <c r="A938">
        <v>1856596435</v>
      </c>
      <c r="B938" t="s">
        <v>1187</v>
      </c>
      <c r="C938" t="s">
        <v>1188</v>
      </c>
      <c r="D938" t="str">
        <f>B938&amp;" "&amp;C938</f>
        <v>Waldemar Vaggers</v>
      </c>
      <c r="E938" t="s">
        <v>10</v>
      </c>
      <c r="F938">
        <v>100859</v>
      </c>
      <c r="G938">
        <f>COUNTIF(deals_closed!D:D,Calculations!A938)</f>
        <v>18</v>
      </c>
      <c r="H938" s="2">
        <f>SUMIF(deals_closed!D:D,Calculations!A938,deals_closed!C:C)</f>
        <v>580833</v>
      </c>
      <c r="I938" s="2">
        <f>VLOOKUP(E938,'2018_commission_structure'!$A$11:$I$14,9,FALSE)</f>
        <v>750000</v>
      </c>
      <c r="J938" s="2">
        <f t="shared" si="126"/>
        <v>937500</v>
      </c>
      <c r="K938" s="2">
        <f t="shared" si="127"/>
        <v>1125000</v>
      </c>
      <c r="L938" s="2">
        <f t="shared" si="128"/>
        <v>1500000</v>
      </c>
      <c r="M938" s="6">
        <f t="shared" si="129"/>
        <v>0.77444400000000002</v>
      </c>
      <c r="N938" t="str">
        <f t="shared" si="130"/>
        <v>0-100%</v>
      </c>
      <c r="O938" s="7">
        <f>MIN(I938,H938)*INDEX('2018_commission_structure'!$A$11:$I$14,MATCH(Calculations!$E938,'2018_commission_structure'!$A$11:$A$14,0),MATCH(Calculations!O$1,'2018_commission_structure'!$A$11:$I$11,0))</f>
        <v>87124.95</v>
      </c>
      <c r="P938" s="7">
        <f>IF($H938&gt;I938,MIN($H938-I938,J938-I938)*INDEX('2018_commission_structure'!$A$11:$I$14,MATCH(Calculations!$E938,'2018_commission_structure'!$A$11:$A$14,0), MATCH(Calculations!P$1,'2018_commission_structure'!$A$11:$I$11,0)),0)</f>
        <v>0</v>
      </c>
      <c r="Q938" s="7">
        <f>IF($H938&gt;J938,MIN($H938-J938,K938-J938)*INDEX('2018_commission_structure'!$A$11:$I$14,MATCH(Calculations!$E938,'2018_commission_structure'!$A$11:$A$14,0), MATCH(Calculations!Q$1,'2018_commission_structure'!$A$11:$I$11,0)),0)</f>
        <v>0</v>
      </c>
      <c r="R938" s="7">
        <f>IF($H938&gt;K938,MIN($H938-K938,L938-K938)*INDEX('2018_commission_structure'!$A$11:$I$14,MATCH(Calculations!$E938,'2018_commission_structure'!$A$11:$A$14,0), MATCH(Calculations!R$1,'2018_commission_structure'!$A$11:$I$11,0)),0)</f>
        <v>0</v>
      </c>
      <c r="S938" s="7">
        <f>IF(H938&gt;L938,(H938-L938)*INDEX('2018_commission_structure'!$A$11:$I$14,MATCH(Calculations!$E938,'2018_commission_structure'!$A$11:$A$14,0),MATCH(Calculations!S$1,'2018_commission_structure'!$A$11:$I$11,0)),0)</f>
        <v>0</v>
      </c>
      <c r="T938" s="7">
        <f t="shared" si="131"/>
        <v>87124.95</v>
      </c>
      <c r="U938" s="7">
        <f t="shared" si="132"/>
        <v>187983.95</v>
      </c>
      <c r="V938" s="7">
        <f>MIN(H938,I938)*INDEX('2018_commission_structure'!$A$5:$J$8,MATCH(Calculations!$E938,'2018_commission_structure'!$A$5:$A$8,0),MATCH(Calculations!V$1,'2018_commission_structure'!$A$5:$J$5,0))</f>
        <v>87124.95</v>
      </c>
      <c r="W938" s="2">
        <f>IF($H938&gt;I938,MIN($H938-I938,J938-I938)*INDEX('2018_commission_structure'!$A$5:$J$8,MATCH(Calculations!$E938,'2018_commission_structure'!$A$5:$A$8,0),MATCH(Calculations!W$1,'2018_commission_structure'!$A$5:$J$5,0)),0)</f>
        <v>0</v>
      </c>
      <c r="X938" s="2">
        <f>IF($H938&gt;J938,MIN($H938-J938,K938-J938)*INDEX('2018_commission_structure'!$A$5:$J$8,MATCH(Calculations!$E938,'2018_commission_structure'!$A$5:$A$8,0),MATCH(Calculations!X$1,'2018_commission_structure'!$A$5:$J$5,0)),0)</f>
        <v>0</v>
      </c>
      <c r="Y938" s="2">
        <f>IF($H938&gt;K938,MIN($H938-K938,L938-K938)*INDEX('2018_commission_structure'!$A$5:$J$8,MATCH(Calculations!$E938,'2018_commission_structure'!$A$5:$A$8,0),MATCH(Calculations!Y$1,'2018_commission_structure'!$A$5:$J$5,0)),0)</f>
        <v>0</v>
      </c>
      <c r="Z938" s="2">
        <f xml:space="preserve"> IF(H938&gt;L938,(H938-L938)*INDEX('2018_commission_structure'!$A$11:$I$14,MATCH(Calculations!$E938,'2018_commission_structure'!$A$11:$A$14,0),MATCH(Calculations!Z$1,'2018_commission_structure'!$A$11:$I$11,0)),0)</f>
        <v>0</v>
      </c>
      <c r="AA938" s="7">
        <f t="shared" si="133"/>
        <v>87124.95</v>
      </c>
      <c r="AB938" s="7">
        <f t="shared" si="134"/>
        <v>187983.95</v>
      </c>
    </row>
    <row r="939" spans="1:28" x14ac:dyDescent="0.25">
      <c r="A939">
        <v>4453315724</v>
      </c>
      <c r="B939" t="s">
        <v>846</v>
      </c>
      <c r="C939" t="s">
        <v>847</v>
      </c>
      <c r="D939" t="str">
        <f>B939&amp;" "&amp;C939</f>
        <v>Farris Valance</v>
      </c>
      <c r="E939" t="s">
        <v>29</v>
      </c>
      <c r="F939">
        <v>55487</v>
      </c>
      <c r="G939">
        <f>COUNTIF(deals_closed!D:D,Calculations!A939)</f>
        <v>22</v>
      </c>
      <c r="H939" s="2">
        <f>SUMIF(deals_closed!D:D,Calculations!A939,deals_closed!C:C)</f>
        <v>878793</v>
      </c>
      <c r="I939" s="2">
        <f>VLOOKUP(E939,'2018_commission_structure'!$A$11:$I$14,9,FALSE)</f>
        <v>600000</v>
      </c>
      <c r="J939" s="2">
        <f t="shared" si="126"/>
        <v>750000</v>
      </c>
      <c r="K939" s="2">
        <f t="shared" si="127"/>
        <v>900000</v>
      </c>
      <c r="L939" s="2">
        <f t="shared" si="128"/>
        <v>1200000</v>
      </c>
      <c r="M939" s="6">
        <f t="shared" si="129"/>
        <v>1.464655</v>
      </c>
      <c r="N939" t="str">
        <f t="shared" si="130"/>
        <v>125-150%</v>
      </c>
      <c r="O939" s="7">
        <f>MIN(I939,H939)*INDEX('2018_commission_structure'!$A$11:$I$14,MATCH(Calculations!$E939,'2018_commission_structure'!$A$11:$A$14,0),MATCH(Calculations!O$1,'2018_commission_structure'!$A$11:$I$11,0))</f>
        <v>78000</v>
      </c>
      <c r="P939" s="7">
        <f>IF($H939&gt;I939,MIN($H939-I939,J939-I939)*INDEX('2018_commission_structure'!$A$11:$I$14,MATCH(Calculations!$E939,'2018_commission_structure'!$A$11:$A$14,0), MATCH(Calculations!P$1,'2018_commission_structure'!$A$11:$I$11,0)),0)</f>
        <v>25500.000000000004</v>
      </c>
      <c r="Q939" s="7">
        <f>IF($H939&gt;J939,MIN($H939-J939,K939-J939)*INDEX('2018_commission_structure'!$A$11:$I$14,MATCH(Calculations!$E939,'2018_commission_structure'!$A$11:$A$14,0), MATCH(Calculations!Q$1,'2018_commission_structure'!$A$11:$I$11,0)),0)</f>
        <v>27046.53</v>
      </c>
      <c r="R939" s="7">
        <f>IF($H939&gt;K939,MIN($H939-K939,L939-K939)*INDEX('2018_commission_structure'!$A$11:$I$14,MATCH(Calculations!$E939,'2018_commission_structure'!$A$11:$A$14,0), MATCH(Calculations!R$1,'2018_commission_structure'!$A$11:$I$11,0)),0)</f>
        <v>0</v>
      </c>
      <c r="S939" s="7">
        <f>IF(H939&gt;L939,(H939-L939)*INDEX('2018_commission_structure'!$A$11:$I$14,MATCH(Calculations!$E939,'2018_commission_structure'!$A$11:$A$14,0),MATCH(Calculations!S$1,'2018_commission_structure'!$A$11:$I$11,0)),0)</f>
        <v>0</v>
      </c>
      <c r="T939" s="7">
        <f t="shared" si="131"/>
        <v>130546.53</v>
      </c>
      <c r="U939" s="7">
        <f t="shared" si="132"/>
        <v>186033.53</v>
      </c>
      <c r="V939" s="7">
        <f>MIN(H939,I939)*INDEX('2018_commission_structure'!$A$5:$J$8,MATCH(Calculations!$E939,'2018_commission_structure'!$A$5:$A$8,0),MATCH(Calculations!V$1,'2018_commission_structure'!$A$5:$J$5,0))</f>
        <v>90000</v>
      </c>
      <c r="W939" s="2">
        <f>IF($H939&gt;I939,MIN($H939-I939,J939-I939)*INDEX('2018_commission_structure'!$A$5:$J$8,MATCH(Calculations!$E939,'2018_commission_structure'!$A$5:$A$8,0),MATCH(Calculations!W$1,'2018_commission_structure'!$A$5:$J$5,0)),0)</f>
        <v>27000</v>
      </c>
      <c r="X939" s="2">
        <f>IF($H939&gt;J939,MIN($H939-J939,K939-J939)*INDEX('2018_commission_structure'!$A$5:$J$8,MATCH(Calculations!$E939,'2018_commission_structure'!$A$5:$A$8,0),MATCH(Calculations!X$1,'2018_commission_structure'!$A$5:$J$5,0)),0)</f>
        <v>32198.25</v>
      </c>
      <c r="Y939" s="2">
        <f>IF($H939&gt;K939,MIN($H939-K939,L939-K939)*INDEX('2018_commission_structure'!$A$5:$J$8,MATCH(Calculations!$E939,'2018_commission_structure'!$A$5:$A$8,0),MATCH(Calculations!Y$1,'2018_commission_structure'!$A$5:$J$5,0)),0)</f>
        <v>0</v>
      </c>
      <c r="Z939" s="2">
        <f xml:space="preserve"> IF(H939&gt;L939,(H939-L939)*INDEX('2018_commission_structure'!$A$11:$I$14,MATCH(Calculations!$E939,'2018_commission_structure'!$A$11:$A$14,0),MATCH(Calculations!Z$1,'2018_commission_structure'!$A$11:$I$11,0)),0)</f>
        <v>0</v>
      </c>
      <c r="AA939" s="7">
        <f t="shared" si="133"/>
        <v>149198.25</v>
      </c>
      <c r="AB939" s="7">
        <f t="shared" si="134"/>
        <v>204685.25</v>
      </c>
    </row>
    <row r="940" spans="1:28" x14ac:dyDescent="0.25">
      <c r="A940">
        <v>3891707452</v>
      </c>
      <c r="B940" t="s">
        <v>1761</v>
      </c>
      <c r="C940" t="s">
        <v>1762</v>
      </c>
      <c r="D940" t="str">
        <f>B940&amp;" "&amp;C940</f>
        <v>Isidoro Vamplers</v>
      </c>
      <c r="E940" t="s">
        <v>10</v>
      </c>
      <c r="F940">
        <v>90591</v>
      </c>
      <c r="G940">
        <f>COUNTIF(deals_closed!D:D,Calculations!A940)</f>
        <v>18</v>
      </c>
      <c r="H940" s="2">
        <f>SUMIF(deals_closed!D:D,Calculations!A940,deals_closed!C:C)</f>
        <v>696628</v>
      </c>
      <c r="I940" s="2">
        <f>VLOOKUP(E940,'2018_commission_structure'!$A$11:$I$14,9,FALSE)</f>
        <v>750000</v>
      </c>
      <c r="J940" s="2">
        <f t="shared" si="126"/>
        <v>937500</v>
      </c>
      <c r="K940" s="2">
        <f t="shared" si="127"/>
        <v>1125000</v>
      </c>
      <c r="L940" s="2">
        <f t="shared" si="128"/>
        <v>1500000</v>
      </c>
      <c r="M940" s="6">
        <f t="shared" si="129"/>
        <v>0.92883733333333329</v>
      </c>
      <c r="N940" t="str">
        <f t="shared" si="130"/>
        <v>0-100%</v>
      </c>
      <c r="O940" s="7">
        <f>MIN(I940,H940)*INDEX('2018_commission_structure'!$A$11:$I$14,MATCH(Calculations!$E940,'2018_commission_structure'!$A$11:$A$14,0),MATCH(Calculations!O$1,'2018_commission_structure'!$A$11:$I$11,0))</f>
        <v>104494.2</v>
      </c>
      <c r="P940" s="7">
        <f>IF($H940&gt;I940,MIN($H940-I940,J940-I940)*INDEX('2018_commission_structure'!$A$11:$I$14,MATCH(Calculations!$E940,'2018_commission_structure'!$A$11:$A$14,0), MATCH(Calculations!P$1,'2018_commission_structure'!$A$11:$I$11,0)),0)</f>
        <v>0</v>
      </c>
      <c r="Q940" s="7">
        <f>IF($H940&gt;J940,MIN($H940-J940,K940-J940)*INDEX('2018_commission_structure'!$A$11:$I$14,MATCH(Calculations!$E940,'2018_commission_structure'!$A$11:$A$14,0), MATCH(Calculations!Q$1,'2018_commission_structure'!$A$11:$I$11,0)),0)</f>
        <v>0</v>
      </c>
      <c r="R940" s="7">
        <f>IF($H940&gt;K940,MIN($H940-K940,L940-K940)*INDEX('2018_commission_structure'!$A$11:$I$14,MATCH(Calculations!$E940,'2018_commission_structure'!$A$11:$A$14,0), MATCH(Calculations!R$1,'2018_commission_structure'!$A$11:$I$11,0)),0)</f>
        <v>0</v>
      </c>
      <c r="S940" s="7">
        <f>IF(H940&gt;L940,(H940-L940)*INDEX('2018_commission_structure'!$A$11:$I$14,MATCH(Calculations!$E940,'2018_commission_structure'!$A$11:$A$14,0),MATCH(Calculations!S$1,'2018_commission_structure'!$A$11:$I$11,0)),0)</f>
        <v>0</v>
      </c>
      <c r="T940" s="7">
        <f t="shared" si="131"/>
        <v>104494.2</v>
      </c>
      <c r="U940" s="7">
        <f t="shared" si="132"/>
        <v>195085.2</v>
      </c>
      <c r="V940" s="7">
        <f>MIN(H940,I940)*INDEX('2018_commission_structure'!$A$5:$J$8,MATCH(Calculations!$E940,'2018_commission_structure'!$A$5:$A$8,0),MATCH(Calculations!V$1,'2018_commission_structure'!$A$5:$J$5,0))</f>
        <v>104494.2</v>
      </c>
      <c r="W940" s="2">
        <f>IF($H940&gt;I940,MIN($H940-I940,J940-I940)*INDEX('2018_commission_structure'!$A$5:$J$8,MATCH(Calculations!$E940,'2018_commission_structure'!$A$5:$A$8,0),MATCH(Calculations!W$1,'2018_commission_structure'!$A$5:$J$5,0)),0)</f>
        <v>0</v>
      </c>
      <c r="X940" s="2">
        <f>IF($H940&gt;J940,MIN($H940-J940,K940-J940)*INDEX('2018_commission_structure'!$A$5:$J$8,MATCH(Calculations!$E940,'2018_commission_structure'!$A$5:$A$8,0),MATCH(Calculations!X$1,'2018_commission_structure'!$A$5:$J$5,0)),0)</f>
        <v>0</v>
      </c>
      <c r="Y940" s="2">
        <f>IF($H940&gt;K940,MIN($H940-K940,L940-K940)*INDEX('2018_commission_structure'!$A$5:$J$8,MATCH(Calculations!$E940,'2018_commission_structure'!$A$5:$A$8,0),MATCH(Calculations!Y$1,'2018_commission_structure'!$A$5:$J$5,0)),0)</f>
        <v>0</v>
      </c>
      <c r="Z940" s="2">
        <f xml:space="preserve"> IF(H940&gt;L940,(H940-L940)*INDEX('2018_commission_structure'!$A$11:$I$14,MATCH(Calculations!$E940,'2018_commission_structure'!$A$11:$A$14,0),MATCH(Calculations!Z$1,'2018_commission_structure'!$A$11:$I$11,0)),0)</f>
        <v>0</v>
      </c>
      <c r="AA940" s="7">
        <f t="shared" si="133"/>
        <v>104494.2</v>
      </c>
      <c r="AB940" s="7">
        <f t="shared" si="134"/>
        <v>195085.2</v>
      </c>
    </row>
    <row r="941" spans="1:28" x14ac:dyDescent="0.25">
      <c r="A941">
        <v>4037854406</v>
      </c>
      <c r="B941" t="s">
        <v>81</v>
      </c>
      <c r="C941" t="s">
        <v>82</v>
      </c>
      <c r="D941" t="str">
        <f>B941&amp;" "&amp;C941</f>
        <v>Eddy Van Arsdale</v>
      </c>
      <c r="E941" t="s">
        <v>29</v>
      </c>
      <c r="F941">
        <v>64311</v>
      </c>
      <c r="G941">
        <f>COUNTIF(deals_closed!D:D,Calculations!A941)</f>
        <v>23</v>
      </c>
      <c r="H941" s="2">
        <f>SUMIF(deals_closed!D:D,Calculations!A941,deals_closed!C:C)</f>
        <v>793311</v>
      </c>
      <c r="I941" s="2">
        <f>VLOOKUP(E941,'2018_commission_structure'!$A$11:$I$14,9,FALSE)</f>
        <v>600000</v>
      </c>
      <c r="J941" s="2">
        <f t="shared" si="126"/>
        <v>750000</v>
      </c>
      <c r="K941" s="2">
        <f t="shared" si="127"/>
        <v>900000</v>
      </c>
      <c r="L941" s="2">
        <f t="shared" si="128"/>
        <v>1200000</v>
      </c>
      <c r="M941" s="6">
        <f t="shared" si="129"/>
        <v>1.3221849999999999</v>
      </c>
      <c r="N941" t="str">
        <f t="shared" si="130"/>
        <v>125-150%</v>
      </c>
      <c r="O941" s="7">
        <f>MIN(I941,H941)*INDEX('2018_commission_structure'!$A$11:$I$14,MATCH(Calculations!$E941,'2018_commission_structure'!$A$11:$A$14,0),MATCH(Calculations!O$1,'2018_commission_structure'!$A$11:$I$11,0))</f>
        <v>78000</v>
      </c>
      <c r="P941" s="7">
        <f>IF($H941&gt;I941,MIN($H941-I941,J941-I941)*INDEX('2018_commission_structure'!$A$11:$I$14,MATCH(Calculations!$E941,'2018_commission_structure'!$A$11:$A$14,0), MATCH(Calculations!P$1,'2018_commission_structure'!$A$11:$I$11,0)),0)</f>
        <v>25500.000000000004</v>
      </c>
      <c r="Q941" s="7">
        <f>IF($H941&gt;J941,MIN($H941-J941,K941-J941)*INDEX('2018_commission_structure'!$A$11:$I$14,MATCH(Calculations!$E941,'2018_commission_structure'!$A$11:$A$14,0), MATCH(Calculations!Q$1,'2018_commission_structure'!$A$11:$I$11,0)),0)</f>
        <v>9095.31</v>
      </c>
      <c r="R941" s="7">
        <f>IF($H941&gt;K941,MIN($H941-K941,L941-K941)*INDEX('2018_commission_structure'!$A$11:$I$14,MATCH(Calculations!$E941,'2018_commission_structure'!$A$11:$A$14,0), MATCH(Calculations!R$1,'2018_commission_structure'!$A$11:$I$11,0)),0)</f>
        <v>0</v>
      </c>
      <c r="S941" s="7">
        <f>IF(H941&gt;L941,(H941-L941)*INDEX('2018_commission_structure'!$A$11:$I$14,MATCH(Calculations!$E941,'2018_commission_structure'!$A$11:$A$14,0),MATCH(Calculations!S$1,'2018_commission_structure'!$A$11:$I$11,0)),0)</f>
        <v>0</v>
      </c>
      <c r="T941" s="7">
        <f t="shared" si="131"/>
        <v>112595.31</v>
      </c>
      <c r="U941" s="7">
        <f t="shared" si="132"/>
        <v>176906.31</v>
      </c>
      <c r="V941" s="7">
        <f>MIN(H941,I941)*INDEX('2018_commission_structure'!$A$5:$J$8,MATCH(Calculations!$E941,'2018_commission_structure'!$A$5:$A$8,0),MATCH(Calculations!V$1,'2018_commission_structure'!$A$5:$J$5,0))</f>
        <v>90000</v>
      </c>
      <c r="W941" s="2">
        <f>IF($H941&gt;I941,MIN($H941-I941,J941-I941)*INDEX('2018_commission_structure'!$A$5:$J$8,MATCH(Calculations!$E941,'2018_commission_structure'!$A$5:$A$8,0),MATCH(Calculations!W$1,'2018_commission_structure'!$A$5:$J$5,0)),0)</f>
        <v>27000</v>
      </c>
      <c r="X941" s="2">
        <f>IF($H941&gt;J941,MIN($H941-J941,K941-J941)*INDEX('2018_commission_structure'!$A$5:$J$8,MATCH(Calculations!$E941,'2018_commission_structure'!$A$5:$A$8,0),MATCH(Calculations!X$1,'2018_commission_structure'!$A$5:$J$5,0)),0)</f>
        <v>10827.75</v>
      </c>
      <c r="Y941" s="2">
        <f>IF($H941&gt;K941,MIN($H941-K941,L941-K941)*INDEX('2018_commission_structure'!$A$5:$J$8,MATCH(Calculations!$E941,'2018_commission_structure'!$A$5:$A$8,0),MATCH(Calculations!Y$1,'2018_commission_structure'!$A$5:$J$5,0)),0)</f>
        <v>0</v>
      </c>
      <c r="Z941" s="2">
        <f xml:space="preserve"> IF(H941&gt;L941,(H941-L941)*INDEX('2018_commission_structure'!$A$11:$I$14,MATCH(Calculations!$E941,'2018_commission_structure'!$A$11:$A$14,0),MATCH(Calculations!Z$1,'2018_commission_structure'!$A$11:$I$11,0)),0)</f>
        <v>0</v>
      </c>
      <c r="AA941" s="7">
        <f t="shared" si="133"/>
        <v>127827.75</v>
      </c>
      <c r="AB941" s="7">
        <f t="shared" si="134"/>
        <v>192138.75</v>
      </c>
    </row>
    <row r="942" spans="1:28" x14ac:dyDescent="0.25">
      <c r="A942">
        <v>9966428720</v>
      </c>
      <c r="B942" t="s">
        <v>145</v>
      </c>
      <c r="C942" t="s">
        <v>146</v>
      </c>
      <c r="D942" t="str">
        <f>B942&amp;" "&amp;C942</f>
        <v>Vladamir Van Castele</v>
      </c>
      <c r="E942" t="s">
        <v>10</v>
      </c>
      <c r="F942">
        <v>121579</v>
      </c>
      <c r="G942">
        <f>COUNTIF(deals_closed!D:D,Calculations!A942)</f>
        <v>18</v>
      </c>
      <c r="H942" s="2">
        <f>SUMIF(deals_closed!D:D,Calculations!A942,deals_closed!C:C)</f>
        <v>557797</v>
      </c>
      <c r="I942" s="2">
        <f>VLOOKUP(E942,'2018_commission_structure'!$A$11:$I$14,9,FALSE)</f>
        <v>750000</v>
      </c>
      <c r="J942" s="2">
        <f t="shared" si="126"/>
        <v>937500</v>
      </c>
      <c r="K942" s="2">
        <f t="shared" si="127"/>
        <v>1125000</v>
      </c>
      <c r="L942" s="2">
        <f t="shared" si="128"/>
        <v>1500000</v>
      </c>
      <c r="M942" s="6">
        <f t="shared" si="129"/>
        <v>0.74372933333333335</v>
      </c>
      <c r="N942" t="str">
        <f t="shared" si="130"/>
        <v>0-100%</v>
      </c>
      <c r="O942" s="7">
        <f>MIN(I942,H942)*INDEX('2018_commission_structure'!$A$11:$I$14,MATCH(Calculations!$E942,'2018_commission_structure'!$A$11:$A$14,0),MATCH(Calculations!O$1,'2018_commission_structure'!$A$11:$I$11,0))</f>
        <v>83669.55</v>
      </c>
      <c r="P942" s="7">
        <f>IF($H942&gt;I942,MIN($H942-I942,J942-I942)*INDEX('2018_commission_structure'!$A$11:$I$14,MATCH(Calculations!$E942,'2018_commission_structure'!$A$11:$A$14,0), MATCH(Calculations!P$1,'2018_commission_structure'!$A$11:$I$11,0)),0)</f>
        <v>0</v>
      </c>
      <c r="Q942" s="7">
        <f>IF($H942&gt;J942,MIN($H942-J942,K942-J942)*INDEX('2018_commission_structure'!$A$11:$I$14,MATCH(Calculations!$E942,'2018_commission_structure'!$A$11:$A$14,0), MATCH(Calculations!Q$1,'2018_commission_structure'!$A$11:$I$11,0)),0)</f>
        <v>0</v>
      </c>
      <c r="R942" s="7">
        <f>IF($H942&gt;K942,MIN($H942-K942,L942-K942)*INDEX('2018_commission_structure'!$A$11:$I$14,MATCH(Calculations!$E942,'2018_commission_structure'!$A$11:$A$14,0), MATCH(Calculations!R$1,'2018_commission_structure'!$A$11:$I$11,0)),0)</f>
        <v>0</v>
      </c>
      <c r="S942" s="7">
        <f>IF(H942&gt;L942,(H942-L942)*INDEX('2018_commission_structure'!$A$11:$I$14,MATCH(Calculations!$E942,'2018_commission_structure'!$A$11:$A$14,0),MATCH(Calculations!S$1,'2018_commission_structure'!$A$11:$I$11,0)),0)</f>
        <v>0</v>
      </c>
      <c r="T942" s="7">
        <f t="shared" si="131"/>
        <v>83669.55</v>
      </c>
      <c r="U942" s="7">
        <f t="shared" si="132"/>
        <v>205248.55</v>
      </c>
      <c r="V942" s="7">
        <f>MIN(H942,I942)*INDEX('2018_commission_structure'!$A$5:$J$8,MATCH(Calculations!$E942,'2018_commission_structure'!$A$5:$A$8,0),MATCH(Calculations!V$1,'2018_commission_structure'!$A$5:$J$5,0))</f>
        <v>83669.55</v>
      </c>
      <c r="W942" s="2">
        <f>IF($H942&gt;I942,MIN($H942-I942,J942-I942)*INDEX('2018_commission_structure'!$A$5:$J$8,MATCH(Calculations!$E942,'2018_commission_structure'!$A$5:$A$8,0),MATCH(Calculations!W$1,'2018_commission_structure'!$A$5:$J$5,0)),0)</f>
        <v>0</v>
      </c>
      <c r="X942" s="2">
        <f>IF($H942&gt;J942,MIN($H942-J942,K942-J942)*INDEX('2018_commission_structure'!$A$5:$J$8,MATCH(Calculations!$E942,'2018_commission_structure'!$A$5:$A$8,0),MATCH(Calculations!X$1,'2018_commission_structure'!$A$5:$J$5,0)),0)</f>
        <v>0</v>
      </c>
      <c r="Y942" s="2">
        <f>IF($H942&gt;K942,MIN($H942-K942,L942-K942)*INDEX('2018_commission_structure'!$A$5:$J$8,MATCH(Calculations!$E942,'2018_commission_structure'!$A$5:$A$8,0),MATCH(Calculations!Y$1,'2018_commission_structure'!$A$5:$J$5,0)),0)</f>
        <v>0</v>
      </c>
      <c r="Z942" s="2">
        <f xml:space="preserve"> IF(H942&gt;L942,(H942-L942)*INDEX('2018_commission_structure'!$A$11:$I$14,MATCH(Calculations!$E942,'2018_commission_structure'!$A$11:$A$14,0),MATCH(Calculations!Z$1,'2018_commission_structure'!$A$11:$I$11,0)),0)</f>
        <v>0</v>
      </c>
      <c r="AA942" s="7">
        <f t="shared" si="133"/>
        <v>83669.55</v>
      </c>
      <c r="AB942" s="7">
        <f t="shared" si="134"/>
        <v>205248.55</v>
      </c>
    </row>
    <row r="943" spans="1:28" x14ac:dyDescent="0.25">
      <c r="A943">
        <v>7411705322</v>
      </c>
      <c r="B943" t="s">
        <v>984</v>
      </c>
      <c r="C943" t="s">
        <v>985</v>
      </c>
      <c r="D943" t="str">
        <f>B943&amp;" "&amp;C943</f>
        <v>Noelyn Vankin</v>
      </c>
      <c r="E943" t="s">
        <v>10</v>
      </c>
      <c r="F943">
        <v>105645</v>
      </c>
      <c r="G943">
        <f>COUNTIF(deals_closed!D:D,Calculations!A943)</f>
        <v>21</v>
      </c>
      <c r="H943" s="2">
        <f>SUMIF(deals_closed!D:D,Calculations!A943,deals_closed!C:C)</f>
        <v>838801</v>
      </c>
      <c r="I943" s="2">
        <f>VLOOKUP(E943,'2018_commission_structure'!$A$11:$I$14,9,FALSE)</f>
        <v>750000</v>
      </c>
      <c r="J943" s="2">
        <f t="shared" si="126"/>
        <v>937500</v>
      </c>
      <c r="K943" s="2">
        <f t="shared" si="127"/>
        <v>1125000</v>
      </c>
      <c r="L943" s="2">
        <f t="shared" si="128"/>
        <v>1500000</v>
      </c>
      <c r="M943" s="6">
        <f t="shared" si="129"/>
        <v>1.1184013333333334</v>
      </c>
      <c r="N943" t="str">
        <f t="shared" si="130"/>
        <v>100-125%</v>
      </c>
      <c r="O943" s="7">
        <f>MIN(I943,H943)*INDEX('2018_commission_structure'!$A$11:$I$14,MATCH(Calculations!$E943,'2018_commission_structure'!$A$11:$A$14,0),MATCH(Calculations!O$1,'2018_commission_structure'!$A$11:$I$11,0))</f>
        <v>112500</v>
      </c>
      <c r="P943" s="7">
        <f>IF($H943&gt;I943,MIN($H943-I943,J943-I943)*INDEX('2018_commission_structure'!$A$11:$I$14,MATCH(Calculations!$E943,'2018_commission_structure'!$A$11:$A$14,0), MATCH(Calculations!P$1,'2018_commission_structure'!$A$11:$I$11,0)),0)</f>
        <v>16872.189999999999</v>
      </c>
      <c r="Q943" s="7">
        <f>IF($H943&gt;J943,MIN($H943-J943,K943-J943)*INDEX('2018_commission_structure'!$A$11:$I$14,MATCH(Calculations!$E943,'2018_commission_structure'!$A$11:$A$14,0), MATCH(Calculations!Q$1,'2018_commission_structure'!$A$11:$I$11,0)),0)</f>
        <v>0</v>
      </c>
      <c r="R943" s="7">
        <f>IF($H943&gt;K943,MIN($H943-K943,L943-K943)*INDEX('2018_commission_structure'!$A$11:$I$14,MATCH(Calculations!$E943,'2018_commission_structure'!$A$11:$A$14,0), MATCH(Calculations!R$1,'2018_commission_structure'!$A$11:$I$11,0)),0)</f>
        <v>0</v>
      </c>
      <c r="S943" s="7">
        <f>IF(H943&gt;L943,(H943-L943)*INDEX('2018_commission_structure'!$A$11:$I$14,MATCH(Calculations!$E943,'2018_commission_structure'!$A$11:$A$14,0),MATCH(Calculations!S$1,'2018_commission_structure'!$A$11:$I$11,0)),0)</f>
        <v>0</v>
      </c>
      <c r="T943" s="7">
        <f t="shared" si="131"/>
        <v>129372.19</v>
      </c>
      <c r="U943" s="7">
        <f t="shared" si="132"/>
        <v>235017.19</v>
      </c>
      <c r="V943" s="7">
        <f>MIN(H943,I943)*INDEX('2018_commission_structure'!$A$5:$J$8,MATCH(Calculations!$E943,'2018_commission_structure'!$A$5:$A$8,0),MATCH(Calculations!V$1,'2018_commission_structure'!$A$5:$J$5,0))</f>
        <v>112500</v>
      </c>
      <c r="W943" s="2">
        <f>IF($H943&gt;I943,MIN($H943-I943,J943-I943)*INDEX('2018_commission_structure'!$A$5:$J$8,MATCH(Calculations!$E943,'2018_commission_structure'!$A$5:$A$8,0),MATCH(Calculations!W$1,'2018_commission_structure'!$A$5:$J$5,0)),0)</f>
        <v>19536.22</v>
      </c>
      <c r="X943" s="2">
        <f>IF($H943&gt;J943,MIN($H943-J943,K943-J943)*INDEX('2018_commission_structure'!$A$5:$J$8,MATCH(Calculations!$E943,'2018_commission_structure'!$A$5:$A$8,0),MATCH(Calculations!X$1,'2018_commission_structure'!$A$5:$J$5,0)),0)</f>
        <v>0</v>
      </c>
      <c r="Y943" s="2">
        <f>IF($H943&gt;K943,MIN($H943-K943,L943-K943)*INDEX('2018_commission_structure'!$A$5:$J$8,MATCH(Calculations!$E943,'2018_commission_structure'!$A$5:$A$8,0),MATCH(Calculations!Y$1,'2018_commission_structure'!$A$5:$J$5,0)),0)</f>
        <v>0</v>
      </c>
      <c r="Z943" s="2">
        <f xml:space="preserve"> IF(H943&gt;L943,(H943-L943)*INDEX('2018_commission_structure'!$A$11:$I$14,MATCH(Calculations!$E943,'2018_commission_structure'!$A$11:$A$14,0),MATCH(Calculations!Z$1,'2018_commission_structure'!$A$11:$I$11,0)),0)</f>
        <v>0</v>
      </c>
      <c r="AA943" s="7">
        <f t="shared" si="133"/>
        <v>132036.22</v>
      </c>
      <c r="AB943" s="7">
        <f t="shared" si="134"/>
        <v>237681.22</v>
      </c>
    </row>
    <row r="944" spans="1:28" x14ac:dyDescent="0.25">
      <c r="A944">
        <v>9732655267</v>
      </c>
      <c r="B944" t="s">
        <v>1618</v>
      </c>
      <c r="C944" t="s">
        <v>1619</v>
      </c>
      <c r="D944" t="str">
        <f>B944&amp;" "&amp;C944</f>
        <v>Lynea Vanyukhin</v>
      </c>
      <c r="E944" t="s">
        <v>29</v>
      </c>
      <c r="F944">
        <v>77474</v>
      </c>
      <c r="G944">
        <f>COUNTIF(deals_closed!D:D,Calculations!A944)</f>
        <v>11</v>
      </c>
      <c r="H944" s="2">
        <f>SUMIF(deals_closed!D:D,Calculations!A944,deals_closed!C:C)</f>
        <v>454991</v>
      </c>
      <c r="I944" s="2">
        <f>VLOOKUP(E944,'2018_commission_structure'!$A$11:$I$14,9,FALSE)</f>
        <v>600000</v>
      </c>
      <c r="J944" s="2">
        <f t="shared" si="126"/>
        <v>750000</v>
      </c>
      <c r="K944" s="2">
        <f t="shared" si="127"/>
        <v>900000</v>
      </c>
      <c r="L944" s="2">
        <f t="shared" si="128"/>
        <v>1200000</v>
      </c>
      <c r="M944" s="6">
        <f t="shared" si="129"/>
        <v>0.75831833333333332</v>
      </c>
      <c r="N944" t="str">
        <f t="shared" si="130"/>
        <v>0-100%</v>
      </c>
      <c r="O944" s="7">
        <f>MIN(I944,H944)*INDEX('2018_commission_structure'!$A$11:$I$14,MATCH(Calculations!$E944,'2018_commission_structure'!$A$11:$A$14,0),MATCH(Calculations!O$1,'2018_commission_structure'!$A$11:$I$11,0))</f>
        <v>59148.83</v>
      </c>
      <c r="P944" s="7">
        <f>IF($H944&gt;I944,MIN($H944-I944,J944-I944)*INDEX('2018_commission_structure'!$A$11:$I$14,MATCH(Calculations!$E944,'2018_commission_structure'!$A$11:$A$14,0), MATCH(Calculations!P$1,'2018_commission_structure'!$A$11:$I$11,0)),0)</f>
        <v>0</v>
      </c>
      <c r="Q944" s="7">
        <f>IF($H944&gt;J944,MIN($H944-J944,K944-J944)*INDEX('2018_commission_structure'!$A$11:$I$14,MATCH(Calculations!$E944,'2018_commission_structure'!$A$11:$A$14,0), MATCH(Calculations!Q$1,'2018_commission_structure'!$A$11:$I$11,0)),0)</f>
        <v>0</v>
      </c>
      <c r="R944" s="7">
        <f>IF($H944&gt;K944,MIN($H944-K944,L944-K944)*INDEX('2018_commission_structure'!$A$11:$I$14,MATCH(Calculations!$E944,'2018_commission_structure'!$A$11:$A$14,0), MATCH(Calculations!R$1,'2018_commission_structure'!$A$11:$I$11,0)),0)</f>
        <v>0</v>
      </c>
      <c r="S944" s="7">
        <f>IF(H944&gt;L944,(H944-L944)*INDEX('2018_commission_structure'!$A$11:$I$14,MATCH(Calculations!$E944,'2018_commission_structure'!$A$11:$A$14,0),MATCH(Calculations!S$1,'2018_commission_structure'!$A$11:$I$11,0)),0)</f>
        <v>0</v>
      </c>
      <c r="T944" s="7">
        <f t="shared" si="131"/>
        <v>59148.83</v>
      </c>
      <c r="U944" s="7">
        <f t="shared" si="132"/>
        <v>136622.83000000002</v>
      </c>
      <c r="V944" s="7">
        <f>MIN(H944,I944)*INDEX('2018_commission_structure'!$A$5:$J$8,MATCH(Calculations!$E944,'2018_commission_structure'!$A$5:$A$8,0),MATCH(Calculations!V$1,'2018_commission_structure'!$A$5:$J$5,0))</f>
        <v>68248.649999999994</v>
      </c>
      <c r="W944" s="2">
        <f>IF($H944&gt;I944,MIN($H944-I944,J944-I944)*INDEX('2018_commission_structure'!$A$5:$J$8,MATCH(Calculations!$E944,'2018_commission_structure'!$A$5:$A$8,0),MATCH(Calculations!W$1,'2018_commission_structure'!$A$5:$J$5,0)),0)</f>
        <v>0</v>
      </c>
      <c r="X944" s="2">
        <f>IF($H944&gt;J944,MIN($H944-J944,K944-J944)*INDEX('2018_commission_structure'!$A$5:$J$8,MATCH(Calculations!$E944,'2018_commission_structure'!$A$5:$A$8,0),MATCH(Calculations!X$1,'2018_commission_structure'!$A$5:$J$5,0)),0)</f>
        <v>0</v>
      </c>
      <c r="Y944" s="2">
        <f>IF($H944&gt;K944,MIN($H944-K944,L944-K944)*INDEX('2018_commission_structure'!$A$5:$J$8,MATCH(Calculations!$E944,'2018_commission_structure'!$A$5:$A$8,0),MATCH(Calculations!Y$1,'2018_commission_structure'!$A$5:$J$5,0)),0)</f>
        <v>0</v>
      </c>
      <c r="Z944" s="2">
        <f xml:space="preserve"> IF(H944&gt;L944,(H944-L944)*INDEX('2018_commission_structure'!$A$11:$I$14,MATCH(Calculations!$E944,'2018_commission_structure'!$A$11:$A$14,0),MATCH(Calculations!Z$1,'2018_commission_structure'!$A$11:$I$11,0)),0)</f>
        <v>0</v>
      </c>
      <c r="AA944" s="7">
        <f t="shared" si="133"/>
        <v>68248.649999999994</v>
      </c>
      <c r="AB944" s="7">
        <f t="shared" si="134"/>
        <v>145722.65</v>
      </c>
    </row>
    <row r="945" spans="1:28" x14ac:dyDescent="0.25">
      <c r="A945">
        <v>5814713100</v>
      </c>
      <c r="B945" t="s">
        <v>650</v>
      </c>
      <c r="C945" t="s">
        <v>651</v>
      </c>
      <c r="D945" t="str">
        <f>B945&amp;" "&amp;C945</f>
        <v>Fredek Vaskin</v>
      </c>
      <c r="E945" t="s">
        <v>29</v>
      </c>
      <c r="F945">
        <v>50467</v>
      </c>
      <c r="G945">
        <f>COUNTIF(deals_closed!D:D,Calculations!A945)</f>
        <v>11</v>
      </c>
      <c r="H945" s="2">
        <f>SUMIF(deals_closed!D:D,Calculations!A945,deals_closed!C:C)</f>
        <v>431484</v>
      </c>
      <c r="I945" s="2">
        <f>VLOOKUP(E945,'2018_commission_structure'!$A$11:$I$14,9,FALSE)</f>
        <v>600000</v>
      </c>
      <c r="J945" s="2">
        <f t="shared" si="126"/>
        <v>750000</v>
      </c>
      <c r="K945" s="2">
        <f t="shared" si="127"/>
        <v>900000</v>
      </c>
      <c r="L945" s="2">
        <f t="shared" si="128"/>
        <v>1200000</v>
      </c>
      <c r="M945" s="6">
        <f t="shared" si="129"/>
        <v>0.71914</v>
      </c>
      <c r="N945" t="str">
        <f t="shared" si="130"/>
        <v>0-100%</v>
      </c>
      <c r="O945" s="7">
        <f>MIN(I945,H945)*INDEX('2018_commission_structure'!$A$11:$I$14,MATCH(Calculations!$E945,'2018_commission_structure'!$A$11:$A$14,0),MATCH(Calculations!O$1,'2018_commission_structure'!$A$11:$I$11,0))</f>
        <v>56092.920000000006</v>
      </c>
      <c r="P945" s="7">
        <f>IF($H945&gt;I945,MIN($H945-I945,J945-I945)*INDEX('2018_commission_structure'!$A$11:$I$14,MATCH(Calculations!$E945,'2018_commission_structure'!$A$11:$A$14,0), MATCH(Calculations!P$1,'2018_commission_structure'!$A$11:$I$11,0)),0)</f>
        <v>0</v>
      </c>
      <c r="Q945" s="7">
        <f>IF($H945&gt;J945,MIN($H945-J945,K945-J945)*INDEX('2018_commission_structure'!$A$11:$I$14,MATCH(Calculations!$E945,'2018_commission_structure'!$A$11:$A$14,0), MATCH(Calculations!Q$1,'2018_commission_structure'!$A$11:$I$11,0)),0)</f>
        <v>0</v>
      </c>
      <c r="R945" s="7">
        <f>IF($H945&gt;K945,MIN($H945-K945,L945-K945)*INDEX('2018_commission_structure'!$A$11:$I$14,MATCH(Calculations!$E945,'2018_commission_structure'!$A$11:$A$14,0), MATCH(Calculations!R$1,'2018_commission_structure'!$A$11:$I$11,0)),0)</f>
        <v>0</v>
      </c>
      <c r="S945" s="7">
        <f>IF(H945&gt;L945,(H945-L945)*INDEX('2018_commission_structure'!$A$11:$I$14,MATCH(Calculations!$E945,'2018_commission_structure'!$A$11:$A$14,0),MATCH(Calculations!S$1,'2018_commission_structure'!$A$11:$I$11,0)),0)</f>
        <v>0</v>
      </c>
      <c r="T945" s="7">
        <f t="shared" si="131"/>
        <v>56092.920000000006</v>
      </c>
      <c r="U945" s="7">
        <f t="shared" si="132"/>
        <v>106559.92000000001</v>
      </c>
      <c r="V945" s="7">
        <f>MIN(H945,I945)*INDEX('2018_commission_structure'!$A$5:$J$8,MATCH(Calculations!$E945,'2018_commission_structure'!$A$5:$A$8,0),MATCH(Calculations!V$1,'2018_commission_structure'!$A$5:$J$5,0))</f>
        <v>64722.6</v>
      </c>
      <c r="W945" s="2">
        <f>IF($H945&gt;I945,MIN($H945-I945,J945-I945)*INDEX('2018_commission_structure'!$A$5:$J$8,MATCH(Calculations!$E945,'2018_commission_structure'!$A$5:$A$8,0),MATCH(Calculations!W$1,'2018_commission_structure'!$A$5:$J$5,0)),0)</f>
        <v>0</v>
      </c>
      <c r="X945" s="2">
        <f>IF($H945&gt;J945,MIN($H945-J945,K945-J945)*INDEX('2018_commission_structure'!$A$5:$J$8,MATCH(Calculations!$E945,'2018_commission_structure'!$A$5:$A$8,0),MATCH(Calculations!X$1,'2018_commission_structure'!$A$5:$J$5,0)),0)</f>
        <v>0</v>
      </c>
      <c r="Y945" s="2">
        <f>IF($H945&gt;K945,MIN($H945-K945,L945-K945)*INDEX('2018_commission_structure'!$A$5:$J$8,MATCH(Calculations!$E945,'2018_commission_structure'!$A$5:$A$8,0),MATCH(Calculations!Y$1,'2018_commission_structure'!$A$5:$J$5,0)),0)</f>
        <v>0</v>
      </c>
      <c r="Z945" s="2">
        <f xml:space="preserve"> IF(H945&gt;L945,(H945-L945)*INDEX('2018_commission_structure'!$A$11:$I$14,MATCH(Calculations!$E945,'2018_commission_structure'!$A$11:$A$14,0),MATCH(Calculations!Z$1,'2018_commission_structure'!$A$11:$I$11,0)),0)</f>
        <v>0</v>
      </c>
      <c r="AA945" s="7">
        <f t="shared" si="133"/>
        <v>64722.6</v>
      </c>
      <c r="AB945" s="7">
        <f t="shared" si="134"/>
        <v>115189.6</v>
      </c>
    </row>
    <row r="946" spans="1:28" x14ac:dyDescent="0.25">
      <c r="A946">
        <v>7373156215</v>
      </c>
      <c r="B946" t="s">
        <v>834</v>
      </c>
      <c r="C946" t="s">
        <v>1774</v>
      </c>
      <c r="D946" t="str">
        <f>B946&amp;" "&amp;C946</f>
        <v>Jethro Vedishchev</v>
      </c>
      <c r="E946" t="s">
        <v>29</v>
      </c>
      <c r="F946">
        <v>56461</v>
      </c>
      <c r="G946">
        <f>COUNTIF(deals_closed!D:D,Calculations!A946)</f>
        <v>22</v>
      </c>
      <c r="H946" s="2">
        <f>SUMIF(deals_closed!D:D,Calculations!A946,deals_closed!C:C)</f>
        <v>774746</v>
      </c>
      <c r="I946" s="2">
        <f>VLOOKUP(E946,'2018_commission_structure'!$A$11:$I$14,9,FALSE)</f>
        <v>600000</v>
      </c>
      <c r="J946" s="2">
        <f t="shared" si="126"/>
        <v>750000</v>
      </c>
      <c r="K946" s="2">
        <f t="shared" si="127"/>
        <v>900000</v>
      </c>
      <c r="L946" s="2">
        <f t="shared" si="128"/>
        <v>1200000</v>
      </c>
      <c r="M946" s="6">
        <f t="shared" si="129"/>
        <v>1.2912433333333333</v>
      </c>
      <c r="N946" t="str">
        <f t="shared" si="130"/>
        <v>125-150%</v>
      </c>
      <c r="O946" s="7">
        <f>MIN(I946,H946)*INDEX('2018_commission_structure'!$A$11:$I$14,MATCH(Calculations!$E946,'2018_commission_structure'!$A$11:$A$14,0),MATCH(Calculations!O$1,'2018_commission_structure'!$A$11:$I$11,0))</f>
        <v>78000</v>
      </c>
      <c r="P946" s="7">
        <f>IF($H946&gt;I946,MIN($H946-I946,J946-I946)*INDEX('2018_commission_structure'!$A$11:$I$14,MATCH(Calculations!$E946,'2018_commission_structure'!$A$11:$A$14,0), MATCH(Calculations!P$1,'2018_commission_structure'!$A$11:$I$11,0)),0)</f>
        <v>25500.000000000004</v>
      </c>
      <c r="Q946" s="7">
        <f>IF($H946&gt;J946,MIN($H946-J946,K946-J946)*INDEX('2018_commission_structure'!$A$11:$I$14,MATCH(Calculations!$E946,'2018_commission_structure'!$A$11:$A$14,0), MATCH(Calculations!Q$1,'2018_commission_structure'!$A$11:$I$11,0)),0)</f>
        <v>5196.66</v>
      </c>
      <c r="R946" s="7">
        <f>IF($H946&gt;K946,MIN($H946-K946,L946-K946)*INDEX('2018_commission_structure'!$A$11:$I$14,MATCH(Calculations!$E946,'2018_commission_structure'!$A$11:$A$14,0), MATCH(Calculations!R$1,'2018_commission_structure'!$A$11:$I$11,0)),0)</f>
        <v>0</v>
      </c>
      <c r="S946" s="7">
        <f>IF(H946&gt;L946,(H946-L946)*INDEX('2018_commission_structure'!$A$11:$I$14,MATCH(Calculations!$E946,'2018_commission_structure'!$A$11:$A$14,0),MATCH(Calculations!S$1,'2018_commission_structure'!$A$11:$I$11,0)),0)</f>
        <v>0</v>
      </c>
      <c r="T946" s="7">
        <f t="shared" si="131"/>
        <v>108696.66</v>
      </c>
      <c r="U946" s="7">
        <f t="shared" si="132"/>
        <v>165157.66</v>
      </c>
      <c r="V946" s="7">
        <f>MIN(H946,I946)*INDEX('2018_commission_structure'!$A$5:$J$8,MATCH(Calculations!$E946,'2018_commission_structure'!$A$5:$A$8,0),MATCH(Calculations!V$1,'2018_commission_structure'!$A$5:$J$5,0))</f>
        <v>90000</v>
      </c>
      <c r="W946" s="2">
        <f>IF($H946&gt;I946,MIN($H946-I946,J946-I946)*INDEX('2018_commission_structure'!$A$5:$J$8,MATCH(Calculations!$E946,'2018_commission_structure'!$A$5:$A$8,0),MATCH(Calculations!W$1,'2018_commission_structure'!$A$5:$J$5,0)),0)</f>
        <v>27000</v>
      </c>
      <c r="X946" s="2">
        <f>IF($H946&gt;J946,MIN($H946-J946,K946-J946)*INDEX('2018_commission_structure'!$A$5:$J$8,MATCH(Calculations!$E946,'2018_commission_structure'!$A$5:$A$8,0),MATCH(Calculations!X$1,'2018_commission_structure'!$A$5:$J$5,0)),0)</f>
        <v>6186.5</v>
      </c>
      <c r="Y946" s="2">
        <f>IF($H946&gt;K946,MIN($H946-K946,L946-K946)*INDEX('2018_commission_structure'!$A$5:$J$8,MATCH(Calculations!$E946,'2018_commission_structure'!$A$5:$A$8,0),MATCH(Calculations!Y$1,'2018_commission_structure'!$A$5:$J$5,0)),0)</f>
        <v>0</v>
      </c>
      <c r="Z946" s="2">
        <f xml:space="preserve"> IF(H946&gt;L946,(H946-L946)*INDEX('2018_commission_structure'!$A$11:$I$14,MATCH(Calculations!$E946,'2018_commission_structure'!$A$11:$A$14,0),MATCH(Calculations!Z$1,'2018_commission_structure'!$A$11:$I$11,0)),0)</f>
        <v>0</v>
      </c>
      <c r="AA946" s="7">
        <f t="shared" si="133"/>
        <v>123186.5</v>
      </c>
      <c r="AB946" s="7">
        <f t="shared" si="134"/>
        <v>179647.5</v>
      </c>
    </row>
    <row r="947" spans="1:28" x14ac:dyDescent="0.25">
      <c r="A947">
        <v>1887308636</v>
      </c>
      <c r="B947" t="s">
        <v>1255</v>
      </c>
      <c r="C947" t="s">
        <v>1256</v>
      </c>
      <c r="D947" t="str">
        <f>B947&amp;" "&amp;C947</f>
        <v>Van Vedmore</v>
      </c>
      <c r="E947" t="s">
        <v>29</v>
      </c>
      <c r="F947">
        <v>67464</v>
      </c>
      <c r="G947">
        <f>COUNTIF(deals_closed!D:D,Calculations!A947)</f>
        <v>26</v>
      </c>
      <c r="H947" s="2">
        <f>SUMIF(deals_closed!D:D,Calculations!A947,deals_closed!C:C)</f>
        <v>941410</v>
      </c>
      <c r="I947" s="2">
        <f>VLOOKUP(E947,'2018_commission_structure'!$A$11:$I$14,9,FALSE)</f>
        <v>600000</v>
      </c>
      <c r="J947" s="2">
        <f t="shared" si="126"/>
        <v>750000</v>
      </c>
      <c r="K947" s="2">
        <f t="shared" si="127"/>
        <v>900000</v>
      </c>
      <c r="L947" s="2">
        <f t="shared" si="128"/>
        <v>1200000</v>
      </c>
      <c r="M947" s="6">
        <f t="shared" si="129"/>
        <v>1.5690166666666667</v>
      </c>
      <c r="N947" t="str">
        <f t="shared" si="130"/>
        <v>150-200%</v>
      </c>
      <c r="O947" s="7">
        <f>MIN(I947,H947)*INDEX('2018_commission_structure'!$A$11:$I$14,MATCH(Calculations!$E947,'2018_commission_structure'!$A$11:$A$14,0),MATCH(Calculations!O$1,'2018_commission_structure'!$A$11:$I$11,0))</f>
        <v>78000</v>
      </c>
      <c r="P947" s="7">
        <f>IF($H947&gt;I947,MIN($H947-I947,J947-I947)*INDEX('2018_commission_structure'!$A$11:$I$14,MATCH(Calculations!$E947,'2018_commission_structure'!$A$11:$A$14,0), MATCH(Calculations!P$1,'2018_commission_structure'!$A$11:$I$11,0)),0)</f>
        <v>25500.000000000004</v>
      </c>
      <c r="Q947" s="7">
        <f>IF($H947&gt;J947,MIN($H947-J947,K947-J947)*INDEX('2018_commission_structure'!$A$11:$I$14,MATCH(Calculations!$E947,'2018_commission_structure'!$A$11:$A$14,0), MATCH(Calculations!Q$1,'2018_commission_structure'!$A$11:$I$11,0)),0)</f>
        <v>31500</v>
      </c>
      <c r="R947" s="7">
        <f>IF($H947&gt;K947,MIN($H947-K947,L947-K947)*INDEX('2018_commission_structure'!$A$11:$I$14,MATCH(Calculations!$E947,'2018_commission_structure'!$A$11:$A$14,0), MATCH(Calculations!R$1,'2018_commission_structure'!$A$11:$I$11,0)),0)</f>
        <v>10766.6</v>
      </c>
      <c r="S947" s="7">
        <f>IF(H947&gt;L947,(H947-L947)*INDEX('2018_commission_structure'!$A$11:$I$14,MATCH(Calculations!$E947,'2018_commission_structure'!$A$11:$A$14,0),MATCH(Calculations!S$1,'2018_commission_structure'!$A$11:$I$11,0)),0)</f>
        <v>0</v>
      </c>
      <c r="T947" s="7">
        <f t="shared" si="131"/>
        <v>145766.6</v>
      </c>
      <c r="U947" s="7">
        <f t="shared" si="132"/>
        <v>213230.6</v>
      </c>
      <c r="V947" s="7">
        <f>MIN(H947,I947)*INDEX('2018_commission_structure'!$A$5:$J$8,MATCH(Calculations!$E947,'2018_commission_structure'!$A$5:$A$8,0),MATCH(Calculations!V$1,'2018_commission_structure'!$A$5:$J$5,0))</f>
        <v>90000</v>
      </c>
      <c r="W947" s="2">
        <f>IF($H947&gt;I947,MIN($H947-I947,J947-I947)*INDEX('2018_commission_structure'!$A$5:$J$8,MATCH(Calculations!$E947,'2018_commission_structure'!$A$5:$A$8,0),MATCH(Calculations!W$1,'2018_commission_structure'!$A$5:$J$5,0)),0)</f>
        <v>27000</v>
      </c>
      <c r="X947" s="2">
        <f>IF($H947&gt;J947,MIN($H947-J947,K947-J947)*INDEX('2018_commission_structure'!$A$5:$J$8,MATCH(Calculations!$E947,'2018_commission_structure'!$A$5:$A$8,0),MATCH(Calculations!X$1,'2018_commission_structure'!$A$5:$J$5,0)),0)</f>
        <v>37500</v>
      </c>
      <c r="Y947" s="2">
        <f>IF($H947&gt;K947,MIN($H947-K947,L947-K947)*INDEX('2018_commission_structure'!$A$5:$J$8,MATCH(Calculations!$E947,'2018_commission_structure'!$A$5:$A$8,0),MATCH(Calculations!Y$1,'2018_commission_structure'!$A$5:$J$5,0)),0)</f>
        <v>12423</v>
      </c>
      <c r="Z947" s="2">
        <f xml:space="preserve"> IF(H947&gt;L947,(H947-L947)*INDEX('2018_commission_structure'!$A$11:$I$14,MATCH(Calculations!$E947,'2018_commission_structure'!$A$11:$A$14,0),MATCH(Calculations!Z$1,'2018_commission_structure'!$A$11:$I$11,0)),0)</f>
        <v>0</v>
      </c>
      <c r="AA947" s="7">
        <f t="shared" si="133"/>
        <v>166923</v>
      </c>
      <c r="AB947" s="7">
        <f t="shared" si="134"/>
        <v>234387</v>
      </c>
    </row>
    <row r="948" spans="1:28" x14ac:dyDescent="0.25">
      <c r="A948">
        <v>1296185559</v>
      </c>
      <c r="B948" t="s">
        <v>623</v>
      </c>
      <c r="C948" t="s">
        <v>624</v>
      </c>
      <c r="D948" t="str">
        <f>B948&amp;" "&amp;C948</f>
        <v>Jacinthe Vel</v>
      </c>
      <c r="E948" t="s">
        <v>10</v>
      </c>
      <c r="F948">
        <v>83229</v>
      </c>
      <c r="G948">
        <f>COUNTIF(deals_closed!D:D,Calculations!A948)</f>
        <v>22</v>
      </c>
      <c r="H948" s="2">
        <f>SUMIF(deals_closed!D:D,Calculations!A948,deals_closed!C:C)</f>
        <v>717332</v>
      </c>
      <c r="I948" s="2">
        <f>VLOOKUP(E948,'2018_commission_structure'!$A$11:$I$14,9,FALSE)</f>
        <v>750000</v>
      </c>
      <c r="J948" s="2">
        <f t="shared" si="126"/>
        <v>937500</v>
      </c>
      <c r="K948" s="2">
        <f t="shared" si="127"/>
        <v>1125000</v>
      </c>
      <c r="L948" s="2">
        <f t="shared" si="128"/>
        <v>1500000</v>
      </c>
      <c r="M948" s="6">
        <f t="shared" si="129"/>
        <v>0.95644266666666666</v>
      </c>
      <c r="N948" t="str">
        <f t="shared" si="130"/>
        <v>0-100%</v>
      </c>
      <c r="O948" s="7">
        <f>MIN(I948,H948)*INDEX('2018_commission_structure'!$A$11:$I$14,MATCH(Calculations!$E948,'2018_commission_structure'!$A$11:$A$14,0),MATCH(Calculations!O$1,'2018_commission_structure'!$A$11:$I$11,0))</f>
        <v>107599.8</v>
      </c>
      <c r="P948" s="7">
        <f>IF($H948&gt;I948,MIN($H948-I948,J948-I948)*INDEX('2018_commission_structure'!$A$11:$I$14,MATCH(Calculations!$E948,'2018_commission_structure'!$A$11:$A$14,0), MATCH(Calculations!P$1,'2018_commission_structure'!$A$11:$I$11,0)),0)</f>
        <v>0</v>
      </c>
      <c r="Q948" s="7">
        <f>IF($H948&gt;J948,MIN($H948-J948,K948-J948)*INDEX('2018_commission_structure'!$A$11:$I$14,MATCH(Calculations!$E948,'2018_commission_structure'!$A$11:$A$14,0), MATCH(Calculations!Q$1,'2018_commission_structure'!$A$11:$I$11,0)),0)</f>
        <v>0</v>
      </c>
      <c r="R948" s="7">
        <f>IF($H948&gt;K948,MIN($H948-K948,L948-K948)*INDEX('2018_commission_structure'!$A$11:$I$14,MATCH(Calculations!$E948,'2018_commission_structure'!$A$11:$A$14,0), MATCH(Calculations!R$1,'2018_commission_structure'!$A$11:$I$11,0)),0)</f>
        <v>0</v>
      </c>
      <c r="S948" s="7">
        <f>IF(H948&gt;L948,(H948-L948)*INDEX('2018_commission_structure'!$A$11:$I$14,MATCH(Calculations!$E948,'2018_commission_structure'!$A$11:$A$14,0),MATCH(Calculations!S$1,'2018_commission_structure'!$A$11:$I$11,0)),0)</f>
        <v>0</v>
      </c>
      <c r="T948" s="7">
        <f t="shared" si="131"/>
        <v>107599.8</v>
      </c>
      <c r="U948" s="7">
        <f t="shared" si="132"/>
        <v>190828.79999999999</v>
      </c>
      <c r="V948" s="7">
        <f>MIN(H948,I948)*INDEX('2018_commission_structure'!$A$5:$J$8,MATCH(Calculations!$E948,'2018_commission_structure'!$A$5:$A$8,0),MATCH(Calculations!V$1,'2018_commission_structure'!$A$5:$J$5,0))</f>
        <v>107599.8</v>
      </c>
      <c r="W948" s="2">
        <f>IF($H948&gt;I948,MIN($H948-I948,J948-I948)*INDEX('2018_commission_structure'!$A$5:$J$8,MATCH(Calculations!$E948,'2018_commission_structure'!$A$5:$A$8,0),MATCH(Calculations!W$1,'2018_commission_structure'!$A$5:$J$5,0)),0)</f>
        <v>0</v>
      </c>
      <c r="X948" s="2">
        <f>IF($H948&gt;J948,MIN($H948-J948,K948-J948)*INDEX('2018_commission_structure'!$A$5:$J$8,MATCH(Calculations!$E948,'2018_commission_structure'!$A$5:$A$8,0),MATCH(Calculations!X$1,'2018_commission_structure'!$A$5:$J$5,0)),0)</f>
        <v>0</v>
      </c>
      <c r="Y948" s="2">
        <f>IF($H948&gt;K948,MIN($H948-K948,L948-K948)*INDEX('2018_commission_structure'!$A$5:$J$8,MATCH(Calculations!$E948,'2018_commission_structure'!$A$5:$A$8,0),MATCH(Calculations!Y$1,'2018_commission_structure'!$A$5:$J$5,0)),0)</f>
        <v>0</v>
      </c>
      <c r="Z948" s="2">
        <f xml:space="preserve"> IF(H948&gt;L948,(H948-L948)*INDEX('2018_commission_structure'!$A$11:$I$14,MATCH(Calculations!$E948,'2018_commission_structure'!$A$11:$A$14,0),MATCH(Calculations!Z$1,'2018_commission_structure'!$A$11:$I$11,0)),0)</f>
        <v>0</v>
      </c>
      <c r="AA948" s="7">
        <f t="shared" si="133"/>
        <v>107599.8</v>
      </c>
      <c r="AB948" s="7">
        <f t="shared" si="134"/>
        <v>190828.79999999999</v>
      </c>
    </row>
    <row r="949" spans="1:28" x14ac:dyDescent="0.25">
      <c r="A949">
        <v>4162153728</v>
      </c>
      <c r="B949" t="s">
        <v>242</v>
      </c>
      <c r="C949" t="s">
        <v>243</v>
      </c>
      <c r="D949" t="str">
        <f>B949&amp;" "&amp;C949</f>
        <v>Aristotle Vibert</v>
      </c>
      <c r="E949" t="s">
        <v>10</v>
      </c>
      <c r="F949">
        <v>95348</v>
      </c>
      <c r="G949">
        <f>COUNTIF(deals_closed!D:D,Calculations!A949)</f>
        <v>30</v>
      </c>
      <c r="H949" s="2">
        <f>SUMIF(deals_closed!D:D,Calculations!A949,deals_closed!C:C)</f>
        <v>1096136</v>
      </c>
      <c r="I949" s="2">
        <f>VLOOKUP(E949,'2018_commission_structure'!$A$11:$I$14,9,FALSE)</f>
        <v>750000</v>
      </c>
      <c r="J949" s="2">
        <f t="shared" si="126"/>
        <v>937500</v>
      </c>
      <c r="K949" s="2">
        <f t="shared" si="127"/>
        <v>1125000</v>
      </c>
      <c r="L949" s="2">
        <f t="shared" si="128"/>
        <v>1500000</v>
      </c>
      <c r="M949" s="6">
        <f t="shared" si="129"/>
        <v>1.4615146666666667</v>
      </c>
      <c r="N949" t="str">
        <f t="shared" si="130"/>
        <v>125-150%</v>
      </c>
      <c r="O949" s="7">
        <f>MIN(I949,H949)*INDEX('2018_commission_structure'!$A$11:$I$14,MATCH(Calculations!$E949,'2018_commission_structure'!$A$11:$A$14,0),MATCH(Calculations!O$1,'2018_commission_structure'!$A$11:$I$11,0))</f>
        <v>112500</v>
      </c>
      <c r="P949" s="7">
        <f>IF($H949&gt;I949,MIN($H949-I949,J949-I949)*INDEX('2018_commission_structure'!$A$11:$I$14,MATCH(Calculations!$E949,'2018_commission_structure'!$A$11:$A$14,0), MATCH(Calculations!P$1,'2018_commission_structure'!$A$11:$I$11,0)),0)</f>
        <v>35625</v>
      </c>
      <c r="Q949" s="7">
        <f>IF($H949&gt;J949,MIN($H949-J949,K949-J949)*INDEX('2018_commission_structure'!$A$11:$I$14,MATCH(Calculations!$E949,'2018_commission_structure'!$A$11:$A$14,0), MATCH(Calculations!Q$1,'2018_commission_structure'!$A$11:$I$11,0)),0)</f>
        <v>36486.28</v>
      </c>
      <c r="R949" s="7">
        <f>IF($H949&gt;K949,MIN($H949-K949,L949-K949)*INDEX('2018_commission_structure'!$A$11:$I$14,MATCH(Calculations!$E949,'2018_commission_structure'!$A$11:$A$14,0), MATCH(Calculations!R$1,'2018_commission_structure'!$A$11:$I$11,0)),0)</f>
        <v>0</v>
      </c>
      <c r="S949" s="7">
        <f>IF(H949&gt;L949,(H949-L949)*INDEX('2018_commission_structure'!$A$11:$I$14,MATCH(Calculations!$E949,'2018_commission_structure'!$A$11:$A$14,0),MATCH(Calculations!S$1,'2018_commission_structure'!$A$11:$I$11,0)),0)</f>
        <v>0</v>
      </c>
      <c r="T949" s="7">
        <f t="shared" si="131"/>
        <v>184611.28</v>
      </c>
      <c r="U949" s="7">
        <f t="shared" si="132"/>
        <v>279959.28000000003</v>
      </c>
      <c r="V949" s="7">
        <f>MIN(H949,I949)*INDEX('2018_commission_structure'!$A$5:$J$8,MATCH(Calculations!$E949,'2018_commission_structure'!$A$5:$A$8,0),MATCH(Calculations!V$1,'2018_commission_structure'!$A$5:$J$5,0))</f>
        <v>112500</v>
      </c>
      <c r="W949" s="2">
        <f>IF($H949&gt;I949,MIN($H949-I949,J949-I949)*INDEX('2018_commission_structure'!$A$5:$J$8,MATCH(Calculations!$E949,'2018_commission_structure'!$A$5:$A$8,0),MATCH(Calculations!W$1,'2018_commission_structure'!$A$5:$J$5,0)),0)</f>
        <v>41250</v>
      </c>
      <c r="X949" s="2">
        <f>IF($H949&gt;J949,MIN($H949-J949,K949-J949)*INDEX('2018_commission_structure'!$A$5:$J$8,MATCH(Calculations!$E949,'2018_commission_structure'!$A$5:$A$8,0),MATCH(Calculations!X$1,'2018_commission_structure'!$A$5:$J$5,0)),0)</f>
        <v>39659</v>
      </c>
      <c r="Y949" s="2">
        <f>IF($H949&gt;K949,MIN($H949-K949,L949-K949)*INDEX('2018_commission_structure'!$A$5:$J$8,MATCH(Calculations!$E949,'2018_commission_structure'!$A$5:$A$8,0),MATCH(Calculations!Y$1,'2018_commission_structure'!$A$5:$J$5,0)),0)</f>
        <v>0</v>
      </c>
      <c r="Z949" s="2">
        <f xml:space="preserve"> IF(H949&gt;L949,(H949-L949)*INDEX('2018_commission_structure'!$A$11:$I$14,MATCH(Calculations!$E949,'2018_commission_structure'!$A$11:$A$14,0),MATCH(Calculations!Z$1,'2018_commission_structure'!$A$11:$I$11,0)),0)</f>
        <v>0</v>
      </c>
      <c r="AA949" s="7">
        <f t="shared" si="133"/>
        <v>193409</v>
      </c>
      <c r="AB949" s="7">
        <f t="shared" si="134"/>
        <v>288757</v>
      </c>
    </row>
    <row r="950" spans="1:28" x14ac:dyDescent="0.25">
      <c r="A950">
        <v>2279888742</v>
      </c>
      <c r="B950" t="s">
        <v>373</v>
      </c>
      <c r="C950" t="s">
        <v>374</v>
      </c>
      <c r="D950" t="str">
        <f>B950&amp;" "&amp;C950</f>
        <v>Beverlie Viccary</v>
      </c>
      <c r="E950" t="s">
        <v>29</v>
      </c>
      <c r="F950">
        <v>57415</v>
      </c>
      <c r="G950">
        <f>COUNTIF(deals_closed!D:D,Calculations!A950)</f>
        <v>22</v>
      </c>
      <c r="H950" s="2">
        <f>SUMIF(deals_closed!D:D,Calculations!A950,deals_closed!C:C)</f>
        <v>895634</v>
      </c>
      <c r="I950" s="2">
        <f>VLOOKUP(E950,'2018_commission_structure'!$A$11:$I$14,9,FALSE)</f>
        <v>600000</v>
      </c>
      <c r="J950" s="2">
        <f t="shared" si="126"/>
        <v>750000</v>
      </c>
      <c r="K950" s="2">
        <f t="shared" si="127"/>
        <v>900000</v>
      </c>
      <c r="L950" s="2">
        <f t="shared" si="128"/>
        <v>1200000</v>
      </c>
      <c r="M950" s="6">
        <f t="shared" si="129"/>
        <v>1.4927233333333334</v>
      </c>
      <c r="N950" t="str">
        <f t="shared" si="130"/>
        <v>125-150%</v>
      </c>
      <c r="O950" s="7">
        <f>MIN(I950,H950)*INDEX('2018_commission_structure'!$A$11:$I$14,MATCH(Calculations!$E950,'2018_commission_structure'!$A$11:$A$14,0),MATCH(Calculations!O$1,'2018_commission_structure'!$A$11:$I$11,0))</f>
        <v>78000</v>
      </c>
      <c r="P950" s="7">
        <f>IF($H950&gt;I950,MIN($H950-I950,J950-I950)*INDEX('2018_commission_structure'!$A$11:$I$14,MATCH(Calculations!$E950,'2018_commission_structure'!$A$11:$A$14,0), MATCH(Calculations!P$1,'2018_commission_structure'!$A$11:$I$11,0)),0)</f>
        <v>25500.000000000004</v>
      </c>
      <c r="Q950" s="7">
        <f>IF($H950&gt;J950,MIN($H950-J950,K950-J950)*INDEX('2018_commission_structure'!$A$11:$I$14,MATCH(Calculations!$E950,'2018_commission_structure'!$A$11:$A$14,0), MATCH(Calculations!Q$1,'2018_commission_structure'!$A$11:$I$11,0)),0)</f>
        <v>30583.14</v>
      </c>
      <c r="R950" s="7">
        <f>IF($H950&gt;K950,MIN($H950-K950,L950-K950)*INDEX('2018_commission_structure'!$A$11:$I$14,MATCH(Calculations!$E950,'2018_commission_structure'!$A$11:$A$14,0), MATCH(Calculations!R$1,'2018_commission_structure'!$A$11:$I$11,0)),0)</f>
        <v>0</v>
      </c>
      <c r="S950" s="7">
        <f>IF(H950&gt;L950,(H950-L950)*INDEX('2018_commission_structure'!$A$11:$I$14,MATCH(Calculations!$E950,'2018_commission_structure'!$A$11:$A$14,0),MATCH(Calculations!S$1,'2018_commission_structure'!$A$11:$I$11,0)),0)</f>
        <v>0</v>
      </c>
      <c r="T950" s="7">
        <f t="shared" si="131"/>
        <v>134083.14000000001</v>
      </c>
      <c r="U950" s="7">
        <f t="shared" si="132"/>
        <v>191498.14</v>
      </c>
      <c r="V950" s="7">
        <f>MIN(H950,I950)*INDEX('2018_commission_structure'!$A$5:$J$8,MATCH(Calculations!$E950,'2018_commission_structure'!$A$5:$A$8,0),MATCH(Calculations!V$1,'2018_commission_structure'!$A$5:$J$5,0))</f>
        <v>90000</v>
      </c>
      <c r="W950" s="2">
        <f>IF($H950&gt;I950,MIN($H950-I950,J950-I950)*INDEX('2018_commission_structure'!$A$5:$J$8,MATCH(Calculations!$E950,'2018_commission_structure'!$A$5:$A$8,0),MATCH(Calculations!W$1,'2018_commission_structure'!$A$5:$J$5,0)),0)</f>
        <v>27000</v>
      </c>
      <c r="X950" s="2">
        <f>IF($H950&gt;J950,MIN($H950-J950,K950-J950)*INDEX('2018_commission_structure'!$A$5:$J$8,MATCH(Calculations!$E950,'2018_commission_structure'!$A$5:$A$8,0),MATCH(Calculations!X$1,'2018_commission_structure'!$A$5:$J$5,0)),0)</f>
        <v>36408.5</v>
      </c>
      <c r="Y950" s="2">
        <f>IF($H950&gt;K950,MIN($H950-K950,L950-K950)*INDEX('2018_commission_structure'!$A$5:$J$8,MATCH(Calculations!$E950,'2018_commission_structure'!$A$5:$A$8,0),MATCH(Calculations!Y$1,'2018_commission_structure'!$A$5:$J$5,0)),0)</f>
        <v>0</v>
      </c>
      <c r="Z950" s="2">
        <f xml:space="preserve"> IF(H950&gt;L950,(H950-L950)*INDEX('2018_commission_structure'!$A$11:$I$14,MATCH(Calculations!$E950,'2018_commission_structure'!$A$11:$A$14,0),MATCH(Calculations!Z$1,'2018_commission_structure'!$A$11:$I$11,0)),0)</f>
        <v>0</v>
      </c>
      <c r="AA950" s="7">
        <f t="shared" si="133"/>
        <v>153408.5</v>
      </c>
      <c r="AB950" s="7">
        <f t="shared" si="134"/>
        <v>210823.5</v>
      </c>
    </row>
    <row r="951" spans="1:28" x14ac:dyDescent="0.25">
      <c r="A951">
        <v>4119729087</v>
      </c>
      <c r="B951" t="s">
        <v>1819</v>
      </c>
      <c r="C951" t="s">
        <v>1820</v>
      </c>
      <c r="D951" t="str">
        <f>B951&amp;" "&amp;C951</f>
        <v>Jenda Villaron</v>
      </c>
      <c r="E951" t="s">
        <v>10</v>
      </c>
      <c r="F951">
        <v>95210</v>
      </c>
      <c r="G951">
        <f>COUNTIF(deals_closed!D:D,Calculations!A951)</f>
        <v>20</v>
      </c>
      <c r="H951" s="2">
        <f>SUMIF(deals_closed!D:D,Calculations!A951,deals_closed!C:C)</f>
        <v>618954</v>
      </c>
      <c r="I951" s="2">
        <f>VLOOKUP(E951,'2018_commission_structure'!$A$11:$I$14,9,FALSE)</f>
        <v>750000</v>
      </c>
      <c r="J951" s="2">
        <f t="shared" si="126"/>
        <v>937500</v>
      </c>
      <c r="K951" s="2">
        <f t="shared" si="127"/>
        <v>1125000</v>
      </c>
      <c r="L951" s="2">
        <f t="shared" si="128"/>
        <v>1500000</v>
      </c>
      <c r="M951" s="6">
        <f t="shared" si="129"/>
        <v>0.82527200000000001</v>
      </c>
      <c r="N951" t="str">
        <f t="shared" si="130"/>
        <v>0-100%</v>
      </c>
      <c r="O951" s="7">
        <f>MIN(I951,H951)*INDEX('2018_commission_structure'!$A$11:$I$14,MATCH(Calculations!$E951,'2018_commission_structure'!$A$11:$A$14,0),MATCH(Calculations!O$1,'2018_commission_structure'!$A$11:$I$11,0))</f>
        <v>92843.099999999991</v>
      </c>
      <c r="P951" s="7">
        <f>IF($H951&gt;I951,MIN($H951-I951,J951-I951)*INDEX('2018_commission_structure'!$A$11:$I$14,MATCH(Calculations!$E951,'2018_commission_structure'!$A$11:$A$14,0), MATCH(Calculations!P$1,'2018_commission_structure'!$A$11:$I$11,0)),0)</f>
        <v>0</v>
      </c>
      <c r="Q951" s="7">
        <f>IF($H951&gt;J951,MIN($H951-J951,K951-J951)*INDEX('2018_commission_structure'!$A$11:$I$14,MATCH(Calculations!$E951,'2018_commission_structure'!$A$11:$A$14,0), MATCH(Calculations!Q$1,'2018_commission_structure'!$A$11:$I$11,0)),0)</f>
        <v>0</v>
      </c>
      <c r="R951" s="7">
        <f>IF($H951&gt;K951,MIN($H951-K951,L951-K951)*INDEX('2018_commission_structure'!$A$11:$I$14,MATCH(Calculations!$E951,'2018_commission_structure'!$A$11:$A$14,0), MATCH(Calculations!R$1,'2018_commission_structure'!$A$11:$I$11,0)),0)</f>
        <v>0</v>
      </c>
      <c r="S951" s="7">
        <f>IF(H951&gt;L951,(H951-L951)*INDEX('2018_commission_structure'!$A$11:$I$14,MATCH(Calculations!$E951,'2018_commission_structure'!$A$11:$A$14,0),MATCH(Calculations!S$1,'2018_commission_structure'!$A$11:$I$11,0)),0)</f>
        <v>0</v>
      </c>
      <c r="T951" s="7">
        <f t="shared" si="131"/>
        <v>92843.099999999991</v>
      </c>
      <c r="U951" s="7">
        <f t="shared" si="132"/>
        <v>188053.09999999998</v>
      </c>
      <c r="V951" s="7">
        <f>MIN(H951,I951)*INDEX('2018_commission_structure'!$A$5:$J$8,MATCH(Calculations!$E951,'2018_commission_structure'!$A$5:$A$8,0),MATCH(Calculations!V$1,'2018_commission_structure'!$A$5:$J$5,0))</f>
        <v>92843.099999999991</v>
      </c>
      <c r="W951" s="2">
        <f>IF($H951&gt;I951,MIN($H951-I951,J951-I951)*INDEX('2018_commission_structure'!$A$5:$J$8,MATCH(Calculations!$E951,'2018_commission_structure'!$A$5:$A$8,0),MATCH(Calculations!W$1,'2018_commission_structure'!$A$5:$J$5,0)),0)</f>
        <v>0</v>
      </c>
      <c r="X951" s="2">
        <f>IF($H951&gt;J951,MIN($H951-J951,K951-J951)*INDEX('2018_commission_structure'!$A$5:$J$8,MATCH(Calculations!$E951,'2018_commission_structure'!$A$5:$A$8,0),MATCH(Calculations!X$1,'2018_commission_structure'!$A$5:$J$5,0)),0)</f>
        <v>0</v>
      </c>
      <c r="Y951" s="2">
        <f>IF($H951&gt;K951,MIN($H951-K951,L951-K951)*INDEX('2018_commission_structure'!$A$5:$J$8,MATCH(Calculations!$E951,'2018_commission_structure'!$A$5:$A$8,0),MATCH(Calculations!Y$1,'2018_commission_structure'!$A$5:$J$5,0)),0)</f>
        <v>0</v>
      </c>
      <c r="Z951" s="2">
        <f xml:space="preserve"> IF(H951&gt;L951,(H951-L951)*INDEX('2018_commission_structure'!$A$11:$I$14,MATCH(Calculations!$E951,'2018_commission_structure'!$A$11:$A$14,0),MATCH(Calculations!Z$1,'2018_commission_structure'!$A$11:$I$11,0)),0)</f>
        <v>0</v>
      </c>
      <c r="AA951" s="7">
        <f t="shared" si="133"/>
        <v>92843.099999999991</v>
      </c>
      <c r="AB951" s="7">
        <f t="shared" si="134"/>
        <v>188053.09999999998</v>
      </c>
    </row>
    <row r="952" spans="1:28" x14ac:dyDescent="0.25">
      <c r="A952">
        <v>3792993961</v>
      </c>
      <c r="B952" t="s">
        <v>567</v>
      </c>
      <c r="C952" t="s">
        <v>568</v>
      </c>
      <c r="D952" t="str">
        <f>B952&amp;" "&amp;C952</f>
        <v>Stephen Vince</v>
      </c>
      <c r="E952" t="s">
        <v>7</v>
      </c>
      <c r="F952">
        <v>32408</v>
      </c>
      <c r="G952">
        <f>COUNTIF(deals_closed!D:D,Calculations!A952)</f>
        <v>21</v>
      </c>
      <c r="H952" s="2">
        <f>SUMIF(deals_closed!D:D,Calculations!A952,deals_closed!C:C)</f>
        <v>851536</v>
      </c>
      <c r="I952" s="2">
        <f>VLOOKUP(E952,'2018_commission_structure'!$A$11:$I$14,9,FALSE)</f>
        <v>500000</v>
      </c>
      <c r="J952" s="2">
        <f t="shared" si="126"/>
        <v>625000</v>
      </c>
      <c r="K952" s="2">
        <f t="shared" si="127"/>
        <v>750000</v>
      </c>
      <c r="L952" s="2">
        <f t="shared" si="128"/>
        <v>1000000</v>
      </c>
      <c r="M952" s="6">
        <f t="shared" si="129"/>
        <v>1.7030719999999999</v>
      </c>
      <c r="N952" t="str">
        <f t="shared" si="130"/>
        <v>150-200%</v>
      </c>
      <c r="O952" s="7">
        <f>MIN(I952,H952)*INDEX('2018_commission_structure'!$A$11:$I$14,MATCH(Calculations!$E952,'2018_commission_structure'!$A$11:$A$14,0),MATCH(Calculations!O$1,'2018_commission_structure'!$A$11:$I$11,0))</f>
        <v>50000</v>
      </c>
      <c r="P952" s="7">
        <f>IF($H952&gt;I952,MIN($H952-I952,J952-I952)*INDEX('2018_commission_structure'!$A$11:$I$14,MATCH(Calculations!$E952,'2018_commission_structure'!$A$11:$A$14,0), MATCH(Calculations!P$1,'2018_commission_structure'!$A$11:$I$11,0)),0)</f>
        <v>18750</v>
      </c>
      <c r="Q952" s="7">
        <f>IF($H952&gt;J952,MIN($H952-J952,K952-J952)*INDEX('2018_commission_structure'!$A$11:$I$14,MATCH(Calculations!$E952,'2018_commission_structure'!$A$11:$A$14,0), MATCH(Calculations!Q$1,'2018_commission_structure'!$A$11:$I$11,0)),0)</f>
        <v>22500</v>
      </c>
      <c r="R952" s="7">
        <f>IF($H952&gt;K952,MIN($H952-K952,L952-K952)*INDEX('2018_commission_structure'!$A$11:$I$14,MATCH(Calculations!$E952,'2018_commission_structure'!$A$11:$A$14,0), MATCH(Calculations!R$1,'2018_commission_structure'!$A$11:$I$11,0)),0)</f>
        <v>22337.920000000002</v>
      </c>
      <c r="S952" s="7">
        <f>IF(H952&gt;L952,(H952-L952)*INDEX('2018_commission_structure'!$A$11:$I$14,MATCH(Calculations!$E952,'2018_commission_structure'!$A$11:$A$14,0),MATCH(Calculations!S$1,'2018_commission_structure'!$A$11:$I$11,0)),0)</f>
        <v>0</v>
      </c>
      <c r="T952" s="7">
        <f t="shared" si="131"/>
        <v>113587.92</v>
      </c>
      <c r="U952" s="7">
        <f t="shared" si="132"/>
        <v>145995.91999999998</v>
      </c>
      <c r="V952" s="7">
        <f>MIN(H952,I952)*INDEX('2018_commission_structure'!$A$5:$J$8,MATCH(Calculations!$E952,'2018_commission_structure'!$A$5:$A$8,0),MATCH(Calculations!V$1,'2018_commission_structure'!$A$5:$J$5,0))</f>
        <v>60000</v>
      </c>
      <c r="W952" s="2">
        <f>IF($H952&gt;I952,MIN($H952-I952,J952-I952)*INDEX('2018_commission_structure'!$A$5:$J$8,MATCH(Calculations!$E952,'2018_commission_structure'!$A$5:$A$8,0),MATCH(Calculations!W$1,'2018_commission_structure'!$A$5:$J$5,0)),0)</f>
        <v>21250</v>
      </c>
      <c r="X952" s="2">
        <f>IF($H952&gt;J952,MIN($H952-J952,K952-J952)*INDEX('2018_commission_structure'!$A$5:$J$8,MATCH(Calculations!$E952,'2018_commission_structure'!$A$5:$A$8,0),MATCH(Calculations!X$1,'2018_commission_structure'!$A$5:$J$5,0)),0)</f>
        <v>25000</v>
      </c>
      <c r="Y952" s="2">
        <f>IF($H952&gt;K952,MIN($H952-K952,L952-K952)*INDEX('2018_commission_structure'!$A$5:$J$8,MATCH(Calculations!$E952,'2018_commission_structure'!$A$5:$A$8,0),MATCH(Calculations!Y$1,'2018_commission_structure'!$A$5:$J$5,0)),0)</f>
        <v>22337.920000000002</v>
      </c>
      <c r="Z952" s="2">
        <f xml:space="preserve"> IF(H952&gt;L952,(H952-L952)*INDEX('2018_commission_structure'!$A$11:$I$14,MATCH(Calculations!$E952,'2018_commission_structure'!$A$11:$A$14,0),MATCH(Calculations!Z$1,'2018_commission_structure'!$A$11:$I$11,0)),0)</f>
        <v>0</v>
      </c>
      <c r="AA952" s="7">
        <f t="shared" si="133"/>
        <v>128587.92</v>
      </c>
      <c r="AB952" s="7">
        <f t="shared" si="134"/>
        <v>160995.91999999998</v>
      </c>
    </row>
    <row r="953" spans="1:28" x14ac:dyDescent="0.25">
      <c r="A953">
        <v>2976436541</v>
      </c>
      <c r="B953" t="s">
        <v>185</v>
      </c>
      <c r="C953" t="s">
        <v>186</v>
      </c>
      <c r="D953" t="str">
        <f>B953&amp;" "&amp;C953</f>
        <v>Carlin Vivash</v>
      </c>
      <c r="E953" t="s">
        <v>10</v>
      </c>
      <c r="F953">
        <v>77783</v>
      </c>
      <c r="G953">
        <f>COUNTIF(deals_closed!D:D,Calculations!A953)</f>
        <v>12</v>
      </c>
      <c r="H953" s="2">
        <f>SUMIF(deals_closed!D:D,Calculations!A953,deals_closed!C:C)</f>
        <v>417788</v>
      </c>
      <c r="I953" s="2">
        <f>VLOOKUP(E953,'2018_commission_structure'!$A$11:$I$14,9,FALSE)</f>
        <v>750000</v>
      </c>
      <c r="J953" s="2">
        <f t="shared" si="126"/>
        <v>937500</v>
      </c>
      <c r="K953" s="2">
        <f t="shared" si="127"/>
        <v>1125000</v>
      </c>
      <c r="L953" s="2">
        <f t="shared" si="128"/>
        <v>1500000</v>
      </c>
      <c r="M953" s="6">
        <f t="shared" si="129"/>
        <v>0.55705066666666669</v>
      </c>
      <c r="N953" t="str">
        <f t="shared" si="130"/>
        <v>0-100%</v>
      </c>
      <c r="O953" s="7">
        <f>MIN(I953,H953)*INDEX('2018_commission_structure'!$A$11:$I$14,MATCH(Calculations!$E953,'2018_commission_structure'!$A$11:$A$14,0),MATCH(Calculations!O$1,'2018_commission_structure'!$A$11:$I$11,0))</f>
        <v>62668.2</v>
      </c>
      <c r="P953" s="7">
        <f>IF($H953&gt;I953,MIN($H953-I953,J953-I953)*INDEX('2018_commission_structure'!$A$11:$I$14,MATCH(Calculations!$E953,'2018_commission_structure'!$A$11:$A$14,0), MATCH(Calculations!P$1,'2018_commission_structure'!$A$11:$I$11,0)),0)</f>
        <v>0</v>
      </c>
      <c r="Q953" s="7">
        <f>IF($H953&gt;J953,MIN($H953-J953,K953-J953)*INDEX('2018_commission_structure'!$A$11:$I$14,MATCH(Calculations!$E953,'2018_commission_structure'!$A$11:$A$14,0), MATCH(Calculations!Q$1,'2018_commission_structure'!$A$11:$I$11,0)),0)</f>
        <v>0</v>
      </c>
      <c r="R953" s="7">
        <f>IF($H953&gt;K953,MIN($H953-K953,L953-K953)*INDEX('2018_commission_structure'!$A$11:$I$14,MATCH(Calculations!$E953,'2018_commission_structure'!$A$11:$A$14,0), MATCH(Calculations!R$1,'2018_commission_structure'!$A$11:$I$11,0)),0)</f>
        <v>0</v>
      </c>
      <c r="S953" s="7">
        <f>IF(H953&gt;L953,(H953-L953)*INDEX('2018_commission_structure'!$A$11:$I$14,MATCH(Calculations!$E953,'2018_commission_structure'!$A$11:$A$14,0),MATCH(Calculations!S$1,'2018_commission_structure'!$A$11:$I$11,0)),0)</f>
        <v>0</v>
      </c>
      <c r="T953" s="7">
        <f t="shared" si="131"/>
        <v>62668.2</v>
      </c>
      <c r="U953" s="7">
        <f t="shared" si="132"/>
        <v>140451.20000000001</v>
      </c>
      <c r="V953" s="7">
        <f>MIN(H953,I953)*INDEX('2018_commission_structure'!$A$5:$J$8,MATCH(Calculations!$E953,'2018_commission_structure'!$A$5:$A$8,0),MATCH(Calculations!V$1,'2018_commission_structure'!$A$5:$J$5,0))</f>
        <v>62668.2</v>
      </c>
      <c r="W953" s="2">
        <f>IF($H953&gt;I953,MIN($H953-I953,J953-I953)*INDEX('2018_commission_structure'!$A$5:$J$8,MATCH(Calculations!$E953,'2018_commission_structure'!$A$5:$A$8,0),MATCH(Calculations!W$1,'2018_commission_structure'!$A$5:$J$5,0)),0)</f>
        <v>0</v>
      </c>
      <c r="X953" s="2">
        <f>IF($H953&gt;J953,MIN($H953-J953,K953-J953)*INDEX('2018_commission_structure'!$A$5:$J$8,MATCH(Calculations!$E953,'2018_commission_structure'!$A$5:$A$8,0),MATCH(Calculations!X$1,'2018_commission_structure'!$A$5:$J$5,0)),0)</f>
        <v>0</v>
      </c>
      <c r="Y953" s="2">
        <f>IF($H953&gt;K953,MIN($H953-K953,L953-K953)*INDEX('2018_commission_structure'!$A$5:$J$8,MATCH(Calculations!$E953,'2018_commission_structure'!$A$5:$A$8,0),MATCH(Calculations!Y$1,'2018_commission_structure'!$A$5:$J$5,0)),0)</f>
        <v>0</v>
      </c>
      <c r="Z953" s="2">
        <f xml:space="preserve"> IF(H953&gt;L953,(H953-L953)*INDEX('2018_commission_structure'!$A$11:$I$14,MATCH(Calculations!$E953,'2018_commission_structure'!$A$11:$A$14,0),MATCH(Calculations!Z$1,'2018_commission_structure'!$A$11:$I$11,0)),0)</f>
        <v>0</v>
      </c>
      <c r="AA953" s="7">
        <f t="shared" si="133"/>
        <v>62668.2</v>
      </c>
      <c r="AB953" s="7">
        <f t="shared" si="134"/>
        <v>140451.20000000001</v>
      </c>
    </row>
    <row r="954" spans="1:28" x14ac:dyDescent="0.25">
      <c r="A954">
        <v>9114174103</v>
      </c>
      <c r="B954" t="s">
        <v>1180</v>
      </c>
      <c r="C954" t="s">
        <v>1181</v>
      </c>
      <c r="D954" t="str">
        <f>B954&amp;" "&amp;C954</f>
        <v>Cami Wagstaffe</v>
      </c>
      <c r="E954" t="s">
        <v>29</v>
      </c>
      <c r="F954">
        <v>71127</v>
      </c>
      <c r="G954">
        <f>COUNTIF(deals_closed!D:D,Calculations!A954)</f>
        <v>20</v>
      </c>
      <c r="H954" s="2">
        <f>SUMIF(deals_closed!D:D,Calculations!A954,deals_closed!C:C)</f>
        <v>653236</v>
      </c>
      <c r="I954" s="2">
        <f>VLOOKUP(E954,'2018_commission_structure'!$A$11:$I$14,9,FALSE)</f>
        <v>600000</v>
      </c>
      <c r="J954" s="2">
        <f t="shared" si="126"/>
        <v>750000</v>
      </c>
      <c r="K954" s="2">
        <f t="shared" si="127"/>
        <v>900000</v>
      </c>
      <c r="L954" s="2">
        <f t="shared" si="128"/>
        <v>1200000</v>
      </c>
      <c r="M954" s="6">
        <f t="shared" si="129"/>
        <v>1.0887266666666666</v>
      </c>
      <c r="N954" t="str">
        <f t="shared" si="130"/>
        <v>100-125%</v>
      </c>
      <c r="O954" s="7">
        <f>MIN(I954,H954)*INDEX('2018_commission_structure'!$A$11:$I$14,MATCH(Calculations!$E954,'2018_commission_structure'!$A$11:$A$14,0),MATCH(Calculations!O$1,'2018_commission_structure'!$A$11:$I$11,0))</f>
        <v>78000</v>
      </c>
      <c r="P954" s="7">
        <f>IF($H954&gt;I954,MIN($H954-I954,J954-I954)*INDEX('2018_commission_structure'!$A$11:$I$14,MATCH(Calculations!$E954,'2018_commission_structure'!$A$11:$A$14,0), MATCH(Calculations!P$1,'2018_commission_structure'!$A$11:$I$11,0)),0)</f>
        <v>9050.1200000000008</v>
      </c>
      <c r="Q954" s="7">
        <f>IF($H954&gt;J954,MIN($H954-J954,K954-J954)*INDEX('2018_commission_structure'!$A$11:$I$14,MATCH(Calculations!$E954,'2018_commission_structure'!$A$11:$A$14,0), MATCH(Calculations!Q$1,'2018_commission_structure'!$A$11:$I$11,0)),0)</f>
        <v>0</v>
      </c>
      <c r="R954" s="7">
        <f>IF($H954&gt;K954,MIN($H954-K954,L954-K954)*INDEX('2018_commission_structure'!$A$11:$I$14,MATCH(Calculations!$E954,'2018_commission_structure'!$A$11:$A$14,0), MATCH(Calculations!R$1,'2018_commission_structure'!$A$11:$I$11,0)),0)</f>
        <v>0</v>
      </c>
      <c r="S954" s="7">
        <f>IF(H954&gt;L954,(H954-L954)*INDEX('2018_commission_structure'!$A$11:$I$14,MATCH(Calculations!$E954,'2018_commission_structure'!$A$11:$A$14,0),MATCH(Calculations!S$1,'2018_commission_structure'!$A$11:$I$11,0)),0)</f>
        <v>0</v>
      </c>
      <c r="T954" s="7">
        <f t="shared" si="131"/>
        <v>87050.12</v>
      </c>
      <c r="U954" s="7">
        <f t="shared" si="132"/>
        <v>158177.12</v>
      </c>
      <c r="V954" s="7">
        <f>MIN(H954,I954)*INDEX('2018_commission_structure'!$A$5:$J$8,MATCH(Calculations!$E954,'2018_commission_structure'!$A$5:$A$8,0),MATCH(Calculations!V$1,'2018_commission_structure'!$A$5:$J$5,0))</f>
        <v>90000</v>
      </c>
      <c r="W954" s="2">
        <f>IF($H954&gt;I954,MIN($H954-I954,J954-I954)*INDEX('2018_commission_structure'!$A$5:$J$8,MATCH(Calculations!$E954,'2018_commission_structure'!$A$5:$A$8,0),MATCH(Calculations!W$1,'2018_commission_structure'!$A$5:$J$5,0)),0)</f>
        <v>9582.48</v>
      </c>
      <c r="X954" s="2">
        <f>IF($H954&gt;J954,MIN($H954-J954,K954-J954)*INDEX('2018_commission_structure'!$A$5:$J$8,MATCH(Calculations!$E954,'2018_commission_structure'!$A$5:$A$8,0),MATCH(Calculations!X$1,'2018_commission_structure'!$A$5:$J$5,0)),0)</f>
        <v>0</v>
      </c>
      <c r="Y954" s="2">
        <f>IF($H954&gt;K954,MIN($H954-K954,L954-K954)*INDEX('2018_commission_structure'!$A$5:$J$8,MATCH(Calculations!$E954,'2018_commission_structure'!$A$5:$A$8,0),MATCH(Calculations!Y$1,'2018_commission_structure'!$A$5:$J$5,0)),0)</f>
        <v>0</v>
      </c>
      <c r="Z954" s="2">
        <f xml:space="preserve"> IF(H954&gt;L954,(H954-L954)*INDEX('2018_commission_structure'!$A$11:$I$14,MATCH(Calculations!$E954,'2018_commission_structure'!$A$11:$A$14,0),MATCH(Calculations!Z$1,'2018_commission_structure'!$A$11:$I$11,0)),0)</f>
        <v>0</v>
      </c>
      <c r="AA954" s="7">
        <f t="shared" si="133"/>
        <v>99582.48</v>
      </c>
      <c r="AB954" s="7">
        <f t="shared" si="134"/>
        <v>170709.47999999998</v>
      </c>
    </row>
    <row r="955" spans="1:28" x14ac:dyDescent="0.25">
      <c r="A955">
        <v>7236563277</v>
      </c>
      <c r="B955" t="s">
        <v>582</v>
      </c>
      <c r="C955" t="s">
        <v>583</v>
      </c>
      <c r="D955" t="str">
        <f>B955&amp;" "&amp;C955</f>
        <v>Anette Waldock</v>
      </c>
      <c r="E955" t="s">
        <v>29</v>
      </c>
      <c r="F955">
        <v>79502</v>
      </c>
      <c r="G955">
        <f>COUNTIF(deals_closed!D:D,Calculations!A955)</f>
        <v>13</v>
      </c>
      <c r="H955" s="2">
        <f>SUMIF(deals_closed!D:D,Calculations!A955,deals_closed!C:C)</f>
        <v>438197</v>
      </c>
      <c r="I955" s="2">
        <f>VLOOKUP(E955,'2018_commission_structure'!$A$11:$I$14,9,FALSE)</f>
        <v>600000</v>
      </c>
      <c r="J955" s="2">
        <f t="shared" si="126"/>
        <v>750000</v>
      </c>
      <c r="K955" s="2">
        <f t="shared" si="127"/>
        <v>900000</v>
      </c>
      <c r="L955" s="2">
        <f t="shared" si="128"/>
        <v>1200000</v>
      </c>
      <c r="M955" s="6">
        <f t="shared" si="129"/>
        <v>0.73032833333333336</v>
      </c>
      <c r="N955" t="str">
        <f t="shared" si="130"/>
        <v>0-100%</v>
      </c>
      <c r="O955" s="7">
        <f>MIN(I955,H955)*INDEX('2018_commission_structure'!$A$11:$I$14,MATCH(Calculations!$E955,'2018_commission_structure'!$A$11:$A$14,0),MATCH(Calculations!O$1,'2018_commission_structure'!$A$11:$I$11,0))</f>
        <v>56965.61</v>
      </c>
      <c r="P955" s="7">
        <f>IF($H955&gt;I955,MIN($H955-I955,J955-I955)*INDEX('2018_commission_structure'!$A$11:$I$14,MATCH(Calculations!$E955,'2018_commission_structure'!$A$11:$A$14,0), MATCH(Calculations!P$1,'2018_commission_structure'!$A$11:$I$11,0)),0)</f>
        <v>0</v>
      </c>
      <c r="Q955" s="7">
        <f>IF($H955&gt;J955,MIN($H955-J955,K955-J955)*INDEX('2018_commission_structure'!$A$11:$I$14,MATCH(Calculations!$E955,'2018_commission_structure'!$A$11:$A$14,0), MATCH(Calculations!Q$1,'2018_commission_structure'!$A$11:$I$11,0)),0)</f>
        <v>0</v>
      </c>
      <c r="R955" s="7">
        <f>IF($H955&gt;K955,MIN($H955-K955,L955-K955)*INDEX('2018_commission_structure'!$A$11:$I$14,MATCH(Calculations!$E955,'2018_commission_structure'!$A$11:$A$14,0), MATCH(Calculations!R$1,'2018_commission_structure'!$A$11:$I$11,0)),0)</f>
        <v>0</v>
      </c>
      <c r="S955" s="7">
        <f>IF(H955&gt;L955,(H955-L955)*INDEX('2018_commission_structure'!$A$11:$I$14,MATCH(Calculations!$E955,'2018_commission_structure'!$A$11:$A$14,0),MATCH(Calculations!S$1,'2018_commission_structure'!$A$11:$I$11,0)),0)</f>
        <v>0</v>
      </c>
      <c r="T955" s="7">
        <f t="shared" si="131"/>
        <v>56965.61</v>
      </c>
      <c r="U955" s="7">
        <f t="shared" si="132"/>
        <v>136467.60999999999</v>
      </c>
      <c r="V955" s="7">
        <f>MIN(H955,I955)*INDEX('2018_commission_structure'!$A$5:$J$8,MATCH(Calculations!$E955,'2018_commission_structure'!$A$5:$A$8,0),MATCH(Calculations!V$1,'2018_commission_structure'!$A$5:$J$5,0))</f>
        <v>65729.55</v>
      </c>
      <c r="W955" s="2">
        <f>IF($H955&gt;I955,MIN($H955-I955,J955-I955)*INDEX('2018_commission_structure'!$A$5:$J$8,MATCH(Calculations!$E955,'2018_commission_structure'!$A$5:$A$8,0),MATCH(Calculations!W$1,'2018_commission_structure'!$A$5:$J$5,0)),0)</f>
        <v>0</v>
      </c>
      <c r="X955" s="2">
        <f>IF($H955&gt;J955,MIN($H955-J955,K955-J955)*INDEX('2018_commission_structure'!$A$5:$J$8,MATCH(Calculations!$E955,'2018_commission_structure'!$A$5:$A$8,0),MATCH(Calculations!X$1,'2018_commission_structure'!$A$5:$J$5,0)),0)</f>
        <v>0</v>
      </c>
      <c r="Y955" s="2">
        <f>IF($H955&gt;K955,MIN($H955-K955,L955-K955)*INDEX('2018_commission_structure'!$A$5:$J$8,MATCH(Calculations!$E955,'2018_commission_structure'!$A$5:$A$8,0),MATCH(Calculations!Y$1,'2018_commission_structure'!$A$5:$J$5,0)),0)</f>
        <v>0</v>
      </c>
      <c r="Z955" s="2">
        <f xml:space="preserve"> IF(H955&gt;L955,(H955-L955)*INDEX('2018_commission_structure'!$A$11:$I$14,MATCH(Calculations!$E955,'2018_commission_structure'!$A$11:$A$14,0),MATCH(Calculations!Z$1,'2018_commission_structure'!$A$11:$I$11,0)),0)</f>
        <v>0</v>
      </c>
      <c r="AA955" s="7">
        <f t="shared" si="133"/>
        <v>65729.55</v>
      </c>
      <c r="AB955" s="7">
        <f t="shared" si="134"/>
        <v>145231.54999999999</v>
      </c>
    </row>
    <row r="956" spans="1:28" x14ac:dyDescent="0.25">
      <c r="A956">
        <v>4401069773</v>
      </c>
      <c r="B956" t="s">
        <v>325</v>
      </c>
      <c r="C956" t="s">
        <v>465</v>
      </c>
      <c r="D956" t="str">
        <f>B956&amp;" "&amp;C956</f>
        <v>Gennifer Waple</v>
      </c>
      <c r="E956" t="s">
        <v>29</v>
      </c>
      <c r="F956">
        <v>63754</v>
      </c>
      <c r="G956">
        <f>COUNTIF(deals_closed!D:D,Calculations!A956)</f>
        <v>21</v>
      </c>
      <c r="H956" s="2">
        <f>SUMIF(deals_closed!D:D,Calculations!A956,deals_closed!C:C)</f>
        <v>702109</v>
      </c>
      <c r="I956" s="2">
        <f>VLOOKUP(E956,'2018_commission_structure'!$A$11:$I$14,9,FALSE)</f>
        <v>600000</v>
      </c>
      <c r="J956" s="2">
        <f t="shared" si="126"/>
        <v>750000</v>
      </c>
      <c r="K956" s="2">
        <f t="shared" si="127"/>
        <v>900000</v>
      </c>
      <c r="L956" s="2">
        <f t="shared" si="128"/>
        <v>1200000</v>
      </c>
      <c r="M956" s="6">
        <f t="shared" si="129"/>
        <v>1.1701816666666667</v>
      </c>
      <c r="N956" t="str">
        <f t="shared" si="130"/>
        <v>100-125%</v>
      </c>
      <c r="O956" s="7">
        <f>MIN(I956,H956)*INDEX('2018_commission_structure'!$A$11:$I$14,MATCH(Calculations!$E956,'2018_commission_structure'!$A$11:$A$14,0),MATCH(Calculations!O$1,'2018_commission_structure'!$A$11:$I$11,0))</f>
        <v>78000</v>
      </c>
      <c r="P956" s="7">
        <f>IF($H956&gt;I956,MIN($H956-I956,J956-I956)*INDEX('2018_commission_structure'!$A$11:$I$14,MATCH(Calculations!$E956,'2018_commission_structure'!$A$11:$A$14,0), MATCH(Calculations!P$1,'2018_commission_structure'!$A$11:$I$11,0)),0)</f>
        <v>17358.530000000002</v>
      </c>
      <c r="Q956" s="7">
        <f>IF($H956&gt;J956,MIN($H956-J956,K956-J956)*INDEX('2018_commission_structure'!$A$11:$I$14,MATCH(Calculations!$E956,'2018_commission_structure'!$A$11:$A$14,0), MATCH(Calculations!Q$1,'2018_commission_structure'!$A$11:$I$11,0)),0)</f>
        <v>0</v>
      </c>
      <c r="R956" s="7">
        <f>IF($H956&gt;K956,MIN($H956-K956,L956-K956)*INDEX('2018_commission_structure'!$A$11:$I$14,MATCH(Calculations!$E956,'2018_commission_structure'!$A$11:$A$14,0), MATCH(Calculations!R$1,'2018_commission_structure'!$A$11:$I$11,0)),0)</f>
        <v>0</v>
      </c>
      <c r="S956" s="7">
        <f>IF(H956&gt;L956,(H956-L956)*INDEX('2018_commission_structure'!$A$11:$I$14,MATCH(Calculations!$E956,'2018_commission_structure'!$A$11:$A$14,0),MATCH(Calculations!S$1,'2018_commission_structure'!$A$11:$I$11,0)),0)</f>
        <v>0</v>
      </c>
      <c r="T956" s="7">
        <f t="shared" si="131"/>
        <v>95358.53</v>
      </c>
      <c r="U956" s="7">
        <f t="shared" si="132"/>
        <v>159112.53</v>
      </c>
      <c r="V956" s="7">
        <f>MIN(H956,I956)*INDEX('2018_commission_structure'!$A$5:$J$8,MATCH(Calculations!$E956,'2018_commission_structure'!$A$5:$A$8,0),MATCH(Calculations!V$1,'2018_commission_structure'!$A$5:$J$5,0))</f>
        <v>90000</v>
      </c>
      <c r="W956" s="2">
        <f>IF($H956&gt;I956,MIN($H956-I956,J956-I956)*INDEX('2018_commission_structure'!$A$5:$J$8,MATCH(Calculations!$E956,'2018_commission_structure'!$A$5:$A$8,0),MATCH(Calculations!W$1,'2018_commission_structure'!$A$5:$J$5,0)),0)</f>
        <v>18379.62</v>
      </c>
      <c r="X956" s="2">
        <f>IF($H956&gt;J956,MIN($H956-J956,K956-J956)*INDEX('2018_commission_structure'!$A$5:$J$8,MATCH(Calculations!$E956,'2018_commission_structure'!$A$5:$A$8,0),MATCH(Calculations!X$1,'2018_commission_structure'!$A$5:$J$5,0)),0)</f>
        <v>0</v>
      </c>
      <c r="Y956" s="2">
        <f>IF($H956&gt;K956,MIN($H956-K956,L956-K956)*INDEX('2018_commission_structure'!$A$5:$J$8,MATCH(Calculations!$E956,'2018_commission_structure'!$A$5:$A$8,0),MATCH(Calculations!Y$1,'2018_commission_structure'!$A$5:$J$5,0)),0)</f>
        <v>0</v>
      </c>
      <c r="Z956" s="2">
        <f xml:space="preserve"> IF(H956&gt;L956,(H956-L956)*INDEX('2018_commission_structure'!$A$11:$I$14,MATCH(Calculations!$E956,'2018_commission_structure'!$A$11:$A$14,0),MATCH(Calculations!Z$1,'2018_commission_structure'!$A$11:$I$11,0)),0)</f>
        <v>0</v>
      </c>
      <c r="AA956" s="7">
        <f t="shared" si="133"/>
        <v>108379.62</v>
      </c>
      <c r="AB956" s="7">
        <f t="shared" si="134"/>
        <v>172133.62</v>
      </c>
    </row>
    <row r="957" spans="1:28" x14ac:dyDescent="0.25">
      <c r="A957">
        <v>4984363320</v>
      </c>
      <c r="B957" t="s">
        <v>777</v>
      </c>
      <c r="C957" t="s">
        <v>778</v>
      </c>
      <c r="D957" t="str">
        <f>B957&amp;" "&amp;C957</f>
        <v>Jessa Wasbrough</v>
      </c>
      <c r="E957" t="s">
        <v>7</v>
      </c>
      <c r="F957">
        <v>52312</v>
      </c>
      <c r="G957">
        <f>COUNTIF(deals_closed!D:D,Calculations!A957)</f>
        <v>18</v>
      </c>
      <c r="H957" s="2">
        <f>SUMIF(deals_closed!D:D,Calculations!A957,deals_closed!C:C)</f>
        <v>631490</v>
      </c>
      <c r="I957" s="2">
        <f>VLOOKUP(E957,'2018_commission_structure'!$A$11:$I$14,9,FALSE)</f>
        <v>500000</v>
      </c>
      <c r="J957" s="2">
        <f t="shared" si="126"/>
        <v>625000</v>
      </c>
      <c r="K957" s="2">
        <f t="shared" si="127"/>
        <v>750000</v>
      </c>
      <c r="L957" s="2">
        <f t="shared" si="128"/>
        <v>1000000</v>
      </c>
      <c r="M957" s="6">
        <f t="shared" si="129"/>
        <v>1.26298</v>
      </c>
      <c r="N957" t="str">
        <f t="shared" si="130"/>
        <v>125-150%</v>
      </c>
      <c r="O957" s="7">
        <f>MIN(I957,H957)*INDEX('2018_commission_structure'!$A$11:$I$14,MATCH(Calculations!$E957,'2018_commission_structure'!$A$11:$A$14,0),MATCH(Calculations!O$1,'2018_commission_structure'!$A$11:$I$11,0))</f>
        <v>50000</v>
      </c>
      <c r="P957" s="7">
        <f>IF($H957&gt;I957,MIN($H957-I957,J957-I957)*INDEX('2018_commission_structure'!$A$11:$I$14,MATCH(Calculations!$E957,'2018_commission_structure'!$A$11:$A$14,0), MATCH(Calculations!P$1,'2018_commission_structure'!$A$11:$I$11,0)),0)</f>
        <v>18750</v>
      </c>
      <c r="Q957" s="7">
        <f>IF($H957&gt;J957,MIN($H957-J957,K957-J957)*INDEX('2018_commission_structure'!$A$11:$I$14,MATCH(Calculations!$E957,'2018_commission_structure'!$A$11:$A$14,0), MATCH(Calculations!Q$1,'2018_commission_structure'!$A$11:$I$11,0)),0)</f>
        <v>1168.2</v>
      </c>
      <c r="R957" s="7">
        <f>IF($H957&gt;K957,MIN($H957-K957,L957-K957)*INDEX('2018_commission_structure'!$A$11:$I$14,MATCH(Calculations!$E957,'2018_commission_structure'!$A$11:$A$14,0), MATCH(Calculations!R$1,'2018_commission_structure'!$A$11:$I$11,0)),0)</f>
        <v>0</v>
      </c>
      <c r="S957" s="7">
        <f>IF(H957&gt;L957,(H957-L957)*INDEX('2018_commission_structure'!$A$11:$I$14,MATCH(Calculations!$E957,'2018_commission_structure'!$A$11:$A$14,0),MATCH(Calculations!S$1,'2018_commission_structure'!$A$11:$I$11,0)),0)</f>
        <v>0</v>
      </c>
      <c r="T957" s="7">
        <f t="shared" si="131"/>
        <v>69918.2</v>
      </c>
      <c r="U957" s="7">
        <f t="shared" si="132"/>
        <v>122230.2</v>
      </c>
      <c r="V957" s="7">
        <f>MIN(H957,I957)*INDEX('2018_commission_structure'!$A$5:$J$8,MATCH(Calculations!$E957,'2018_commission_structure'!$A$5:$A$8,0),MATCH(Calculations!V$1,'2018_commission_structure'!$A$5:$J$5,0))</f>
        <v>60000</v>
      </c>
      <c r="W957" s="2">
        <f>IF($H957&gt;I957,MIN($H957-I957,J957-I957)*INDEX('2018_commission_structure'!$A$5:$J$8,MATCH(Calculations!$E957,'2018_commission_structure'!$A$5:$A$8,0),MATCH(Calculations!W$1,'2018_commission_structure'!$A$5:$J$5,0)),0)</f>
        <v>21250</v>
      </c>
      <c r="X957" s="2">
        <f>IF($H957&gt;J957,MIN($H957-J957,K957-J957)*INDEX('2018_commission_structure'!$A$5:$J$8,MATCH(Calculations!$E957,'2018_commission_structure'!$A$5:$A$8,0),MATCH(Calculations!X$1,'2018_commission_structure'!$A$5:$J$5,0)),0)</f>
        <v>1298</v>
      </c>
      <c r="Y957" s="2">
        <f>IF($H957&gt;K957,MIN($H957-K957,L957-K957)*INDEX('2018_commission_structure'!$A$5:$J$8,MATCH(Calculations!$E957,'2018_commission_structure'!$A$5:$A$8,0),MATCH(Calculations!Y$1,'2018_commission_structure'!$A$5:$J$5,0)),0)</f>
        <v>0</v>
      </c>
      <c r="Z957" s="2">
        <f xml:space="preserve"> IF(H957&gt;L957,(H957-L957)*INDEX('2018_commission_structure'!$A$11:$I$14,MATCH(Calculations!$E957,'2018_commission_structure'!$A$11:$A$14,0),MATCH(Calculations!Z$1,'2018_commission_structure'!$A$11:$I$11,0)),0)</f>
        <v>0</v>
      </c>
      <c r="AA957" s="7">
        <f t="shared" si="133"/>
        <v>82548</v>
      </c>
      <c r="AB957" s="7">
        <f t="shared" si="134"/>
        <v>134860</v>
      </c>
    </row>
    <row r="958" spans="1:28" x14ac:dyDescent="0.25">
      <c r="A958">
        <v>2547511673</v>
      </c>
      <c r="B958" t="s">
        <v>135</v>
      </c>
      <c r="C958" t="s">
        <v>136</v>
      </c>
      <c r="D958" t="str">
        <f>B958&amp;" "&amp;C958</f>
        <v>Beatrice Watkin</v>
      </c>
      <c r="E958" t="s">
        <v>29</v>
      </c>
      <c r="F958">
        <v>71416</v>
      </c>
      <c r="G958">
        <f>COUNTIF(deals_closed!D:D,Calculations!A958)</f>
        <v>14</v>
      </c>
      <c r="H958" s="2">
        <f>SUMIF(deals_closed!D:D,Calculations!A958,deals_closed!C:C)</f>
        <v>492390</v>
      </c>
      <c r="I958" s="2">
        <f>VLOOKUP(E958,'2018_commission_structure'!$A$11:$I$14,9,FALSE)</f>
        <v>600000</v>
      </c>
      <c r="J958" s="2">
        <f t="shared" si="126"/>
        <v>750000</v>
      </c>
      <c r="K958" s="2">
        <f t="shared" si="127"/>
        <v>900000</v>
      </c>
      <c r="L958" s="2">
        <f t="shared" si="128"/>
        <v>1200000</v>
      </c>
      <c r="M958" s="6">
        <f t="shared" si="129"/>
        <v>0.82064999999999999</v>
      </c>
      <c r="N958" t="str">
        <f t="shared" si="130"/>
        <v>0-100%</v>
      </c>
      <c r="O958" s="7">
        <f>MIN(I958,H958)*INDEX('2018_commission_structure'!$A$11:$I$14,MATCH(Calculations!$E958,'2018_commission_structure'!$A$11:$A$14,0),MATCH(Calculations!O$1,'2018_commission_structure'!$A$11:$I$11,0))</f>
        <v>64010.700000000004</v>
      </c>
      <c r="P958" s="7">
        <f>IF($H958&gt;I958,MIN($H958-I958,J958-I958)*INDEX('2018_commission_structure'!$A$11:$I$14,MATCH(Calculations!$E958,'2018_commission_structure'!$A$11:$A$14,0), MATCH(Calculations!P$1,'2018_commission_structure'!$A$11:$I$11,0)),0)</f>
        <v>0</v>
      </c>
      <c r="Q958" s="7">
        <f>IF($H958&gt;J958,MIN($H958-J958,K958-J958)*INDEX('2018_commission_structure'!$A$11:$I$14,MATCH(Calculations!$E958,'2018_commission_structure'!$A$11:$A$14,0), MATCH(Calculations!Q$1,'2018_commission_structure'!$A$11:$I$11,0)),0)</f>
        <v>0</v>
      </c>
      <c r="R958" s="7">
        <f>IF($H958&gt;K958,MIN($H958-K958,L958-K958)*INDEX('2018_commission_structure'!$A$11:$I$14,MATCH(Calculations!$E958,'2018_commission_structure'!$A$11:$A$14,0), MATCH(Calculations!R$1,'2018_commission_structure'!$A$11:$I$11,0)),0)</f>
        <v>0</v>
      </c>
      <c r="S958" s="7">
        <f>IF(H958&gt;L958,(H958-L958)*INDEX('2018_commission_structure'!$A$11:$I$14,MATCH(Calculations!$E958,'2018_commission_structure'!$A$11:$A$14,0),MATCH(Calculations!S$1,'2018_commission_structure'!$A$11:$I$11,0)),0)</f>
        <v>0</v>
      </c>
      <c r="T958" s="7">
        <f t="shared" si="131"/>
        <v>64010.700000000004</v>
      </c>
      <c r="U958" s="7">
        <f t="shared" si="132"/>
        <v>135426.70000000001</v>
      </c>
      <c r="V958" s="7">
        <f>MIN(H958,I958)*INDEX('2018_commission_structure'!$A$5:$J$8,MATCH(Calculations!$E958,'2018_commission_structure'!$A$5:$A$8,0),MATCH(Calculations!V$1,'2018_commission_structure'!$A$5:$J$5,0))</f>
        <v>73858.5</v>
      </c>
      <c r="W958" s="2">
        <f>IF($H958&gt;I958,MIN($H958-I958,J958-I958)*INDEX('2018_commission_structure'!$A$5:$J$8,MATCH(Calculations!$E958,'2018_commission_structure'!$A$5:$A$8,0),MATCH(Calculations!W$1,'2018_commission_structure'!$A$5:$J$5,0)),0)</f>
        <v>0</v>
      </c>
      <c r="X958" s="2">
        <f>IF($H958&gt;J958,MIN($H958-J958,K958-J958)*INDEX('2018_commission_structure'!$A$5:$J$8,MATCH(Calculations!$E958,'2018_commission_structure'!$A$5:$A$8,0),MATCH(Calculations!X$1,'2018_commission_structure'!$A$5:$J$5,0)),0)</f>
        <v>0</v>
      </c>
      <c r="Y958" s="2">
        <f>IF($H958&gt;K958,MIN($H958-K958,L958-K958)*INDEX('2018_commission_structure'!$A$5:$J$8,MATCH(Calculations!$E958,'2018_commission_structure'!$A$5:$A$8,0),MATCH(Calculations!Y$1,'2018_commission_structure'!$A$5:$J$5,0)),0)</f>
        <v>0</v>
      </c>
      <c r="Z958" s="2">
        <f xml:space="preserve"> IF(H958&gt;L958,(H958-L958)*INDEX('2018_commission_structure'!$A$11:$I$14,MATCH(Calculations!$E958,'2018_commission_structure'!$A$11:$A$14,0),MATCH(Calculations!Z$1,'2018_commission_structure'!$A$11:$I$11,0)),0)</f>
        <v>0</v>
      </c>
      <c r="AA958" s="7">
        <f t="shared" si="133"/>
        <v>73858.5</v>
      </c>
      <c r="AB958" s="7">
        <f t="shared" si="134"/>
        <v>145274.5</v>
      </c>
    </row>
    <row r="959" spans="1:28" x14ac:dyDescent="0.25">
      <c r="A959">
        <v>5552170407</v>
      </c>
      <c r="B959" t="s">
        <v>1425</v>
      </c>
      <c r="C959" t="s">
        <v>1426</v>
      </c>
      <c r="D959" t="str">
        <f>B959&amp;" "&amp;C959</f>
        <v>Lancelot Watmough</v>
      </c>
      <c r="E959" t="s">
        <v>29</v>
      </c>
      <c r="F959">
        <v>77030</v>
      </c>
      <c r="G959">
        <f>COUNTIF(deals_closed!D:D,Calculations!A959)</f>
        <v>16</v>
      </c>
      <c r="H959" s="2">
        <f>SUMIF(deals_closed!D:D,Calculations!A959,deals_closed!C:C)</f>
        <v>612398</v>
      </c>
      <c r="I959" s="2">
        <f>VLOOKUP(E959,'2018_commission_structure'!$A$11:$I$14,9,FALSE)</f>
        <v>600000</v>
      </c>
      <c r="J959" s="2">
        <f t="shared" si="126"/>
        <v>750000</v>
      </c>
      <c r="K959" s="2">
        <f t="shared" si="127"/>
        <v>900000</v>
      </c>
      <c r="L959" s="2">
        <f t="shared" si="128"/>
        <v>1200000</v>
      </c>
      <c r="M959" s="6">
        <f t="shared" si="129"/>
        <v>1.0206633333333333</v>
      </c>
      <c r="N959" t="str">
        <f t="shared" si="130"/>
        <v>100-125%</v>
      </c>
      <c r="O959" s="7">
        <f>MIN(I959,H959)*INDEX('2018_commission_structure'!$A$11:$I$14,MATCH(Calculations!$E959,'2018_commission_structure'!$A$11:$A$14,0),MATCH(Calculations!O$1,'2018_commission_structure'!$A$11:$I$11,0))</f>
        <v>78000</v>
      </c>
      <c r="P959" s="7">
        <f>IF($H959&gt;I959,MIN($H959-I959,J959-I959)*INDEX('2018_commission_structure'!$A$11:$I$14,MATCH(Calculations!$E959,'2018_commission_structure'!$A$11:$A$14,0), MATCH(Calculations!P$1,'2018_commission_structure'!$A$11:$I$11,0)),0)</f>
        <v>2107.6600000000003</v>
      </c>
      <c r="Q959" s="7">
        <f>IF($H959&gt;J959,MIN($H959-J959,K959-J959)*INDEX('2018_commission_structure'!$A$11:$I$14,MATCH(Calculations!$E959,'2018_commission_structure'!$A$11:$A$14,0), MATCH(Calculations!Q$1,'2018_commission_structure'!$A$11:$I$11,0)),0)</f>
        <v>0</v>
      </c>
      <c r="R959" s="7">
        <f>IF($H959&gt;K959,MIN($H959-K959,L959-K959)*INDEX('2018_commission_structure'!$A$11:$I$14,MATCH(Calculations!$E959,'2018_commission_structure'!$A$11:$A$14,0), MATCH(Calculations!R$1,'2018_commission_structure'!$A$11:$I$11,0)),0)</f>
        <v>0</v>
      </c>
      <c r="S959" s="7">
        <f>IF(H959&gt;L959,(H959-L959)*INDEX('2018_commission_structure'!$A$11:$I$14,MATCH(Calculations!$E959,'2018_commission_structure'!$A$11:$A$14,0),MATCH(Calculations!S$1,'2018_commission_structure'!$A$11:$I$11,0)),0)</f>
        <v>0</v>
      </c>
      <c r="T959" s="7">
        <f t="shared" si="131"/>
        <v>80107.66</v>
      </c>
      <c r="U959" s="7">
        <f t="shared" si="132"/>
        <v>157137.66</v>
      </c>
      <c r="V959" s="7">
        <f>MIN(H959,I959)*INDEX('2018_commission_structure'!$A$5:$J$8,MATCH(Calculations!$E959,'2018_commission_structure'!$A$5:$A$8,0),MATCH(Calculations!V$1,'2018_commission_structure'!$A$5:$J$5,0))</f>
        <v>90000</v>
      </c>
      <c r="W959" s="2">
        <f>IF($H959&gt;I959,MIN($H959-I959,J959-I959)*INDEX('2018_commission_structure'!$A$5:$J$8,MATCH(Calculations!$E959,'2018_commission_structure'!$A$5:$A$8,0),MATCH(Calculations!W$1,'2018_commission_structure'!$A$5:$J$5,0)),0)</f>
        <v>2231.64</v>
      </c>
      <c r="X959" s="2">
        <f>IF($H959&gt;J959,MIN($H959-J959,K959-J959)*INDEX('2018_commission_structure'!$A$5:$J$8,MATCH(Calculations!$E959,'2018_commission_structure'!$A$5:$A$8,0),MATCH(Calculations!X$1,'2018_commission_structure'!$A$5:$J$5,0)),0)</f>
        <v>0</v>
      </c>
      <c r="Y959" s="2">
        <f>IF($H959&gt;K959,MIN($H959-K959,L959-K959)*INDEX('2018_commission_structure'!$A$5:$J$8,MATCH(Calculations!$E959,'2018_commission_structure'!$A$5:$A$8,0),MATCH(Calculations!Y$1,'2018_commission_structure'!$A$5:$J$5,0)),0)</f>
        <v>0</v>
      </c>
      <c r="Z959" s="2">
        <f xml:space="preserve"> IF(H959&gt;L959,(H959-L959)*INDEX('2018_commission_structure'!$A$11:$I$14,MATCH(Calculations!$E959,'2018_commission_structure'!$A$11:$A$14,0),MATCH(Calculations!Z$1,'2018_commission_structure'!$A$11:$I$11,0)),0)</f>
        <v>0</v>
      </c>
      <c r="AA959" s="7">
        <f t="shared" si="133"/>
        <v>92231.64</v>
      </c>
      <c r="AB959" s="7">
        <f t="shared" si="134"/>
        <v>169261.64</v>
      </c>
    </row>
    <row r="960" spans="1:28" x14ac:dyDescent="0.25">
      <c r="A960">
        <v>9726644925</v>
      </c>
      <c r="B960" t="s">
        <v>986</v>
      </c>
      <c r="C960" t="s">
        <v>987</v>
      </c>
      <c r="D960" t="str">
        <f>B960&amp;" "&amp;C960</f>
        <v>Adaline Waud</v>
      </c>
      <c r="E960" t="s">
        <v>7</v>
      </c>
      <c r="F960">
        <v>51437</v>
      </c>
      <c r="G960">
        <f>COUNTIF(deals_closed!D:D,Calculations!A960)</f>
        <v>12</v>
      </c>
      <c r="H960" s="2">
        <f>SUMIF(deals_closed!D:D,Calculations!A960,deals_closed!C:C)</f>
        <v>358744</v>
      </c>
      <c r="I960" s="2">
        <f>VLOOKUP(E960,'2018_commission_structure'!$A$11:$I$14,9,FALSE)</f>
        <v>500000</v>
      </c>
      <c r="J960" s="2">
        <f t="shared" si="126"/>
        <v>625000</v>
      </c>
      <c r="K960" s="2">
        <f t="shared" si="127"/>
        <v>750000</v>
      </c>
      <c r="L960" s="2">
        <f t="shared" si="128"/>
        <v>1000000</v>
      </c>
      <c r="M960" s="6">
        <f t="shared" si="129"/>
        <v>0.71748800000000001</v>
      </c>
      <c r="N960" t="str">
        <f t="shared" si="130"/>
        <v>0-100%</v>
      </c>
      <c r="O960" s="7">
        <f>MIN(I960,H960)*INDEX('2018_commission_structure'!$A$11:$I$14,MATCH(Calculations!$E960,'2018_commission_structure'!$A$11:$A$14,0),MATCH(Calculations!O$1,'2018_commission_structure'!$A$11:$I$11,0))</f>
        <v>35874.400000000001</v>
      </c>
      <c r="P960" s="7">
        <f>IF($H960&gt;I960,MIN($H960-I960,J960-I960)*INDEX('2018_commission_structure'!$A$11:$I$14,MATCH(Calculations!$E960,'2018_commission_structure'!$A$11:$A$14,0), MATCH(Calculations!P$1,'2018_commission_structure'!$A$11:$I$11,0)),0)</f>
        <v>0</v>
      </c>
      <c r="Q960" s="7">
        <f>IF($H960&gt;J960,MIN($H960-J960,K960-J960)*INDEX('2018_commission_structure'!$A$11:$I$14,MATCH(Calculations!$E960,'2018_commission_structure'!$A$11:$A$14,0), MATCH(Calculations!Q$1,'2018_commission_structure'!$A$11:$I$11,0)),0)</f>
        <v>0</v>
      </c>
      <c r="R960" s="7">
        <f>IF($H960&gt;K960,MIN($H960-K960,L960-K960)*INDEX('2018_commission_structure'!$A$11:$I$14,MATCH(Calculations!$E960,'2018_commission_structure'!$A$11:$A$14,0), MATCH(Calculations!R$1,'2018_commission_structure'!$A$11:$I$11,0)),0)</f>
        <v>0</v>
      </c>
      <c r="S960" s="7">
        <f>IF(H960&gt;L960,(H960-L960)*INDEX('2018_commission_structure'!$A$11:$I$14,MATCH(Calculations!$E960,'2018_commission_structure'!$A$11:$A$14,0),MATCH(Calculations!S$1,'2018_commission_structure'!$A$11:$I$11,0)),0)</f>
        <v>0</v>
      </c>
      <c r="T960" s="7">
        <f t="shared" si="131"/>
        <v>35874.400000000001</v>
      </c>
      <c r="U960" s="7">
        <f t="shared" si="132"/>
        <v>87311.4</v>
      </c>
      <c r="V960" s="7">
        <f>MIN(H960,I960)*INDEX('2018_commission_structure'!$A$5:$J$8,MATCH(Calculations!$E960,'2018_commission_structure'!$A$5:$A$8,0),MATCH(Calculations!V$1,'2018_commission_structure'!$A$5:$J$5,0))</f>
        <v>43049.279999999999</v>
      </c>
      <c r="W960" s="2">
        <f>IF($H960&gt;I960,MIN($H960-I960,J960-I960)*INDEX('2018_commission_structure'!$A$5:$J$8,MATCH(Calculations!$E960,'2018_commission_structure'!$A$5:$A$8,0),MATCH(Calculations!W$1,'2018_commission_structure'!$A$5:$J$5,0)),0)</f>
        <v>0</v>
      </c>
      <c r="X960" s="2">
        <f>IF($H960&gt;J960,MIN($H960-J960,K960-J960)*INDEX('2018_commission_structure'!$A$5:$J$8,MATCH(Calculations!$E960,'2018_commission_structure'!$A$5:$A$8,0),MATCH(Calculations!X$1,'2018_commission_structure'!$A$5:$J$5,0)),0)</f>
        <v>0</v>
      </c>
      <c r="Y960" s="2">
        <f>IF($H960&gt;K960,MIN($H960-K960,L960-K960)*INDEX('2018_commission_structure'!$A$5:$J$8,MATCH(Calculations!$E960,'2018_commission_structure'!$A$5:$A$8,0),MATCH(Calculations!Y$1,'2018_commission_structure'!$A$5:$J$5,0)),0)</f>
        <v>0</v>
      </c>
      <c r="Z960" s="2">
        <f xml:space="preserve"> IF(H960&gt;L960,(H960-L960)*INDEX('2018_commission_structure'!$A$11:$I$14,MATCH(Calculations!$E960,'2018_commission_structure'!$A$11:$A$14,0),MATCH(Calculations!Z$1,'2018_commission_structure'!$A$11:$I$11,0)),0)</f>
        <v>0</v>
      </c>
      <c r="AA960" s="7">
        <f t="shared" si="133"/>
        <v>43049.279999999999</v>
      </c>
      <c r="AB960" s="7">
        <f t="shared" si="134"/>
        <v>94486.28</v>
      </c>
    </row>
    <row r="961" spans="1:28" x14ac:dyDescent="0.25">
      <c r="A961">
        <v>2657442315</v>
      </c>
      <c r="B961" t="s">
        <v>576</v>
      </c>
      <c r="C961" t="s">
        <v>577</v>
      </c>
      <c r="D961" t="str">
        <f>B961&amp;" "&amp;C961</f>
        <v>Kevin Wayvill</v>
      </c>
      <c r="E961" t="s">
        <v>29</v>
      </c>
      <c r="F961">
        <v>58319</v>
      </c>
      <c r="G961">
        <f>COUNTIF(deals_closed!D:D,Calculations!A961)</f>
        <v>15</v>
      </c>
      <c r="H961" s="2">
        <f>SUMIF(deals_closed!D:D,Calculations!A961,deals_closed!C:C)</f>
        <v>560614</v>
      </c>
      <c r="I961" s="2">
        <f>VLOOKUP(E961,'2018_commission_structure'!$A$11:$I$14,9,FALSE)</f>
        <v>600000</v>
      </c>
      <c r="J961" s="2">
        <f t="shared" si="126"/>
        <v>750000</v>
      </c>
      <c r="K961" s="2">
        <f t="shared" si="127"/>
        <v>900000</v>
      </c>
      <c r="L961" s="2">
        <f t="shared" si="128"/>
        <v>1200000</v>
      </c>
      <c r="M961" s="6">
        <f t="shared" si="129"/>
        <v>0.93435666666666661</v>
      </c>
      <c r="N961" t="str">
        <f t="shared" si="130"/>
        <v>0-100%</v>
      </c>
      <c r="O961" s="7">
        <f>MIN(I961,H961)*INDEX('2018_commission_structure'!$A$11:$I$14,MATCH(Calculations!$E961,'2018_commission_structure'!$A$11:$A$14,0),MATCH(Calculations!O$1,'2018_commission_structure'!$A$11:$I$11,0))</f>
        <v>72879.820000000007</v>
      </c>
      <c r="P961" s="7">
        <f>IF($H961&gt;I961,MIN($H961-I961,J961-I961)*INDEX('2018_commission_structure'!$A$11:$I$14,MATCH(Calculations!$E961,'2018_commission_structure'!$A$11:$A$14,0), MATCH(Calculations!P$1,'2018_commission_structure'!$A$11:$I$11,0)),0)</f>
        <v>0</v>
      </c>
      <c r="Q961" s="7">
        <f>IF($H961&gt;J961,MIN($H961-J961,K961-J961)*INDEX('2018_commission_structure'!$A$11:$I$14,MATCH(Calculations!$E961,'2018_commission_structure'!$A$11:$A$14,0), MATCH(Calculations!Q$1,'2018_commission_structure'!$A$11:$I$11,0)),0)</f>
        <v>0</v>
      </c>
      <c r="R961" s="7">
        <f>IF($H961&gt;K961,MIN($H961-K961,L961-K961)*INDEX('2018_commission_structure'!$A$11:$I$14,MATCH(Calculations!$E961,'2018_commission_structure'!$A$11:$A$14,0), MATCH(Calculations!R$1,'2018_commission_structure'!$A$11:$I$11,0)),0)</f>
        <v>0</v>
      </c>
      <c r="S961" s="7">
        <f>IF(H961&gt;L961,(H961-L961)*INDEX('2018_commission_structure'!$A$11:$I$14,MATCH(Calculations!$E961,'2018_commission_structure'!$A$11:$A$14,0),MATCH(Calculations!S$1,'2018_commission_structure'!$A$11:$I$11,0)),0)</f>
        <v>0</v>
      </c>
      <c r="T961" s="7">
        <f t="shared" si="131"/>
        <v>72879.820000000007</v>
      </c>
      <c r="U961" s="7">
        <f t="shared" si="132"/>
        <v>131198.82</v>
      </c>
      <c r="V961" s="7">
        <f>MIN(H961,I961)*INDEX('2018_commission_structure'!$A$5:$J$8,MATCH(Calculations!$E961,'2018_commission_structure'!$A$5:$A$8,0),MATCH(Calculations!V$1,'2018_commission_structure'!$A$5:$J$5,0))</f>
        <v>84092.099999999991</v>
      </c>
      <c r="W961" s="2">
        <f>IF($H961&gt;I961,MIN($H961-I961,J961-I961)*INDEX('2018_commission_structure'!$A$5:$J$8,MATCH(Calculations!$E961,'2018_commission_structure'!$A$5:$A$8,0),MATCH(Calculations!W$1,'2018_commission_structure'!$A$5:$J$5,0)),0)</f>
        <v>0</v>
      </c>
      <c r="X961" s="2">
        <f>IF($H961&gt;J961,MIN($H961-J961,K961-J961)*INDEX('2018_commission_structure'!$A$5:$J$8,MATCH(Calculations!$E961,'2018_commission_structure'!$A$5:$A$8,0),MATCH(Calculations!X$1,'2018_commission_structure'!$A$5:$J$5,0)),0)</f>
        <v>0</v>
      </c>
      <c r="Y961" s="2">
        <f>IF($H961&gt;K961,MIN($H961-K961,L961-K961)*INDEX('2018_commission_structure'!$A$5:$J$8,MATCH(Calculations!$E961,'2018_commission_structure'!$A$5:$A$8,0),MATCH(Calculations!Y$1,'2018_commission_structure'!$A$5:$J$5,0)),0)</f>
        <v>0</v>
      </c>
      <c r="Z961" s="2">
        <f xml:space="preserve"> IF(H961&gt;L961,(H961-L961)*INDEX('2018_commission_structure'!$A$11:$I$14,MATCH(Calculations!$E961,'2018_commission_structure'!$A$11:$A$14,0),MATCH(Calculations!Z$1,'2018_commission_structure'!$A$11:$I$11,0)),0)</f>
        <v>0</v>
      </c>
      <c r="AA961" s="7">
        <f t="shared" si="133"/>
        <v>84092.099999999991</v>
      </c>
      <c r="AB961" s="7">
        <f t="shared" si="134"/>
        <v>142411.09999999998</v>
      </c>
    </row>
    <row r="962" spans="1:28" x14ac:dyDescent="0.25">
      <c r="A962">
        <v>556704134</v>
      </c>
      <c r="B962" t="s">
        <v>1730</v>
      </c>
      <c r="C962" t="s">
        <v>1731</v>
      </c>
      <c r="D962" t="str">
        <f>B962&amp;" "&amp;C962</f>
        <v>Deirdre Wem</v>
      </c>
      <c r="E962" t="s">
        <v>29</v>
      </c>
      <c r="F962">
        <v>71238</v>
      </c>
      <c r="G962">
        <f>COUNTIF(deals_closed!D:D,Calculations!A962)</f>
        <v>21</v>
      </c>
      <c r="H962" s="2">
        <f>SUMIF(deals_closed!D:D,Calculations!A962,deals_closed!C:C)</f>
        <v>713761</v>
      </c>
      <c r="I962" s="2">
        <f>VLOOKUP(E962,'2018_commission_structure'!$A$11:$I$14,9,FALSE)</f>
        <v>600000</v>
      </c>
      <c r="J962" s="2">
        <f t="shared" ref="J962:J1001" si="135">I962*1.25</f>
        <v>750000</v>
      </c>
      <c r="K962" s="2">
        <f t="shared" ref="K962:K1001" si="136">I962*1.5</f>
        <v>900000</v>
      </c>
      <c r="L962" s="2">
        <f t="shared" ref="L962:L1001" si="137">I962*2</f>
        <v>1200000</v>
      </c>
      <c r="M962" s="6">
        <f t="shared" ref="M962:M1001" si="138">H962/I962</f>
        <v>1.1896016666666667</v>
      </c>
      <c r="N962" t="str">
        <f t="shared" ref="N962:N1001" si="139">IF(M962&lt;=1, "0-100%", IF(M962&lt;=1.25, "100-125%", IF(M962&lt;=1.5, "125-150%", IF(M962&lt;=2, "150-200%", "&gt;200%"))))</f>
        <v>100-125%</v>
      </c>
      <c r="O962" s="7">
        <f>MIN(I962,H962)*INDEX('2018_commission_structure'!$A$11:$I$14,MATCH(Calculations!$E962,'2018_commission_structure'!$A$11:$A$14,0),MATCH(Calculations!O$1,'2018_commission_structure'!$A$11:$I$11,0))</f>
        <v>78000</v>
      </c>
      <c r="P962" s="7">
        <f>IF($H962&gt;I962,MIN($H962-I962,J962-I962)*INDEX('2018_commission_structure'!$A$11:$I$14,MATCH(Calculations!$E962,'2018_commission_structure'!$A$11:$A$14,0), MATCH(Calculations!P$1,'2018_commission_structure'!$A$11:$I$11,0)),0)</f>
        <v>19339.370000000003</v>
      </c>
      <c r="Q962" s="7">
        <f>IF($H962&gt;J962,MIN($H962-J962,K962-J962)*INDEX('2018_commission_structure'!$A$11:$I$14,MATCH(Calculations!$E962,'2018_commission_structure'!$A$11:$A$14,0), MATCH(Calculations!Q$1,'2018_commission_structure'!$A$11:$I$11,0)),0)</f>
        <v>0</v>
      </c>
      <c r="R962" s="7">
        <f>IF($H962&gt;K962,MIN($H962-K962,L962-K962)*INDEX('2018_commission_structure'!$A$11:$I$14,MATCH(Calculations!$E962,'2018_commission_structure'!$A$11:$A$14,0), MATCH(Calculations!R$1,'2018_commission_structure'!$A$11:$I$11,0)),0)</f>
        <v>0</v>
      </c>
      <c r="S962" s="7">
        <f>IF(H962&gt;L962,(H962-L962)*INDEX('2018_commission_structure'!$A$11:$I$14,MATCH(Calculations!$E962,'2018_commission_structure'!$A$11:$A$14,0),MATCH(Calculations!S$1,'2018_commission_structure'!$A$11:$I$11,0)),0)</f>
        <v>0</v>
      </c>
      <c r="T962" s="7">
        <f t="shared" ref="T962:T1001" si="140">SUM(O962:S962)</f>
        <v>97339.37</v>
      </c>
      <c r="U962" s="7">
        <f t="shared" ref="U962:U1001" si="141">T962+F962</f>
        <v>168577.37</v>
      </c>
      <c r="V962" s="7">
        <f>MIN(H962,I962)*INDEX('2018_commission_structure'!$A$5:$J$8,MATCH(Calculations!$E962,'2018_commission_structure'!$A$5:$A$8,0),MATCH(Calculations!V$1,'2018_commission_structure'!$A$5:$J$5,0))</f>
        <v>90000</v>
      </c>
      <c r="W962" s="2">
        <f>IF($H962&gt;I962,MIN($H962-I962,J962-I962)*INDEX('2018_commission_structure'!$A$5:$J$8,MATCH(Calculations!$E962,'2018_commission_structure'!$A$5:$A$8,0),MATCH(Calculations!W$1,'2018_commission_structure'!$A$5:$J$5,0)),0)</f>
        <v>20476.98</v>
      </c>
      <c r="X962" s="2">
        <f>IF($H962&gt;J962,MIN($H962-J962,K962-J962)*INDEX('2018_commission_structure'!$A$5:$J$8,MATCH(Calculations!$E962,'2018_commission_structure'!$A$5:$A$8,0),MATCH(Calculations!X$1,'2018_commission_structure'!$A$5:$J$5,0)),0)</f>
        <v>0</v>
      </c>
      <c r="Y962" s="2">
        <f>IF($H962&gt;K962,MIN($H962-K962,L962-K962)*INDEX('2018_commission_structure'!$A$5:$J$8,MATCH(Calculations!$E962,'2018_commission_structure'!$A$5:$A$8,0),MATCH(Calculations!Y$1,'2018_commission_structure'!$A$5:$J$5,0)),0)</f>
        <v>0</v>
      </c>
      <c r="Z962" s="2">
        <f xml:space="preserve"> IF(H962&gt;L962,(H962-L962)*INDEX('2018_commission_structure'!$A$11:$I$14,MATCH(Calculations!$E962,'2018_commission_structure'!$A$11:$A$14,0),MATCH(Calculations!Z$1,'2018_commission_structure'!$A$11:$I$11,0)),0)</f>
        <v>0</v>
      </c>
      <c r="AA962" s="7">
        <f t="shared" si="133"/>
        <v>110476.98</v>
      </c>
      <c r="AB962" s="7">
        <f t="shared" si="134"/>
        <v>181714.97999999998</v>
      </c>
    </row>
    <row r="963" spans="1:28" x14ac:dyDescent="0.25">
      <c r="A963">
        <v>797655034</v>
      </c>
      <c r="B963" t="s">
        <v>1447</v>
      </c>
      <c r="C963" t="s">
        <v>1448</v>
      </c>
      <c r="D963" t="str">
        <f>B963&amp;" "&amp;C963</f>
        <v>Andre Wemyss</v>
      </c>
      <c r="E963" t="s">
        <v>29</v>
      </c>
      <c r="F963">
        <v>65275</v>
      </c>
      <c r="G963">
        <f>COUNTIF(deals_closed!D:D,Calculations!A963)</f>
        <v>22</v>
      </c>
      <c r="H963" s="2">
        <f>SUMIF(deals_closed!D:D,Calculations!A963,deals_closed!C:C)</f>
        <v>787252</v>
      </c>
      <c r="I963" s="2">
        <f>VLOOKUP(E963,'2018_commission_structure'!$A$11:$I$14,9,FALSE)</f>
        <v>600000</v>
      </c>
      <c r="J963" s="2">
        <f t="shared" si="135"/>
        <v>750000</v>
      </c>
      <c r="K963" s="2">
        <f t="shared" si="136"/>
        <v>900000</v>
      </c>
      <c r="L963" s="2">
        <f t="shared" si="137"/>
        <v>1200000</v>
      </c>
      <c r="M963" s="6">
        <f t="shared" si="138"/>
        <v>1.3120866666666666</v>
      </c>
      <c r="N963" t="str">
        <f t="shared" si="139"/>
        <v>125-150%</v>
      </c>
      <c r="O963" s="7">
        <f>MIN(I963,H963)*INDEX('2018_commission_structure'!$A$11:$I$14,MATCH(Calculations!$E963,'2018_commission_structure'!$A$11:$A$14,0),MATCH(Calculations!O$1,'2018_commission_structure'!$A$11:$I$11,0))</f>
        <v>78000</v>
      </c>
      <c r="P963" s="7">
        <f>IF($H963&gt;I963,MIN($H963-I963,J963-I963)*INDEX('2018_commission_structure'!$A$11:$I$14,MATCH(Calculations!$E963,'2018_commission_structure'!$A$11:$A$14,0), MATCH(Calculations!P$1,'2018_commission_structure'!$A$11:$I$11,0)),0)</f>
        <v>25500.000000000004</v>
      </c>
      <c r="Q963" s="7">
        <f>IF($H963&gt;J963,MIN($H963-J963,K963-J963)*INDEX('2018_commission_structure'!$A$11:$I$14,MATCH(Calculations!$E963,'2018_commission_structure'!$A$11:$A$14,0), MATCH(Calculations!Q$1,'2018_commission_structure'!$A$11:$I$11,0)),0)</f>
        <v>7822.92</v>
      </c>
      <c r="R963" s="7">
        <f>IF($H963&gt;K963,MIN($H963-K963,L963-K963)*INDEX('2018_commission_structure'!$A$11:$I$14,MATCH(Calculations!$E963,'2018_commission_structure'!$A$11:$A$14,0), MATCH(Calculations!R$1,'2018_commission_structure'!$A$11:$I$11,0)),0)</f>
        <v>0</v>
      </c>
      <c r="S963" s="7">
        <f>IF(H963&gt;L963,(H963-L963)*INDEX('2018_commission_structure'!$A$11:$I$14,MATCH(Calculations!$E963,'2018_commission_structure'!$A$11:$A$14,0),MATCH(Calculations!S$1,'2018_commission_structure'!$A$11:$I$11,0)),0)</f>
        <v>0</v>
      </c>
      <c r="T963" s="7">
        <f t="shared" si="140"/>
        <v>111322.92</v>
      </c>
      <c r="U963" s="7">
        <f t="shared" si="141"/>
        <v>176597.91999999998</v>
      </c>
      <c r="V963" s="7">
        <f>MIN(H963,I963)*INDEX('2018_commission_structure'!$A$5:$J$8,MATCH(Calculations!$E963,'2018_commission_structure'!$A$5:$A$8,0),MATCH(Calculations!V$1,'2018_commission_structure'!$A$5:$J$5,0))</f>
        <v>90000</v>
      </c>
      <c r="W963" s="2">
        <f>IF($H963&gt;I963,MIN($H963-I963,J963-I963)*INDEX('2018_commission_structure'!$A$5:$J$8,MATCH(Calculations!$E963,'2018_commission_structure'!$A$5:$A$8,0),MATCH(Calculations!W$1,'2018_commission_structure'!$A$5:$J$5,0)),0)</f>
        <v>27000</v>
      </c>
      <c r="X963" s="2">
        <f>IF($H963&gt;J963,MIN($H963-J963,K963-J963)*INDEX('2018_commission_structure'!$A$5:$J$8,MATCH(Calculations!$E963,'2018_commission_structure'!$A$5:$A$8,0),MATCH(Calculations!X$1,'2018_commission_structure'!$A$5:$J$5,0)),0)</f>
        <v>9313</v>
      </c>
      <c r="Y963" s="2">
        <f>IF($H963&gt;K963,MIN($H963-K963,L963-K963)*INDEX('2018_commission_structure'!$A$5:$J$8,MATCH(Calculations!$E963,'2018_commission_structure'!$A$5:$A$8,0),MATCH(Calculations!Y$1,'2018_commission_structure'!$A$5:$J$5,0)),0)</f>
        <v>0</v>
      </c>
      <c r="Z963" s="2">
        <f xml:space="preserve"> IF(H963&gt;L963,(H963-L963)*INDEX('2018_commission_structure'!$A$11:$I$14,MATCH(Calculations!$E963,'2018_commission_structure'!$A$11:$A$14,0),MATCH(Calculations!Z$1,'2018_commission_structure'!$A$11:$I$11,0)),0)</f>
        <v>0</v>
      </c>
      <c r="AA963" s="7">
        <f t="shared" ref="AA963:AA1001" si="142">SUM(V963:Z963)</f>
        <v>126313</v>
      </c>
      <c r="AB963" s="7">
        <f t="shared" ref="AB963:AB1001" si="143">AA963+F963</f>
        <v>191588</v>
      </c>
    </row>
    <row r="964" spans="1:28" x14ac:dyDescent="0.25">
      <c r="A964">
        <v>5395528121</v>
      </c>
      <c r="B964" t="s">
        <v>1907</v>
      </c>
      <c r="C964" t="s">
        <v>1908</v>
      </c>
      <c r="D964" t="str">
        <f>B964&amp;" "&amp;C964</f>
        <v>Karlie Wennington</v>
      </c>
      <c r="E964" t="s">
        <v>7</v>
      </c>
      <c r="F964">
        <v>37393</v>
      </c>
      <c r="G964">
        <f>COUNTIF(deals_closed!D:D,Calculations!A964)</f>
        <v>26</v>
      </c>
      <c r="H964" s="2">
        <f>SUMIF(deals_closed!D:D,Calculations!A964,deals_closed!C:C)</f>
        <v>1029294</v>
      </c>
      <c r="I964" s="2">
        <f>VLOOKUP(E964,'2018_commission_structure'!$A$11:$I$14,9,FALSE)</f>
        <v>500000</v>
      </c>
      <c r="J964" s="2">
        <f t="shared" si="135"/>
        <v>625000</v>
      </c>
      <c r="K964" s="2">
        <f t="shared" si="136"/>
        <v>750000</v>
      </c>
      <c r="L964" s="2">
        <f t="shared" si="137"/>
        <v>1000000</v>
      </c>
      <c r="M964" s="6">
        <f t="shared" si="138"/>
        <v>2.0585879999999999</v>
      </c>
      <c r="N964" t="str">
        <f t="shared" si="139"/>
        <v>&gt;200%</v>
      </c>
      <c r="O964" s="7">
        <f>MIN(I964,H964)*INDEX('2018_commission_structure'!$A$11:$I$14,MATCH(Calculations!$E964,'2018_commission_structure'!$A$11:$A$14,0),MATCH(Calculations!O$1,'2018_commission_structure'!$A$11:$I$11,0))</f>
        <v>50000</v>
      </c>
      <c r="P964" s="7">
        <f>IF($H964&gt;I964,MIN($H964-I964,J964-I964)*INDEX('2018_commission_structure'!$A$11:$I$14,MATCH(Calculations!$E964,'2018_commission_structure'!$A$11:$A$14,0), MATCH(Calculations!P$1,'2018_commission_structure'!$A$11:$I$11,0)),0)</f>
        <v>18750</v>
      </c>
      <c r="Q964" s="7">
        <f>IF($H964&gt;J964,MIN($H964-J964,K964-J964)*INDEX('2018_commission_structure'!$A$11:$I$14,MATCH(Calculations!$E964,'2018_commission_structure'!$A$11:$A$14,0), MATCH(Calculations!Q$1,'2018_commission_structure'!$A$11:$I$11,0)),0)</f>
        <v>22500</v>
      </c>
      <c r="R964" s="7">
        <f>IF($H964&gt;K964,MIN($H964-K964,L964-K964)*INDEX('2018_commission_structure'!$A$11:$I$14,MATCH(Calculations!$E964,'2018_commission_structure'!$A$11:$A$14,0), MATCH(Calculations!R$1,'2018_commission_structure'!$A$11:$I$11,0)),0)</f>
        <v>55000</v>
      </c>
      <c r="S964" s="7">
        <f>IF(H964&gt;L964,(H964-L964)*INDEX('2018_commission_structure'!$A$11:$I$14,MATCH(Calculations!$E964,'2018_commission_structure'!$A$11:$A$14,0),MATCH(Calculations!S$1,'2018_commission_structure'!$A$11:$I$11,0)),0)</f>
        <v>2929.4</v>
      </c>
      <c r="T964" s="7">
        <f t="shared" si="140"/>
        <v>149179.4</v>
      </c>
      <c r="U964" s="7">
        <f t="shared" si="141"/>
        <v>186572.4</v>
      </c>
      <c r="V964" s="7">
        <f>MIN(H964,I964)*INDEX('2018_commission_structure'!$A$5:$J$8,MATCH(Calculations!$E964,'2018_commission_structure'!$A$5:$A$8,0),MATCH(Calculations!V$1,'2018_commission_structure'!$A$5:$J$5,0))</f>
        <v>60000</v>
      </c>
      <c r="W964" s="2">
        <f>IF($H964&gt;I964,MIN($H964-I964,J964-I964)*INDEX('2018_commission_structure'!$A$5:$J$8,MATCH(Calculations!$E964,'2018_commission_structure'!$A$5:$A$8,0),MATCH(Calculations!W$1,'2018_commission_structure'!$A$5:$J$5,0)),0)</f>
        <v>21250</v>
      </c>
      <c r="X964" s="2">
        <f>IF($H964&gt;J964,MIN($H964-J964,K964-J964)*INDEX('2018_commission_structure'!$A$5:$J$8,MATCH(Calculations!$E964,'2018_commission_structure'!$A$5:$A$8,0),MATCH(Calculations!X$1,'2018_commission_structure'!$A$5:$J$5,0)),0)</f>
        <v>25000</v>
      </c>
      <c r="Y964" s="2">
        <f>IF($H964&gt;K964,MIN($H964-K964,L964-K964)*INDEX('2018_commission_structure'!$A$5:$J$8,MATCH(Calculations!$E964,'2018_commission_structure'!$A$5:$A$8,0),MATCH(Calculations!Y$1,'2018_commission_structure'!$A$5:$J$5,0)),0)</f>
        <v>55000</v>
      </c>
      <c r="Z964" s="2">
        <f xml:space="preserve"> IF(H964&gt;L964,(H964-L964)*INDEX('2018_commission_structure'!$A$11:$I$14,MATCH(Calculations!$E964,'2018_commission_structure'!$A$11:$A$14,0),MATCH(Calculations!Z$1,'2018_commission_structure'!$A$11:$I$11,0)),0)</f>
        <v>2929.4</v>
      </c>
      <c r="AA964" s="7">
        <f t="shared" si="142"/>
        <v>164179.4</v>
      </c>
      <c r="AB964" s="7">
        <f t="shared" si="143"/>
        <v>201572.4</v>
      </c>
    </row>
    <row r="965" spans="1:28" x14ac:dyDescent="0.25">
      <c r="A965">
        <v>2230983466</v>
      </c>
      <c r="B965" t="s">
        <v>625</v>
      </c>
      <c r="C965" t="s">
        <v>626</v>
      </c>
      <c r="D965" t="str">
        <f>B965&amp;" "&amp;C965</f>
        <v>Olivero Wessel</v>
      </c>
      <c r="E965" t="s">
        <v>10</v>
      </c>
      <c r="F965">
        <v>75997</v>
      </c>
      <c r="G965">
        <f>COUNTIF(deals_closed!D:D,Calculations!A965)</f>
        <v>23</v>
      </c>
      <c r="H965" s="2">
        <f>SUMIF(deals_closed!D:D,Calculations!A965,deals_closed!C:C)</f>
        <v>855810</v>
      </c>
      <c r="I965" s="2">
        <f>VLOOKUP(E965,'2018_commission_structure'!$A$11:$I$14,9,FALSE)</f>
        <v>750000</v>
      </c>
      <c r="J965" s="2">
        <f t="shared" si="135"/>
        <v>937500</v>
      </c>
      <c r="K965" s="2">
        <f t="shared" si="136"/>
        <v>1125000</v>
      </c>
      <c r="L965" s="2">
        <f t="shared" si="137"/>
        <v>1500000</v>
      </c>
      <c r="M965" s="6">
        <f t="shared" si="138"/>
        <v>1.1410800000000001</v>
      </c>
      <c r="N965" t="str">
        <f t="shared" si="139"/>
        <v>100-125%</v>
      </c>
      <c r="O965" s="7">
        <f>MIN(I965,H965)*INDEX('2018_commission_structure'!$A$11:$I$14,MATCH(Calculations!$E965,'2018_commission_structure'!$A$11:$A$14,0),MATCH(Calculations!O$1,'2018_commission_structure'!$A$11:$I$11,0))</f>
        <v>112500</v>
      </c>
      <c r="P965" s="7">
        <f>IF($H965&gt;I965,MIN($H965-I965,J965-I965)*INDEX('2018_commission_structure'!$A$11:$I$14,MATCH(Calculations!$E965,'2018_commission_structure'!$A$11:$A$14,0), MATCH(Calculations!P$1,'2018_commission_structure'!$A$11:$I$11,0)),0)</f>
        <v>20103.900000000001</v>
      </c>
      <c r="Q965" s="7">
        <f>IF($H965&gt;J965,MIN($H965-J965,K965-J965)*INDEX('2018_commission_structure'!$A$11:$I$14,MATCH(Calculations!$E965,'2018_commission_structure'!$A$11:$A$14,0), MATCH(Calculations!Q$1,'2018_commission_structure'!$A$11:$I$11,0)),0)</f>
        <v>0</v>
      </c>
      <c r="R965" s="7">
        <f>IF($H965&gt;K965,MIN($H965-K965,L965-K965)*INDEX('2018_commission_structure'!$A$11:$I$14,MATCH(Calculations!$E965,'2018_commission_structure'!$A$11:$A$14,0), MATCH(Calculations!R$1,'2018_commission_structure'!$A$11:$I$11,0)),0)</f>
        <v>0</v>
      </c>
      <c r="S965" s="7">
        <f>IF(H965&gt;L965,(H965-L965)*INDEX('2018_commission_structure'!$A$11:$I$14,MATCH(Calculations!$E965,'2018_commission_structure'!$A$11:$A$14,0),MATCH(Calculations!S$1,'2018_commission_structure'!$A$11:$I$11,0)),0)</f>
        <v>0</v>
      </c>
      <c r="T965" s="7">
        <f t="shared" si="140"/>
        <v>132603.9</v>
      </c>
      <c r="U965" s="7">
        <f t="shared" si="141"/>
        <v>208600.9</v>
      </c>
      <c r="V965" s="7">
        <f>MIN(H965,I965)*INDEX('2018_commission_structure'!$A$5:$J$8,MATCH(Calculations!$E965,'2018_commission_structure'!$A$5:$A$8,0),MATCH(Calculations!V$1,'2018_commission_structure'!$A$5:$J$5,0))</f>
        <v>112500</v>
      </c>
      <c r="W965" s="2">
        <f>IF($H965&gt;I965,MIN($H965-I965,J965-I965)*INDEX('2018_commission_structure'!$A$5:$J$8,MATCH(Calculations!$E965,'2018_commission_structure'!$A$5:$A$8,0),MATCH(Calculations!W$1,'2018_commission_structure'!$A$5:$J$5,0)),0)</f>
        <v>23278.2</v>
      </c>
      <c r="X965" s="2">
        <f>IF($H965&gt;J965,MIN($H965-J965,K965-J965)*INDEX('2018_commission_structure'!$A$5:$J$8,MATCH(Calculations!$E965,'2018_commission_structure'!$A$5:$A$8,0),MATCH(Calculations!X$1,'2018_commission_structure'!$A$5:$J$5,0)),0)</f>
        <v>0</v>
      </c>
      <c r="Y965" s="2">
        <f>IF($H965&gt;K965,MIN($H965-K965,L965-K965)*INDEX('2018_commission_structure'!$A$5:$J$8,MATCH(Calculations!$E965,'2018_commission_structure'!$A$5:$A$8,0),MATCH(Calculations!Y$1,'2018_commission_structure'!$A$5:$J$5,0)),0)</f>
        <v>0</v>
      </c>
      <c r="Z965" s="2">
        <f xml:space="preserve"> IF(H965&gt;L965,(H965-L965)*INDEX('2018_commission_structure'!$A$11:$I$14,MATCH(Calculations!$E965,'2018_commission_structure'!$A$11:$A$14,0),MATCH(Calculations!Z$1,'2018_commission_structure'!$A$11:$I$11,0)),0)</f>
        <v>0</v>
      </c>
      <c r="AA965" s="7">
        <f t="shared" si="142"/>
        <v>135778.20000000001</v>
      </c>
      <c r="AB965" s="7">
        <f t="shared" si="143"/>
        <v>211775.2</v>
      </c>
    </row>
    <row r="966" spans="1:28" x14ac:dyDescent="0.25">
      <c r="A966">
        <v>5234982726</v>
      </c>
      <c r="B966" t="s">
        <v>962</v>
      </c>
      <c r="C966" t="s">
        <v>963</v>
      </c>
      <c r="D966" t="str">
        <f>B966&amp;" "&amp;C966</f>
        <v>Hillary Westphalen</v>
      </c>
      <c r="E966" t="s">
        <v>10</v>
      </c>
      <c r="F966">
        <v>110384</v>
      </c>
      <c r="G966">
        <f>COUNTIF(deals_closed!D:D,Calculations!A966)</f>
        <v>21</v>
      </c>
      <c r="H966" s="2">
        <f>SUMIF(deals_closed!D:D,Calculations!A966,deals_closed!C:C)</f>
        <v>743306</v>
      </c>
      <c r="I966" s="2">
        <f>VLOOKUP(E966,'2018_commission_structure'!$A$11:$I$14,9,FALSE)</f>
        <v>750000</v>
      </c>
      <c r="J966" s="2">
        <f t="shared" si="135"/>
        <v>937500</v>
      </c>
      <c r="K966" s="2">
        <f t="shared" si="136"/>
        <v>1125000</v>
      </c>
      <c r="L966" s="2">
        <f t="shared" si="137"/>
        <v>1500000</v>
      </c>
      <c r="M966" s="6">
        <f t="shared" si="138"/>
        <v>0.99107466666666666</v>
      </c>
      <c r="N966" t="str">
        <f t="shared" si="139"/>
        <v>0-100%</v>
      </c>
      <c r="O966" s="7">
        <f>MIN(I966,H966)*INDEX('2018_commission_structure'!$A$11:$I$14,MATCH(Calculations!$E966,'2018_commission_structure'!$A$11:$A$14,0),MATCH(Calculations!O$1,'2018_commission_structure'!$A$11:$I$11,0))</f>
        <v>111495.9</v>
      </c>
      <c r="P966" s="7">
        <f>IF($H966&gt;I966,MIN($H966-I966,J966-I966)*INDEX('2018_commission_structure'!$A$11:$I$14,MATCH(Calculations!$E966,'2018_commission_structure'!$A$11:$A$14,0), MATCH(Calculations!P$1,'2018_commission_structure'!$A$11:$I$11,0)),0)</f>
        <v>0</v>
      </c>
      <c r="Q966" s="7">
        <f>IF($H966&gt;J966,MIN($H966-J966,K966-J966)*INDEX('2018_commission_structure'!$A$11:$I$14,MATCH(Calculations!$E966,'2018_commission_structure'!$A$11:$A$14,0), MATCH(Calculations!Q$1,'2018_commission_structure'!$A$11:$I$11,0)),0)</f>
        <v>0</v>
      </c>
      <c r="R966" s="7">
        <f>IF($H966&gt;K966,MIN($H966-K966,L966-K966)*INDEX('2018_commission_structure'!$A$11:$I$14,MATCH(Calculations!$E966,'2018_commission_structure'!$A$11:$A$14,0), MATCH(Calculations!R$1,'2018_commission_structure'!$A$11:$I$11,0)),0)</f>
        <v>0</v>
      </c>
      <c r="S966" s="7">
        <f>IF(H966&gt;L966,(H966-L966)*INDEX('2018_commission_structure'!$A$11:$I$14,MATCH(Calculations!$E966,'2018_commission_structure'!$A$11:$A$14,0),MATCH(Calculations!S$1,'2018_commission_structure'!$A$11:$I$11,0)),0)</f>
        <v>0</v>
      </c>
      <c r="T966" s="7">
        <f t="shared" si="140"/>
        <v>111495.9</v>
      </c>
      <c r="U966" s="7">
        <f t="shared" si="141"/>
        <v>221879.9</v>
      </c>
      <c r="V966" s="7">
        <f>MIN(H966,I966)*INDEX('2018_commission_structure'!$A$5:$J$8,MATCH(Calculations!$E966,'2018_commission_structure'!$A$5:$A$8,0),MATCH(Calculations!V$1,'2018_commission_structure'!$A$5:$J$5,0))</f>
        <v>111495.9</v>
      </c>
      <c r="W966" s="2">
        <f>IF($H966&gt;I966,MIN($H966-I966,J966-I966)*INDEX('2018_commission_structure'!$A$5:$J$8,MATCH(Calculations!$E966,'2018_commission_structure'!$A$5:$A$8,0),MATCH(Calculations!W$1,'2018_commission_structure'!$A$5:$J$5,0)),0)</f>
        <v>0</v>
      </c>
      <c r="X966" s="2">
        <f>IF($H966&gt;J966,MIN($H966-J966,K966-J966)*INDEX('2018_commission_structure'!$A$5:$J$8,MATCH(Calculations!$E966,'2018_commission_structure'!$A$5:$A$8,0),MATCH(Calculations!X$1,'2018_commission_structure'!$A$5:$J$5,0)),0)</f>
        <v>0</v>
      </c>
      <c r="Y966" s="2">
        <f>IF($H966&gt;K966,MIN($H966-K966,L966-K966)*INDEX('2018_commission_structure'!$A$5:$J$8,MATCH(Calculations!$E966,'2018_commission_structure'!$A$5:$A$8,0),MATCH(Calculations!Y$1,'2018_commission_structure'!$A$5:$J$5,0)),0)</f>
        <v>0</v>
      </c>
      <c r="Z966" s="2">
        <f xml:space="preserve"> IF(H966&gt;L966,(H966-L966)*INDEX('2018_commission_structure'!$A$11:$I$14,MATCH(Calculations!$E966,'2018_commission_structure'!$A$11:$A$14,0),MATCH(Calculations!Z$1,'2018_commission_structure'!$A$11:$I$11,0)),0)</f>
        <v>0</v>
      </c>
      <c r="AA966" s="7">
        <f t="shared" si="142"/>
        <v>111495.9</v>
      </c>
      <c r="AB966" s="7">
        <f t="shared" si="143"/>
        <v>221879.9</v>
      </c>
    </row>
    <row r="967" spans="1:28" x14ac:dyDescent="0.25">
      <c r="A967">
        <v>6801140183</v>
      </c>
      <c r="B967" t="s">
        <v>153</v>
      </c>
      <c r="C967" t="s">
        <v>154</v>
      </c>
      <c r="D967" t="str">
        <f>B967&amp;" "&amp;C967</f>
        <v>Denney Whetland</v>
      </c>
      <c r="E967" t="s">
        <v>7</v>
      </c>
      <c r="F967">
        <v>57548</v>
      </c>
      <c r="G967">
        <f>COUNTIF(deals_closed!D:D,Calculations!A967)</f>
        <v>15</v>
      </c>
      <c r="H967" s="2">
        <f>SUMIF(deals_closed!D:D,Calculations!A967,deals_closed!C:C)</f>
        <v>531790</v>
      </c>
      <c r="I967" s="2">
        <f>VLOOKUP(E967,'2018_commission_structure'!$A$11:$I$14,9,FALSE)</f>
        <v>500000</v>
      </c>
      <c r="J967" s="2">
        <f t="shared" si="135"/>
        <v>625000</v>
      </c>
      <c r="K967" s="2">
        <f t="shared" si="136"/>
        <v>750000</v>
      </c>
      <c r="L967" s="2">
        <f t="shared" si="137"/>
        <v>1000000</v>
      </c>
      <c r="M967" s="6">
        <f t="shared" si="138"/>
        <v>1.06358</v>
      </c>
      <c r="N967" t="str">
        <f t="shared" si="139"/>
        <v>100-125%</v>
      </c>
      <c r="O967" s="7">
        <f>MIN(I967,H967)*INDEX('2018_commission_structure'!$A$11:$I$14,MATCH(Calculations!$E967,'2018_commission_structure'!$A$11:$A$14,0),MATCH(Calculations!O$1,'2018_commission_structure'!$A$11:$I$11,0))</f>
        <v>50000</v>
      </c>
      <c r="P967" s="7">
        <f>IF($H967&gt;I967,MIN($H967-I967,J967-I967)*INDEX('2018_commission_structure'!$A$11:$I$14,MATCH(Calculations!$E967,'2018_commission_structure'!$A$11:$A$14,0), MATCH(Calculations!P$1,'2018_commission_structure'!$A$11:$I$11,0)),0)</f>
        <v>4768.5</v>
      </c>
      <c r="Q967" s="7">
        <f>IF($H967&gt;J967,MIN($H967-J967,K967-J967)*INDEX('2018_commission_structure'!$A$11:$I$14,MATCH(Calculations!$E967,'2018_commission_structure'!$A$11:$A$14,0), MATCH(Calculations!Q$1,'2018_commission_structure'!$A$11:$I$11,0)),0)</f>
        <v>0</v>
      </c>
      <c r="R967" s="7">
        <f>IF($H967&gt;K967,MIN($H967-K967,L967-K967)*INDEX('2018_commission_structure'!$A$11:$I$14,MATCH(Calculations!$E967,'2018_commission_structure'!$A$11:$A$14,0), MATCH(Calculations!R$1,'2018_commission_structure'!$A$11:$I$11,0)),0)</f>
        <v>0</v>
      </c>
      <c r="S967" s="7">
        <f>IF(H967&gt;L967,(H967-L967)*INDEX('2018_commission_structure'!$A$11:$I$14,MATCH(Calculations!$E967,'2018_commission_structure'!$A$11:$A$14,0),MATCH(Calculations!S$1,'2018_commission_structure'!$A$11:$I$11,0)),0)</f>
        <v>0</v>
      </c>
      <c r="T967" s="7">
        <f t="shared" si="140"/>
        <v>54768.5</v>
      </c>
      <c r="U967" s="7">
        <f t="shared" si="141"/>
        <v>112316.5</v>
      </c>
      <c r="V967" s="7">
        <f>MIN(H967,I967)*INDEX('2018_commission_structure'!$A$5:$J$8,MATCH(Calculations!$E967,'2018_commission_structure'!$A$5:$A$8,0),MATCH(Calculations!V$1,'2018_commission_structure'!$A$5:$J$5,0))</f>
        <v>60000</v>
      </c>
      <c r="W967" s="2">
        <f>IF($H967&gt;I967,MIN($H967-I967,J967-I967)*INDEX('2018_commission_structure'!$A$5:$J$8,MATCH(Calculations!$E967,'2018_commission_structure'!$A$5:$A$8,0),MATCH(Calculations!W$1,'2018_commission_structure'!$A$5:$J$5,0)),0)</f>
        <v>5404.3</v>
      </c>
      <c r="X967" s="2">
        <f>IF($H967&gt;J967,MIN($H967-J967,K967-J967)*INDEX('2018_commission_structure'!$A$5:$J$8,MATCH(Calculations!$E967,'2018_commission_structure'!$A$5:$A$8,0),MATCH(Calculations!X$1,'2018_commission_structure'!$A$5:$J$5,0)),0)</f>
        <v>0</v>
      </c>
      <c r="Y967" s="2">
        <f>IF($H967&gt;K967,MIN($H967-K967,L967-K967)*INDEX('2018_commission_structure'!$A$5:$J$8,MATCH(Calculations!$E967,'2018_commission_structure'!$A$5:$A$8,0),MATCH(Calculations!Y$1,'2018_commission_structure'!$A$5:$J$5,0)),0)</f>
        <v>0</v>
      </c>
      <c r="Z967" s="2">
        <f xml:space="preserve"> IF(H967&gt;L967,(H967-L967)*INDEX('2018_commission_structure'!$A$11:$I$14,MATCH(Calculations!$E967,'2018_commission_structure'!$A$11:$A$14,0),MATCH(Calculations!Z$1,'2018_commission_structure'!$A$11:$I$11,0)),0)</f>
        <v>0</v>
      </c>
      <c r="AA967" s="7">
        <f t="shared" si="142"/>
        <v>65404.3</v>
      </c>
      <c r="AB967" s="7">
        <f t="shared" si="143"/>
        <v>122952.3</v>
      </c>
    </row>
    <row r="968" spans="1:28" x14ac:dyDescent="0.25">
      <c r="A968">
        <v>6614458434</v>
      </c>
      <c r="B968" t="s">
        <v>1611</v>
      </c>
      <c r="C968" t="s">
        <v>1612</v>
      </c>
      <c r="D968" t="str">
        <f>B968&amp;" "&amp;C968</f>
        <v>Hildagard White</v>
      </c>
      <c r="E968" t="s">
        <v>10</v>
      </c>
      <c r="F968">
        <v>118195</v>
      </c>
      <c r="G968">
        <f>COUNTIF(deals_closed!D:D,Calculations!A968)</f>
        <v>13</v>
      </c>
      <c r="H968" s="2">
        <f>SUMIF(deals_closed!D:D,Calculations!A968,deals_closed!C:C)</f>
        <v>457093</v>
      </c>
      <c r="I968" s="2">
        <f>VLOOKUP(E968,'2018_commission_structure'!$A$11:$I$14,9,FALSE)</f>
        <v>750000</v>
      </c>
      <c r="J968" s="2">
        <f t="shared" si="135"/>
        <v>937500</v>
      </c>
      <c r="K968" s="2">
        <f t="shared" si="136"/>
        <v>1125000</v>
      </c>
      <c r="L968" s="2">
        <f t="shared" si="137"/>
        <v>1500000</v>
      </c>
      <c r="M968" s="6">
        <f t="shared" si="138"/>
        <v>0.6094573333333333</v>
      </c>
      <c r="N968" t="str">
        <f t="shared" si="139"/>
        <v>0-100%</v>
      </c>
      <c r="O968" s="7">
        <f>MIN(I968,H968)*INDEX('2018_commission_structure'!$A$11:$I$14,MATCH(Calculations!$E968,'2018_commission_structure'!$A$11:$A$14,0),MATCH(Calculations!O$1,'2018_commission_structure'!$A$11:$I$11,0))</f>
        <v>68563.95</v>
      </c>
      <c r="P968" s="7">
        <f>IF($H968&gt;I968,MIN($H968-I968,J968-I968)*INDEX('2018_commission_structure'!$A$11:$I$14,MATCH(Calculations!$E968,'2018_commission_structure'!$A$11:$A$14,0), MATCH(Calculations!P$1,'2018_commission_structure'!$A$11:$I$11,0)),0)</f>
        <v>0</v>
      </c>
      <c r="Q968" s="7">
        <f>IF($H968&gt;J968,MIN($H968-J968,K968-J968)*INDEX('2018_commission_structure'!$A$11:$I$14,MATCH(Calculations!$E968,'2018_commission_structure'!$A$11:$A$14,0), MATCH(Calculations!Q$1,'2018_commission_structure'!$A$11:$I$11,0)),0)</f>
        <v>0</v>
      </c>
      <c r="R968" s="7">
        <f>IF($H968&gt;K968,MIN($H968-K968,L968-K968)*INDEX('2018_commission_structure'!$A$11:$I$14,MATCH(Calculations!$E968,'2018_commission_structure'!$A$11:$A$14,0), MATCH(Calculations!R$1,'2018_commission_structure'!$A$11:$I$11,0)),0)</f>
        <v>0</v>
      </c>
      <c r="S968" s="7">
        <f>IF(H968&gt;L968,(H968-L968)*INDEX('2018_commission_structure'!$A$11:$I$14,MATCH(Calculations!$E968,'2018_commission_structure'!$A$11:$A$14,0),MATCH(Calculations!S$1,'2018_commission_structure'!$A$11:$I$11,0)),0)</f>
        <v>0</v>
      </c>
      <c r="T968" s="7">
        <f t="shared" si="140"/>
        <v>68563.95</v>
      </c>
      <c r="U968" s="7">
        <f t="shared" si="141"/>
        <v>186758.95</v>
      </c>
      <c r="V968" s="7">
        <f>MIN(H968,I968)*INDEX('2018_commission_structure'!$A$5:$J$8,MATCH(Calculations!$E968,'2018_commission_structure'!$A$5:$A$8,0),MATCH(Calculations!V$1,'2018_commission_structure'!$A$5:$J$5,0))</f>
        <v>68563.95</v>
      </c>
      <c r="W968" s="2">
        <f>IF($H968&gt;I968,MIN($H968-I968,J968-I968)*INDEX('2018_commission_structure'!$A$5:$J$8,MATCH(Calculations!$E968,'2018_commission_structure'!$A$5:$A$8,0),MATCH(Calculations!W$1,'2018_commission_structure'!$A$5:$J$5,0)),0)</f>
        <v>0</v>
      </c>
      <c r="X968" s="2">
        <f>IF($H968&gt;J968,MIN($H968-J968,K968-J968)*INDEX('2018_commission_structure'!$A$5:$J$8,MATCH(Calculations!$E968,'2018_commission_structure'!$A$5:$A$8,0),MATCH(Calculations!X$1,'2018_commission_structure'!$A$5:$J$5,0)),0)</f>
        <v>0</v>
      </c>
      <c r="Y968" s="2">
        <f>IF($H968&gt;K968,MIN($H968-K968,L968-K968)*INDEX('2018_commission_structure'!$A$5:$J$8,MATCH(Calculations!$E968,'2018_commission_structure'!$A$5:$A$8,0),MATCH(Calculations!Y$1,'2018_commission_structure'!$A$5:$J$5,0)),0)</f>
        <v>0</v>
      </c>
      <c r="Z968" s="2">
        <f xml:space="preserve"> IF(H968&gt;L968,(H968-L968)*INDEX('2018_commission_structure'!$A$11:$I$14,MATCH(Calculations!$E968,'2018_commission_structure'!$A$11:$A$14,0),MATCH(Calculations!Z$1,'2018_commission_structure'!$A$11:$I$11,0)),0)</f>
        <v>0</v>
      </c>
      <c r="AA968" s="7">
        <f t="shared" si="142"/>
        <v>68563.95</v>
      </c>
      <c r="AB968" s="7">
        <f t="shared" si="143"/>
        <v>186758.95</v>
      </c>
    </row>
    <row r="969" spans="1:28" x14ac:dyDescent="0.25">
      <c r="A969">
        <v>2757793764</v>
      </c>
      <c r="B969" t="s">
        <v>761</v>
      </c>
      <c r="C969" t="s">
        <v>762</v>
      </c>
      <c r="D969" t="str">
        <f>B969&amp;" "&amp;C969</f>
        <v>Licha Whitemarsh</v>
      </c>
      <c r="E969" t="s">
        <v>10</v>
      </c>
      <c r="F969">
        <v>91521</v>
      </c>
      <c r="G969">
        <f>COUNTIF(deals_closed!D:D,Calculations!A969)</f>
        <v>19</v>
      </c>
      <c r="H969" s="2">
        <f>SUMIF(deals_closed!D:D,Calculations!A969,deals_closed!C:C)</f>
        <v>584366</v>
      </c>
      <c r="I969" s="2">
        <f>VLOOKUP(E969,'2018_commission_structure'!$A$11:$I$14,9,FALSE)</f>
        <v>750000</v>
      </c>
      <c r="J969" s="2">
        <f t="shared" si="135"/>
        <v>937500</v>
      </c>
      <c r="K969" s="2">
        <f t="shared" si="136"/>
        <v>1125000</v>
      </c>
      <c r="L969" s="2">
        <f t="shared" si="137"/>
        <v>1500000</v>
      </c>
      <c r="M969" s="6">
        <f t="shared" si="138"/>
        <v>0.77915466666666666</v>
      </c>
      <c r="N969" t="str">
        <f t="shared" si="139"/>
        <v>0-100%</v>
      </c>
      <c r="O969" s="7">
        <f>MIN(I969,H969)*INDEX('2018_commission_structure'!$A$11:$I$14,MATCH(Calculations!$E969,'2018_commission_structure'!$A$11:$A$14,0),MATCH(Calculations!O$1,'2018_commission_structure'!$A$11:$I$11,0))</f>
        <v>87654.9</v>
      </c>
      <c r="P969" s="7">
        <f>IF($H969&gt;I969,MIN($H969-I969,J969-I969)*INDEX('2018_commission_structure'!$A$11:$I$14,MATCH(Calculations!$E969,'2018_commission_structure'!$A$11:$A$14,0), MATCH(Calculations!P$1,'2018_commission_structure'!$A$11:$I$11,0)),0)</f>
        <v>0</v>
      </c>
      <c r="Q969" s="7">
        <f>IF($H969&gt;J969,MIN($H969-J969,K969-J969)*INDEX('2018_commission_structure'!$A$11:$I$14,MATCH(Calculations!$E969,'2018_commission_structure'!$A$11:$A$14,0), MATCH(Calculations!Q$1,'2018_commission_structure'!$A$11:$I$11,0)),0)</f>
        <v>0</v>
      </c>
      <c r="R969" s="7">
        <f>IF($H969&gt;K969,MIN($H969-K969,L969-K969)*INDEX('2018_commission_structure'!$A$11:$I$14,MATCH(Calculations!$E969,'2018_commission_structure'!$A$11:$A$14,0), MATCH(Calculations!R$1,'2018_commission_structure'!$A$11:$I$11,0)),0)</f>
        <v>0</v>
      </c>
      <c r="S969" s="7">
        <f>IF(H969&gt;L969,(H969-L969)*INDEX('2018_commission_structure'!$A$11:$I$14,MATCH(Calculations!$E969,'2018_commission_structure'!$A$11:$A$14,0),MATCH(Calculations!S$1,'2018_commission_structure'!$A$11:$I$11,0)),0)</f>
        <v>0</v>
      </c>
      <c r="T969" s="7">
        <f t="shared" si="140"/>
        <v>87654.9</v>
      </c>
      <c r="U969" s="7">
        <f t="shared" si="141"/>
        <v>179175.9</v>
      </c>
      <c r="V969" s="7">
        <f>MIN(H969,I969)*INDEX('2018_commission_structure'!$A$5:$J$8,MATCH(Calculations!$E969,'2018_commission_structure'!$A$5:$A$8,0),MATCH(Calculations!V$1,'2018_commission_structure'!$A$5:$J$5,0))</f>
        <v>87654.9</v>
      </c>
      <c r="W969" s="2">
        <f>IF($H969&gt;I969,MIN($H969-I969,J969-I969)*INDEX('2018_commission_structure'!$A$5:$J$8,MATCH(Calculations!$E969,'2018_commission_structure'!$A$5:$A$8,0),MATCH(Calculations!W$1,'2018_commission_structure'!$A$5:$J$5,0)),0)</f>
        <v>0</v>
      </c>
      <c r="X969" s="2">
        <f>IF($H969&gt;J969,MIN($H969-J969,K969-J969)*INDEX('2018_commission_structure'!$A$5:$J$8,MATCH(Calculations!$E969,'2018_commission_structure'!$A$5:$A$8,0),MATCH(Calculations!X$1,'2018_commission_structure'!$A$5:$J$5,0)),0)</f>
        <v>0</v>
      </c>
      <c r="Y969" s="2">
        <f>IF($H969&gt;K969,MIN($H969-K969,L969-K969)*INDEX('2018_commission_structure'!$A$5:$J$8,MATCH(Calculations!$E969,'2018_commission_structure'!$A$5:$A$8,0),MATCH(Calculations!Y$1,'2018_commission_structure'!$A$5:$J$5,0)),0)</f>
        <v>0</v>
      </c>
      <c r="Z969" s="2">
        <f xml:space="preserve"> IF(H969&gt;L969,(H969-L969)*INDEX('2018_commission_structure'!$A$11:$I$14,MATCH(Calculations!$E969,'2018_commission_structure'!$A$11:$A$14,0),MATCH(Calculations!Z$1,'2018_commission_structure'!$A$11:$I$11,0)),0)</f>
        <v>0</v>
      </c>
      <c r="AA969" s="7">
        <f t="shared" si="142"/>
        <v>87654.9</v>
      </c>
      <c r="AB969" s="7">
        <f t="shared" si="143"/>
        <v>179175.9</v>
      </c>
    </row>
    <row r="970" spans="1:28" x14ac:dyDescent="0.25">
      <c r="A970">
        <v>9548500949</v>
      </c>
      <c r="B970" t="s">
        <v>1127</v>
      </c>
      <c r="C970" t="s">
        <v>1128</v>
      </c>
      <c r="D970" t="str">
        <f>B970&amp;" "&amp;C970</f>
        <v>Misty Whitrod</v>
      </c>
      <c r="E970" t="s">
        <v>7</v>
      </c>
      <c r="F970">
        <v>60056</v>
      </c>
      <c r="G970">
        <f>COUNTIF(deals_closed!D:D,Calculations!A970)</f>
        <v>16</v>
      </c>
      <c r="H970" s="2">
        <f>SUMIF(deals_closed!D:D,Calculations!A970,deals_closed!C:C)</f>
        <v>655776</v>
      </c>
      <c r="I970" s="2">
        <f>VLOOKUP(E970,'2018_commission_structure'!$A$11:$I$14,9,FALSE)</f>
        <v>500000</v>
      </c>
      <c r="J970" s="2">
        <f t="shared" si="135"/>
        <v>625000</v>
      </c>
      <c r="K970" s="2">
        <f t="shared" si="136"/>
        <v>750000</v>
      </c>
      <c r="L970" s="2">
        <f t="shared" si="137"/>
        <v>1000000</v>
      </c>
      <c r="M970" s="6">
        <f t="shared" si="138"/>
        <v>1.3115520000000001</v>
      </c>
      <c r="N970" t="str">
        <f t="shared" si="139"/>
        <v>125-150%</v>
      </c>
      <c r="O970" s="7">
        <f>MIN(I970,H970)*INDEX('2018_commission_structure'!$A$11:$I$14,MATCH(Calculations!$E970,'2018_commission_structure'!$A$11:$A$14,0),MATCH(Calculations!O$1,'2018_commission_structure'!$A$11:$I$11,0))</f>
        <v>50000</v>
      </c>
      <c r="P970" s="7">
        <f>IF($H970&gt;I970,MIN($H970-I970,J970-I970)*INDEX('2018_commission_structure'!$A$11:$I$14,MATCH(Calculations!$E970,'2018_commission_structure'!$A$11:$A$14,0), MATCH(Calculations!P$1,'2018_commission_structure'!$A$11:$I$11,0)),0)</f>
        <v>18750</v>
      </c>
      <c r="Q970" s="7">
        <f>IF($H970&gt;J970,MIN($H970-J970,K970-J970)*INDEX('2018_commission_structure'!$A$11:$I$14,MATCH(Calculations!$E970,'2018_commission_structure'!$A$11:$A$14,0), MATCH(Calculations!Q$1,'2018_commission_structure'!$A$11:$I$11,0)),0)</f>
        <v>5539.6799999999994</v>
      </c>
      <c r="R970" s="7">
        <f>IF($H970&gt;K970,MIN($H970-K970,L970-K970)*INDEX('2018_commission_structure'!$A$11:$I$14,MATCH(Calculations!$E970,'2018_commission_structure'!$A$11:$A$14,0), MATCH(Calculations!R$1,'2018_commission_structure'!$A$11:$I$11,0)),0)</f>
        <v>0</v>
      </c>
      <c r="S970" s="7">
        <f>IF(H970&gt;L970,(H970-L970)*INDEX('2018_commission_structure'!$A$11:$I$14,MATCH(Calculations!$E970,'2018_commission_structure'!$A$11:$A$14,0),MATCH(Calculations!S$1,'2018_commission_structure'!$A$11:$I$11,0)),0)</f>
        <v>0</v>
      </c>
      <c r="T970" s="7">
        <f t="shared" si="140"/>
        <v>74289.679999999993</v>
      </c>
      <c r="U970" s="7">
        <f t="shared" si="141"/>
        <v>134345.68</v>
      </c>
      <c r="V970" s="7">
        <f>MIN(H970,I970)*INDEX('2018_commission_structure'!$A$5:$J$8,MATCH(Calculations!$E970,'2018_commission_structure'!$A$5:$A$8,0),MATCH(Calculations!V$1,'2018_commission_structure'!$A$5:$J$5,0))</f>
        <v>60000</v>
      </c>
      <c r="W970" s="2">
        <f>IF($H970&gt;I970,MIN($H970-I970,J970-I970)*INDEX('2018_commission_structure'!$A$5:$J$8,MATCH(Calculations!$E970,'2018_commission_structure'!$A$5:$A$8,0),MATCH(Calculations!W$1,'2018_commission_structure'!$A$5:$J$5,0)),0)</f>
        <v>21250</v>
      </c>
      <c r="X970" s="2">
        <f>IF($H970&gt;J970,MIN($H970-J970,K970-J970)*INDEX('2018_commission_structure'!$A$5:$J$8,MATCH(Calculations!$E970,'2018_commission_structure'!$A$5:$A$8,0),MATCH(Calculations!X$1,'2018_commission_structure'!$A$5:$J$5,0)),0)</f>
        <v>6155.2000000000007</v>
      </c>
      <c r="Y970" s="2">
        <f>IF($H970&gt;K970,MIN($H970-K970,L970-K970)*INDEX('2018_commission_structure'!$A$5:$J$8,MATCH(Calculations!$E970,'2018_commission_structure'!$A$5:$A$8,0),MATCH(Calculations!Y$1,'2018_commission_structure'!$A$5:$J$5,0)),0)</f>
        <v>0</v>
      </c>
      <c r="Z970" s="2">
        <f xml:space="preserve"> IF(H970&gt;L970,(H970-L970)*INDEX('2018_commission_structure'!$A$11:$I$14,MATCH(Calculations!$E970,'2018_commission_structure'!$A$11:$A$14,0),MATCH(Calculations!Z$1,'2018_commission_structure'!$A$11:$I$11,0)),0)</f>
        <v>0</v>
      </c>
      <c r="AA970" s="7">
        <f t="shared" si="142"/>
        <v>87405.2</v>
      </c>
      <c r="AB970" s="7">
        <f t="shared" si="143"/>
        <v>147461.20000000001</v>
      </c>
    </row>
    <row r="971" spans="1:28" x14ac:dyDescent="0.25">
      <c r="A971">
        <v>2958727874</v>
      </c>
      <c r="B971" t="s">
        <v>1164</v>
      </c>
      <c r="C971" t="s">
        <v>1165</v>
      </c>
      <c r="D971" t="str">
        <f>B971&amp;" "&amp;C971</f>
        <v>Lucky Whittlesey</v>
      </c>
      <c r="E971" t="s">
        <v>7</v>
      </c>
      <c r="F971">
        <v>43950</v>
      </c>
      <c r="G971">
        <f>COUNTIF(deals_closed!D:D,Calculations!A971)</f>
        <v>16</v>
      </c>
      <c r="H971" s="2">
        <f>SUMIF(deals_closed!D:D,Calculations!A971,deals_closed!C:C)</f>
        <v>542971</v>
      </c>
      <c r="I971" s="2">
        <f>VLOOKUP(E971,'2018_commission_structure'!$A$11:$I$14,9,FALSE)</f>
        <v>500000</v>
      </c>
      <c r="J971" s="2">
        <f t="shared" si="135"/>
        <v>625000</v>
      </c>
      <c r="K971" s="2">
        <f t="shared" si="136"/>
        <v>750000</v>
      </c>
      <c r="L971" s="2">
        <f t="shared" si="137"/>
        <v>1000000</v>
      </c>
      <c r="M971" s="6">
        <f t="shared" si="138"/>
        <v>1.085942</v>
      </c>
      <c r="N971" t="str">
        <f t="shared" si="139"/>
        <v>100-125%</v>
      </c>
      <c r="O971" s="7">
        <f>MIN(I971,H971)*INDEX('2018_commission_structure'!$A$11:$I$14,MATCH(Calculations!$E971,'2018_commission_structure'!$A$11:$A$14,0),MATCH(Calculations!O$1,'2018_commission_structure'!$A$11:$I$11,0))</f>
        <v>50000</v>
      </c>
      <c r="P971" s="7">
        <f>IF($H971&gt;I971,MIN($H971-I971,J971-I971)*INDEX('2018_commission_structure'!$A$11:$I$14,MATCH(Calculations!$E971,'2018_commission_structure'!$A$11:$A$14,0), MATCH(Calculations!P$1,'2018_commission_structure'!$A$11:$I$11,0)),0)</f>
        <v>6445.65</v>
      </c>
      <c r="Q971" s="7">
        <f>IF($H971&gt;J971,MIN($H971-J971,K971-J971)*INDEX('2018_commission_structure'!$A$11:$I$14,MATCH(Calculations!$E971,'2018_commission_structure'!$A$11:$A$14,0), MATCH(Calculations!Q$1,'2018_commission_structure'!$A$11:$I$11,0)),0)</f>
        <v>0</v>
      </c>
      <c r="R971" s="7">
        <f>IF($H971&gt;K971,MIN($H971-K971,L971-K971)*INDEX('2018_commission_structure'!$A$11:$I$14,MATCH(Calculations!$E971,'2018_commission_structure'!$A$11:$A$14,0), MATCH(Calculations!R$1,'2018_commission_structure'!$A$11:$I$11,0)),0)</f>
        <v>0</v>
      </c>
      <c r="S971" s="7">
        <f>IF(H971&gt;L971,(H971-L971)*INDEX('2018_commission_structure'!$A$11:$I$14,MATCH(Calculations!$E971,'2018_commission_structure'!$A$11:$A$14,0),MATCH(Calculations!S$1,'2018_commission_structure'!$A$11:$I$11,0)),0)</f>
        <v>0</v>
      </c>
      <c r="T971" s="7">
        <f t="shared" si="140"/>
        <v>56445.65</v>
      </c>
      <c r="U971" s="7">
        <f t="shared" si="141"/>
        <v>100395.65</v>
      </c>
      <c r="V971" s="7">
        <f>MIN(H971,I971)*INDEX('2018_commission_structure'!$A$5:$J$8,MATCH(Calculations!$E971,'2018_commission_structure'!$A$5:$A$8,0),MATCH(Calculations!V$1,'2018_commission_structure'!$A$5:$J$5,0))</f>
        <v>60000</v>
      </c>
      <c r="W971" s="2">
        <f>IF($H971&gt;I971,MIN($H971-I971,J971-I971)*INDEX('2018_commission_structure'!$A$5:$J$8,MATCH(Calculations!$E971,'2018_commission_structure'!$A$5:$A$8,0),MATCH(Calculations!W$1,'2018_commission_structure'!$A$5:$J$5,0)),0)</f>
        <v>7305.0700000000006</v>
      </c>
      <c r="X971" s="2">
        <f>IF($H971&gt;J971,MIN($H971-J971,K971-J971)*INDEX('2018_commission_structure'!$A$5:$J$8,MATCH(Calculations!$E971,'2018_commission_structure'!$A$5:$A$8,0),MATCH(Calculations!X$1,'2018_commission_structure'!$A$5:$J$5,0)),0)</f>
        <v>0</v>
      </c>
      <c r="Y971" s="2">
        <f>IF($H971&gt;K971,MIN($H971-K971,L971-K971)*INDEX('2018_commission_structure'!$A$5:$J$8,MATCH(Calculations!$E971,'2018_commission_structure'!$A$5:$A$8,0),MATCH(Calculations!Y$1,'2018_commission_structure'!$A$5:$J$5,0)),0)</f>
        <v>0</v>
      </c>
      <c r="Z971" s="2">
        <f xml:space="preserve"> IF(H971&gt;L971,(H971-L971)*INDEX('2018_commission_structure'!$A$11:$I$14,MATCH(Calculations!$E971,'2018_commission_structure'!$A$11:$A$14,0),MATCH(Calculations!Z$1,'2018_commission_structure'!$A$11:$I$11,0)),0)</f>
        <v>0</v>
      </c>
      <c r="AA971" s="7">
        <f t="shared" si="142"/>
        <v>67305.070000000007</v>
      </c>
      <c r="AB971" s="7">
        <f t="shared" si="143"/>
        <v>111255.07</v>
      </c>
    </row>
    <row r="972" spans="1:28" x14ac:dyDescent="0.25">
      <c r="A972">
        <v>1419116835</v>
      </c>
      <c r="B972" t="s">
        <v>878</v>
      </c>
      <c r="C972" t="s">
        <v>1318</v>
      </c>
      <c r="D972" t="str">
        <f>B972&amp;" "&amp;C972</f>
        <v>Martica Whyler</v>
      </c>
      <c r="E972" t="s">
        <v>10</v>
      </c>
      <c r="F972">
        <v>117781</v>
      </c>
      <c r="G972">
        <f>COUNTIF(deals_closed!D:D,Calculations!A972)</f>
        <v>18</v>
      </c>
      <c r="H972" s="2">
        <f>SUMIF(deals_closed!D:D,Calculations!A972,deals_closed!C:C)</f>
        <v>544027</v>
      </c>
      <c r="I972" s="2">
        <f>VLOOKUP(E972,'2018_commission_structure'!$A$11:$I$14,9,FALSE)</f>
        <v>750000</v>
      </c>
      <c r="J972" s="2">
        <f t="shared" si="135"/>
        <v>937500</v>
      </c>
      <c r="K972" s="2">
        <f t="shared" si="136"/>
        <v>1125000</v>
      </c>
      <c r="L972" s="2">
        <f t="shared" si="137"/>
        <v>1500000</v>
      </c>
      <c r="M972" s="6">
        <f t="shared" si="138"/>
        <v>0.72536933333333331</v>
      </c>
      <c r="N972" t="str">
        <f t="shared" si="139"/>
        <v>0-100%</v>
      </c>
      <c r="O972" s="7">
        <f>MIN(I972,H972)*INDEX('2018_commission_structure'!$A$11:$I$14,MATCH(Calculations!$E972,'2018_commission_structure'!$A$11:$A$14,0),MATCH(Calculations!O$1,'2018_commission_structure'!$A$11:$I$11,0))</f>
        <v>81604.05</v>
      </c>
      <c r="P972" s="7">
        <f>IF($H972&gt;I972,MIN($H972-I972,J972-I972)*INDEX('2018_commission_structure'!$A$11:$I$14,MATCH(Calculations!$E972,'2018_commission_structure'!$A$11:$A$14,0), MATCH(Calculations!P$1,'2018_commission_structure'!$A$11:$I$11,0)),0)</f>
        <v>0</v>
      </c>
      <c r="Q972" s="7">
        <f>IF($H972&gt;J972,MIN($H972-J972,K972-J972)*INDEX('2018_commission_structure'!$A$11:$I$14,MATCH(Calculations!$E972,'2018_commission_structure'!$A$11:$A$14,0), MATCH(Calculations!Q$1,'2018_commission_structure'!$A$11:$I$11,0)),0)</f>
        <v>0</v>
      </c>
      <c r="R972" s="7">
        <f>IF($H972&gt;K972,MIN($H972-K972,L972-K972)*INDEX('2018_commission_structure'!$A$11:$I$14,MATCH(Calculations!$E972,'2018_commission_structure'!$A$11:$A$14,0), MATCH(Calculations!R$1,'2018_commission_structure'!$A$11:$I$11,0)),0)</f>
        <v>0</v>
      </c>
      <c r="S972" s="7">
        <f>IF(H972&gt;L972,(H972-L972)*INDEX('2018_commission_structure'!$A$11:$I$14,MATCH(Calculations!$E972,'2018_commission_structure'!$A$11:$A$14,0),MATCH(Calculations!S$1,'2018_commission_structure'!$A$11:$I$11,0)),0)</f>
        <v>0</v>
      </c>
      <c r="T972" s="7">
        <f t="shared" si="140"/>
        <v>81604.05</v>
      </c>
      <c r="U972" s="7">
        <f t="shared" si="141"/>
        <v>199385.05</v>
      </c>
      <c r="V972" s="7">
        <f>MIN(H972,I972)*INDEX('2018_commission_structure'!$A$5:$J$8,MATCH(Calculations!$E972,'2018_commission_structure'!$A$5:$A$8,0),MATCH(Calculations!V$1,'2018_commission_structure'!$A$5:$J$5,0))</f>
        <v>81604.05</v>
      </c>
      <c r="W972" s="2">
        <f>IF($H972&gt;I972,MIN($H972-I972,J972-I972)*INDEX('2018_commission_structure'!$A$5:$J$8,MATCH(Calculations!$E972,'2018_commission_structure'!$A$5:$A$8,0),MATCH(Calculations!W$1,'2018_commission_structure'!$A$5:$J$5,0)),0)</f>
        <v>0</v>
      </c>
      <c r="X972" s="2">
        <f>IF($H972&gt;J972,MIN($H972-J972,K972-J972)*INDEX('2018_commission_structure'!$A$5:$J$8,MATCH(Calculations!$E972,'2018_commission_structure'!$A$5:$A$8,0),MATCH(Calculations!X$1,'2018_commission_structure'!$A$5:$J$5,0)),0)</f>
        <v>0</v>
      </c>
      <c r="Y972" s="2">
        <f>IF($H972&gt;K972,MIN($H972-K972,L972-K972)*INDEX('2018_commission_structure'!$A$5:$J$8,MATCH(Calculations!$E972,'2018_commission_structure'!$A$5:$A$8,0),MATCH(Calculations!Y$1,'2018_commission_structure'!$A$5:$J$5,0)),0)</f>
        <v>0</v>
      </c>
      <c r="Z972" s="2">
        <f xml:space="preserve"> IF(H972&gt;L972,(H972-L972)*INDEX('2018_commission_structure'!$A$11:$I$14,MATCH(Calculations!$E972,'2018_commission_structure'!$A$11:$A$14,0),MATCH(Calculations!Z$1,'2018_commission_structure'!$A$11:$I$11,0)),0)</f>
        <v>0</v>
      </c>
      <c r="AA972" s="7">
        <f t="shared" si="142"/>
        <v>81604.05</v>
      </c>
      <c r="AB972" s="7">
        <f t="shared" si="143"/>
        <v>199385.05</v>
      </c>
    </row>
    <row r="973" spans="1:28" x14ac:dyDescent="0.25">
      <c r="A973">
        <v>3764546336</v>
      </c>
      <c r="B973" t="s">
        <v>1498</v>
      </c>
      <c r="C973" t="s">
        <v>1499</v>
      </c>
      <c r="D973" t="str">
        <f>B973&amp;" "&amp;C973</f>
        <v>Adolpho Wickersham</v>
      </c>
      <c r="E973" t="s">
        <v>10</v>
      </c>
      <c r="F973">
        <v>116738</v>
      </c>
      <c r="G973">
        <f>COUNTIF(deals_closed!D:D,Calculations!A973)</f>
        <v>22</v>
      </c>
      <c r="H973" s="2">
        <f>SUMIF(deals_closed!D:D,Calculations!A973,deals_closed!C:C)</f>
        <v>826741</v>
      </c>
      <c r="I973" s="2">
        <f>VLOOKUP(E973,'2018_commission_structure'!$A$11:$I$14,9,FALSE)</f>
        <v>750000</v>
      </c>
      <c r="J973" s="2">
        <f t="shared" si="135"/>
        <v>937500</v>
      </c>
      <c r="K973" s="2">
        <f t="shared" si="136"/>
        <v>1125000</v>
      </c>
      <c r="L973" s="2">
        <f t="shared" si="137"/>
        <v>1500000</v>
      </c>
      <c r="M973" s="6">
        <f t="shared" si="138"/>
        <v>1.1023213333333333</v>
      </c>
      <c r="N973" t="str">
        <f t="shared" si="139"/>
        <v>100-125%</v>
      </c>
      <c r="O973" s="7">
        <f>MIN(I973,H973)*INDEX('2018_commission_structure'!$A$11:$I$14,MATCH(Calculations!$E973,'2018_commission_structure'!$A$11:$A$14,0),MATCH(Calculations!O$1,'2018_commission_structure'!$A$11:$I$11,0))</f>
        <v>112500</v>
      </c>
      <c r="P973" s="7">
        <f>IF($H973&gt;I973,MIN($H973-I973,J973-I973)*INDEX('2018_commission_structure'!$A$11:$I$14,MATCH(Calculations!$E973,'2018_commission_structure'!$A$11:$A$14,0), MATCH(Calculations!P$1,'2018_commission_structure'!$A$11:$I$11,0)),0)</f>
        <v>14580.79</v>
      </c>
      <c r="Q973" s="7">
        <f>IF($H973&gt;J973,MIN($H973-J973,K973-J973)*INDEX('2018_commission_structure'!$A$11:$I$14,MATCH(Calculations!$E973,'2018_commission_structure'!$A$11:$A$14,0), MATCH(Calculations!Q$1,'2018_commission_structure'!$A$11:$I$11,0)),0)</f>
        <v>0</v>
      </c>
      <c r="R973" s="7">
        <f>IF($H973&gt;K973,MIN($H973-K973,L973-K973)*INDEX('2018_commission_structure'!$A$11:$I$14,MATCH(Calculations!$E973,'2018_commission_structure'!$A$11:$A$14,0), MATCH(Calculations!R$1,'2018_commission_structure'!$A$11:$I$11,0)),0)</f>
        <v>0</v>
      </c>
      <c r="S973" s="7">
        <f>IF(H973&gt;L973,(H973-L973)*INDEX('2018_commission_structure'!$A$11:$I$14,MATCH(Calculations!$E973,'2018_commission_structure'!$A$11:$A$14,0),MATCH(Calculations!S$1,'2018_commission_structure'!$A$11:$I$11,0)),0)</f>
        <v>0</v>
      </c>
      <c r="T973" s="7">
        <f t="shared" si="140"/>
        <v>127080.79000000001</v>
      </c>
      <c r="U973" s="7">
        <f t="shared" si="141"/>
        <v>243818.79</v>
      </c>
      <c r="V973" s="7">
        <f>MIN(H973,I973)*INDEX('2018_commission_structure'!$A$5:$J$8,MATCH(Calculations!$E973,'2018_commission_structure'!$A$5:$A$8,0),MATCH(Calculations!V$1,'2018_commission_structure'!$A$5:$J$5,0))</f>
        <v>112500</v>
      </c>
      <c r="W973" s="2">
        <f>IF($H973&gt;I973,MIN($H973-I973,J973-I973)*INDEX('2018_commission_structure'!$A$5:$J$8,MATCH(Calculations!$E973,'2018_commission_structure'!$A$5:$A$8,0),MATCH(Calculations!W$1,'2018_commission_structure'!$A$5:$J$5,0)),0)</f>
        <v>16883.02</v>
      </c>
      <c r="X973" s="2">
        <f>IF($H973&gt;J973,MIN($H973-J973,K973-J973)*INDEX('2018_commission_structure'!$A$5:$J$8,MATCH(Calculations!$E973,'2018_commission_structure'!$A$5:$A$8,0),MATCH(Calculations!X$1,'2018_commission_structure'!$A$5:$J$5,0)),0)</f>
        <v>0</v>
      </c>
      <c r="Y973" s="2">
        <f>IF($H973&gt;K973,MIN($H973-K973,L973-K973)*INDEX('2018_commission_structure'!$A$5:$J$8,MATCH(Calculations!$E973,'2018_commission_structure'!$A$5:$A$8,0),MATCH(Calculations!Y$1,'2018_commission_structure'!$A$5:$J$5,0)),0)</f>
        <v>0</v>
      </c>
      <c r="Z973" s="2">
        <f xml:space="preserve"> IF(H973&gt;L973,(H973-L973)*INDEX('2018_commission_structure'!$A$11:$I$14,MATCH(Calculations!$E973,'2018_commission_structure'!$A$11:$A$14,0),MATCH(Calculations!Z$1,'2018_commission_structure'!$A$11:$I$11,0)),0)</f>
        <v>0</v>
      </c>
      <c r="AA973" s="7">
        <f t="shared" si="142"/>
        <v>129383.02</v>
      </c>
      <c r="AB973" s="7">
        <f t="shared" si="143"/>
        <v>246121.02000000002</v>
      </c>
    </row>
    <row r="974" spans="1:28" x14ac:dyDescent="0.25">
      <c r="A974">
        <v>5499856877</v>
      </c>
      <c r="B974" t="s">
        <v>1728</v>
      </c>
      <c r="C974" t="s">
        <v>1729</v>
      </c>
      <c r="D974" t="str">
        <f>B974&amp;" "&amp;C974</f>
        <v>Deny Wiffler</v>
      </c>
      <c r="E974" t="s">
        <v>29</v>
      </c>
      <c r="F974">
        <v>77267</v>
      </c>
      <c r="G974">
        <f>COUNTIF(deals_closed!D:D,Calculations!A974)</f>
        <v>13</v>
      </c>
      <c r="H974" s="2">
        <f>SUMIF(deals_closed!D:D,Calculations!A974,deals_closed!C:C)</f>
        <v>475164</v>
      </c>
      <c r="I974" s="2">
        <f>VLOOKUP(E974,'2018_commission_structure'!$A$11:$I$14,9,FALSE)</f>
        <v>600000</v>
      </c>
      <c r="J974" s="2">
        <f t="shared" si="135"/>
        <v>750000</v>
      </c>
      <c r="K974" s="2">
        <f t="shared" si="136"/>
        <v>900000</v>
      </c>
      <c r="L974" s="2">
        <f t="shared" si="137"/>
        <v>1200000</v>
      </c>
      <c r="M974" s="6">
        <f t="shared" si="138"/>
        <v>0.79193999999999998</v>
      </c>
      <c r="N974" t="str">
        <f t="shared" si="139"/>
        <v>0-100%</v>
      </c>
      <c r="O974" s="7">
        <f>MIN(I974,H974)*INDEX('2018_commission_structure'!$A$11:$I$14,MATCH(Calculations!$E974,'2018_commission_structure'!$A$11:$A$14,0),MATCH(Calculations!O$1,'2018_commission_structure'!$A$11:$I$11,0))</f>
        <v>61771.32</v>
      </c>
      <c r="P974" s="7">
        <f>IF($H974&gt;I974,MIN($H974-I974,J974-I974)*INDEX('2018_commission_structure'!$A$11:$I$14,MATCH(Calculations!$E974,'2018_commission_structure'!$A$11:$A$14,0), MATCH(Calculations!P$1,'2018_commission_structure'!$A$11:$I$11,0)),0)</f>
        <v>0</v>
      </c>
      <c r="Q974" s="7">
        <f>IF($H974&gt;J974,MIN($H974-J974,K974-J974)*INDEX('2018_commission_structure'!$A$11:$I$14,MATCH(Calculations!$E974,'2018_commission_structure'!$A$11:$A$14,0), MATCH(Calculations!Q$1,'2018_commission_structure'!$A$11:$I$11,0)),0)</f>
        <v>0</v>
      </c>
      <c r="R974" s="7">
        <f>IF($H974&gt;K974,MIN($H974-K974,L974-K974)*INDEX('2018_commission_structure'!$A$11:$I$14,MATCH(Calculations!$E974,'2018_commission_structure'!$A$11:$A$14,0), MATCH(Calculations!R$1,'2018_commission_structure'!$A$11:$I$11,0)),0)</f>
        <v>0</v>
      </c>
      <c r="S974" s="7">
        <f>IF(H974&gt;L974,(H974-L974)*INDEX('2018_commission_structure'!$A$11:$I$14,MATCH(Calculations!$E974,'2018_commission_structure'!$A$11:$A$14,0),MATCH(Calculations!S$1,'2018_commission_structure'!$A$11:$I$11,0)),0)</f>
        <v>0</v>
      </c>
      <c r="T974" s="7">
        <f t="shared" si="140"/>
        <v>61771.32</v>
      </c>
      <c r="U974" s="7">
        <f t="shared" si="141"/>
        <v>139038.32</v>
      </c>
      <c r="V974" s="7">
        <f>MIN(H974,I974)*INDEX('2018_commission_structure'!$A$5:$J$8,MATCH(Calculations!$E974,'2018_commission_structure'!$A$5:$A$8,0),MATCH(Calculations!V$1,'2018_commission_structure'!$A$5:$J$5,0))</f>
        <v>71274.599999999991</v>
      </c>
      <c r="W974" s="2">
        <f>IF($H974&gt;I974,MIN($H974-I974,J974-I974)*INDEX('2018_commission_structure'!$A$5:$J$8,MATCH(Calculations!$E974,'2018_commission_structure'!$A$5:$A$8,0),MATCH(Calculations!W$1,'2018_commission_structure'!$A$5:$J$5,0)),0)</f>
        <v>0</v>
      </c>
      <c r="X974" s="2">
        <f>IF($H974&gt;J974,MIN($H974-J974,K974-J974)*INDEX('2018_commission_structure'!$A$5:$J$8,MATCH(Calculations!$E974,'2018_commission_structure'!$A$5:$A$8,0),MATCH(Calculations!X$1,'2018_commission_structure'!$A$5:$J$5,0)),0)</f>
        <v>0</v>
      </c>
      <c r="Y974" s="2">
        <f>IF($H974&gt;K974,MIN($H974-K974,L974-K974)*INDEX('2018_commission_structure'!$A$5:$J$8,MATCH(Calculations!$E974,'2018_commission_structure'!$A$5:$A$8,0),MATCH(Calculations!Y$1,'2018_commission_structure'!$A$5:$J$5,0)),0)</f>
        <v>0</v>
      </c>
      <c r="Z974" s="2">
        <f xml:space="preserve"> IF(H974&gt;L974,(H974-L974)*INDEX('2018_commission_structure'!$A$11:$I$14,MATCH(Calculations!$E974,'2018_commission_structure'!$A$11:$A$14,0),MATCH(Calculations!Z$1,'2018_commission_structure'!$A$11:$I$11,0)),0)</f>
        <v>0</v>
      </c>
      <c r="AA974" s="7">
        <f t="shared" si="142"/>
        <v>71274.599999999991</v>
      </c>
      <c r="AB974" s="7">
        <f t="shared" si="143"/>
        <v>148541.59999999998</v>
      </c>
    </row>
    <row r="975" spans="1:28" x14ac:dyDescent="0.25">
      <c r="A975">
        <v>5138969978</v>
      </c>
      <c r="B975" t="s">
        <v>628</v>
      </c>
      <c r="C975" t="s">
        <v>629</v>
      </c>
      <c r="D975" t="str">
        <f>B975&amp;" "&amp;C975</f>
        <v>Norman Wilden</v>
      </c>
      <c r="E975" t="s">
        <v>29</v>
      </c>
      <c r="F975">
        <v>69082</v>
      </c>
      <c r="G975">
        <f>COUNTIF(deals_closed!D:D,Calculations!A975)</f>
        <v>23</v>
      </c>
      <c r="H975" s="2">
        <f>SUMIF(deals_closed!D:D,Calculations!A975,deals_closed!C:C)</f>
        <v>831460</v>
      </c>
      <c r="I975" s="2">
        <f>VLOOKUP(E975,'2018_commission_structure'!$A$11:$I$14,9,FALSE)</f>
        <v>600000</v>
      </c>
      <c r="J975" s="2">
        <f t="shared" si="135"/>
        <v>750000</v>
      </c>
      <c r="K975" s="2">
        <f t="shared" si="136"/>
        <v>900000</v>
      </c>
      <c r="L975" s="2">
        <f t="shared" si="137"/>
        <v>1200000</v>
      </c>
      <c r="M975" s="6">
        <f t="shared" si="138"/>
        <v>1.3857666666666666</v>
      </c>
      <c r="N975" t="str">
        <f t="shared" si="139"/>
        <v>125-150%</v>
      </c>
      <c r="O975" s="7">
        <f>MIN(I975,H975)*INDEX('2018_commission_structure'!$A$11:$I$14,MATCH(Calculations!$E975,'2018_commission_structure'!$A$11:$A$14,0),MATCH(Calculations!O$1,'2018_commission_structure'!$A$11:$I$11,0))</f>
        <v>78000</v>
      </c>
      <c r="P975" s="7">
        <f>IF($H975&gt;I975,MIN($H975-I975,J975-I975)*INDEX('2018_commission_structure'!$A$11:$I$14,MATCH(Calculations!$E975,'2018_commission_structure'!$A$11:$A$14,0), MATCH(Calculations!P$1,'2018_commission_structure'!$A$11:$I$11,0)),0)</f>
        <v>25500.000000000004</v>
      </c>
      <c r="Q975" s="7">
        <f>IF($H975&gt;J975,MIN($H975-J975,K975-J975)*INDEX('2018_commission_structure'!$A$11:$I$14,MATCH(Calculations!$E975,'2018_commission_structure'!$A$11:$A$14,0), MATCH(Calculations!Q$1,'2018_commission_structure'!$A$11:$I$11,0)),0)</f>
        <v>17106.599999999999</v>
      </c>
      <c r="R975" s="7">
        <f>IF($H975&gt;K975,MIN($H975-K975,L975-K975)*INDEX('2018_commission_structure'!$A$11:$I$14,MATCH(Calculations!$E975,'2018_commission_structure'!$A$11:$A$14,0), MATCH(Calculations!R$1,'2018_commission_structure'!$A$11:$I$11,0)),0)</f>
        <v>0</v>
      </c>
      <c r="S975" s="7">
        <f>IF(H975&gt;L975,(H975-L975)*INDEX('2018_commission_structure'!$A$11:$I$14,MATCH(Calculations!$E975,'2018_commission_structure'!$A$11:$A$14,0),MATCH(Calculations!S$1,'2018_commission_structure'!$A$11:$I$11,0)),0)</f>
        <v>0</v>
      </c>
      <c r="T975" s="7">
        <f t="shared" si="140"/>
        <v>120606.6</v>
      </c>
      <c r="U975" s="7">
        <f t="shared" si="141"/>
        <v>189688.6</v>
      </c>
      <c r="V975" s="7">
        <f>MIN(H975,I975)*INDEX('2018_commission_structure'!$A$5:$J$8,MATCH(Calculations!$E975,'2018_commission_structure'!$A$5:$A$8,0),MATCH(Calculations!V$1,'2018_commission_structure'!$A$5:$J$5,0))</f>
        <v>90000</v>
      </c>
      <c r="W975" s="2">
        <f>IF($H975&gt;I975,MIN($H975-I975,J975-I975)*INDEX('2018_commission_structure'!$A$5:$J$8,MATCH(Calculations!$E975,'2018_commission_structure'!$A$5:$A$8,0),MATCH(Calculations!W$1,'2018_commission_structure'!$A$5:$J$5,0)),0)</f>
        <v>27000</v>
      </c>
      <c r="X975" s="2">
        <f>IF($H975&gt;J975,MIN($H975-J975,K975-J975)*INDEX('2018_commission_structure'!$A$5:$J$8,MATCH(Calculations!$E975,'2018_commission_structure'!$A$5:$A$8,0),MATCH(Calculations!X$1,'2018_commission_structure'!$A$5:$J$5,0)),0)</f>
        <v>20365</v>
      </c>
      <c r="Y975" s="2">
        <f>IF($H975&gt;K975,MIN($H975-K975,L975-K975)*INDEX('2018_commission_structure'!$A$5:$J$8,MATCH(Calculations!$E975,'2018_commission_structure'!$A$5:$A$8,0),MATCH(Calculations!Y$1,'2018_commission_structure'!$A$5:$J$5,0)),0)</f>
        <v>0</v>
      </c>
      <c r="Z975" s="2">
        <f xml:space="preserve"> IF(H975&gt;L975,(H975-L975)*INDEX('2018_commission_structure'!$A$11:$I$14,MATCH(Calculations!$E975,'2018_commission_structure'!$A$11:$A$14,0),MATCH(Calculations!Z$1,'2018_commission_structure'!$A$11:$I$11,0)),0)</f>
        <v>0</v>
      </c>
      <c r="AA975" s="7">
        <f t="shared" si="142"/>
        <v>137365</v>
      </c>
      <c r="AB975" s="7">
        <f t="shared" si="143"/>
        <v>206447</v>
      </c>
    </row>
    <row r="976" spans="1:28" x14ac:dyDescent="0.25">
      <c r="A976">
        <v>6000780338</v>
      </c>
      <c r="B976" t="s">
        <v>1564</v>
      </c>
      <c r="C976" t="s">
        <v>1565</v>
      </c>
      <c r="D976" t="str">
        <f>B976&amp;" "&amp;C976</f>
        <v>Erma Wilder</v>
      </c>
      <c r="E976" t="s">
        <v>29</v>
      </c>
      <c r="F976">
        <v>78142</v>
      </c>
      <c r="G976">
        <f>COUNTIF(deals_closed!D:D,Calculations!A976)</f>
        <v>26</v>
      </c>
      <c r="H976" s="2">
        <f>SUMIF(deals_closed!D:D,Calculations!A976,deals_closed!C:C)</f>
        <v>951577</v>
      </c>
      <c r="I976" s="2">
        <f>VLOOKUP(E976,'2018_commission_structure'!$A$11:$I$14,9,FALSE)</f>
        <v>600000</v>
      </c>
      <c r="J976" s="2">
        <f t="shared" si="135"/>
        <v>750000</v>
      </c>
      <c r="K976" s="2">
        <f t="shared" si="136"/>
        <v>900000</v>
      </c>
      <c r="L976" s="2">
        <f t="shared" si="137"/>
        <v>1200000</v>
      </c>
      <c r="M976" s="6">
        <f t="shared" si="138"/>
        <v>1.5859616666666667</v>
      </c>
      <c r="N976" t="str">
        <f t="shared" si="139"/>
        <v>150-200%</v>
      </c>
      <c r="O976" s="7">
        <f>MIN(I976,H976)*INDEX('2018_commission_structure'!$A$11:$I$14,MATCH(Calculations!$E976,'2018_commission_structure'!$A$11:$A$14,0),MATCH(Calculations!O$1,'2018_commission_structure'!$A$11:$I$11,0))</f>
        <v>78000</v>
      </c>
      <c r="P976" s="7">
        <f>IF($H976&gt;I976,MIN($H976-I976,J976-I976)*INDEX('2018_commission_structure'!$A$11:$I$14,MATCH(Calculations!$E976,'2018_commission_structure'!$A$11:$A$14,0), MATCH(Calculations!P$1,'2018_commission_structure'!$A$11:$I$11,0)),0)</f>
        <v>25500.000000000004</v>
      </c>
      <c r="Q976" s="7">
        <f>IF($H976&gt;J976,MIN($H976-J976,K976-J976)*INDEX('2018_commission_structure'!$A$11:$I$14,MATCH(Calculations!$E976,'2018_commission_structure'!$A$11:$A$14,0), MATCH(Calculations!Q$1,'2018_commission_structure'!$A$11:$I$11,0)),0)</f>
        <v>31500</v>
      </c>
      <c r="R976" s="7">
        <f>IF($H976&gt;K976,MIN($H976-K976,L976-K976)*INDEX('2018_commission_structure'!$A$11:$I$14,MATCH(Calculations!$E976,'2018_commission_structure'!$A$11:$A$14,0), MATCH(Calculations!R$1,'2018_commission_structure'!$A$11:$I$11,0)),0)</f>
        <v>13410.02</v>
      </c>
      <c r="S976" s="7">
        <f>IF(H976&gt;L976,(H976-L976)*INDEX('2018_commission_structure'!$A$11:$I$14,MATCH(Calculations!$E976,'2018_commission_structure'!$A$11:$A$14,0),MATCH(Calculations!S$1,'2018_commission_structure'!$A$11:$I$11,0)),0)</f>
        <v>0</v>
      </c>
      <c r="T976" s="7">
        <f t="shared" si="140"/>
        <v>148410.01999999999</v>
      </c>
      <c r="U976" s="7">
        <f t="shared" si="141"/>
        <v>226552.02</v>
      </c>
      <c r="V976" s="7">
        <f>MIN(H976,I976)*INDEX('2018_commission_structure'!$A$5:$J$8,MATCH(Calculations!$E976,'2018_commission_structure'!$A$5:$A$8,0),MATCH(Calculations!V$1,'2018_commission_structure'!$A$5:$J$5,0))</f>
        <v>90000</v>
      </c>
      <c r="W976" s="2">
        <f>IF($H976&gt;I976,MIN($H976-I976,J976-I976)*INDEX('2018_commission_structure'!$A$5:$J$8,MATCH(Calculations!$E976,'2018_commission_structure'!$A$5:$A$8,0),MATCH(Calculations!W$1,'2018_commission_structure'!$A$5:$J$5,0)),0)</f>
        <v>27000</v>
      </c>
      <c r="X976" s="2">
        <f>IF($H976&gt;J976,MIN($H976-J976,K976-J976)*INDEX('2018_commission_structure'!$A$5:$J$8,MATCH(Calculations!$E976,'2018_commission_structure'!$A$5:$A$8,0),MATCH(Calculations!X$1,'2018_commission_structure'!$A$5:$J$5,0)),0)</f>
        <v>37500</v>
      </c>
      <c r="Y976" s="2">
        <f>IF($H976&gt;K976,MIN($H976-K976,L976-K976)*INDEX('2018_commission_structure'!$A$5:$J$8,MATCH(Calculations!$E976,'2018_commission_structure'!$A$5:$A$8,0),MATCH(Calculations!Y$1,'2018_commission_structure'!$A$5:$J$5,0)),0)</f>
        <v>15473.099999999999</v>
      </c>
      <c r="Z976" s="2">
        <f xml:space="preserve"> IF(H976&gt;L976,(H976-L976)*INDEX('2018_commission_structure'!$A$11:$I$14,MATCH(Calculations!$E976,'2018_commission_structure'!$A$11:$A$14,0),MATCH(Calculations!Z$1,'2018_commission_structure'!$A$11:$I$11,0)),0)</f>
        <v>0</v>
      </c>
      <c r="AA976" s="7">
        <f t="shared" si="142"/>
        <v>169973.1</v>
      </c>
      <c r="AB976" s="7">
        <f t="shared" si="143"/>
        <v>248115.1</v>
      </c>
    </row>
    <row r="977" spans="1:28" x14ac:dyDescent="0.25">
      <c r="A977">
        <v>7741079360</v>
      </c>
      <c r="B977" t="s">
        <v>1620</v>
      </c>
      <c r="C977" t="s">
        <v>1621</v>
      </c>
      <c r="D977" t="str">
        <f>B977&amp;" "&amp;C977</f>
        <v>Donovan Willingham</v>
      </c>
      <c r="E977" t="s">
        <v>29</v>
      </c>
      <c r="F977">
        <v>60165</v>
      </c>
      <c r="G977">
        <f>COUNTIF(deals_closed!D:D,Calculations!A977)</f>
        <v>22</v>
      </c>
      <c r="H977" s="2">
        <f>SUMIF(deals_closed!D:D,Calculations!A977,deals_closed!C:C)</f>
        <v>766349</v>
      </c>
      <c r="I977" s="2">
        <f>VLOOKUP(E977,'2018_commission_structure'!$A$11:$I$14,9,FALSE)</f>
        <v>600000</v>
      </c>
      <c r="J977" s="2">
        <f t="shared" si="135"/>
        <v>750000</v>
      </c>
      <c r="K977" s="2">
        <f t="shared" si="136"/>
        <v>900000</v>
      </c>
      <c r="L977" s="2">
        <f t="shared" si="137"/>
        <v>1200000</v>
      </c>
      <c r="M977" s="6">
        <f t="shared" si="138"/>
        <v>1.2772483333333333</v>
      </c>
      <c r="N977" t="str">
        <f t="shared" si="139"/>
        <v>125-150%</v>
      </c>
      <c r="O977" s="7">
        <f>MIN(I977,H977)*INDEX('2018_commission_structure'!$A$11:$I$14,MATCH(Calculations!$E977,'2018_commission_structure'!$A$11:$A$14,0),MATCH(Calculations!O$1,'2018_commission_structure'!$A$11:$I$11,0))</f>
        <v>78000</v>
      </c>
      <c r="P977" s="7">
        <f>IF($H977&gt;I977,MIN($H977-I977,J977-I977)*INDEX('2018_commission_structure'!$A$11:$I$14,MATCH(Calculations!$E977,'2018_commission_structure'!$A$11:$A$14,0), MATCH(Calculations!P$1,'2018_commission_structure'!$A$11:$I$11,0)),0)</f>
        <v>25500.000000000004</v>
      </c>
      <c r="Q977" s="7">
        <f>IF($H977&gt;J977,MIN($H977-J977,K977-J977)*INDEX('2018_commission_structure'!$A$11:$I$14,MATCH(Calculations!$E977,'2018_commission_structure'!$A$11:$A$14,0), MATCH(Calculations!Q$1,'2018_commission_structure'!$A$11:$I$11,0)),0)</f>
        <v>3433.29</v>
      </c>
      <c r="R977" s="7">
        <f>IF($H977&gt;K977,MIN($H977-K977,L977-K977)*INDEX('2018_commission_structure'!$A$11:$I$14,MATCH(Calculations!$E977,'2018_commission_structure'!$A$11:$A$14,0), MATCH(Calculations!R$1,'2018_commission_structure'!$A$11:$I$11,0)),0)</f>
        <v>0</v>
      </c>
      <c r="S977" s="7">
        <f>IF(H977&gt;L977,(H977-L977)*INDEX('2018_commission_structure'!$A$11:$I$14,MATCH(Calculations!$E977,'2018_commission_structure'!$A$11:$A$14,0),MATCH(Calculations!S$1,'2018_commission_structure'!$A$11:$I$11,0)),0)</f>
        <v>0</v>
      </c>
      <c r="T977" s="7">
        <f t="shared" si="140"/>
        <v>106933.29</v>
      </c>
      <c r="U977" s="7">
        <f t="shared" si="141"/>
        <v>167098.28999999998</v>
      </c>
      <c r="V977" s="7">
        <f>MIN(H977,I977)*INDEX('2018_commission_structure'!$A$5:$J$8,MATCH(Calculations!$E977,'2018_commission_structure'!$A$5:$A$8,0),MATCH(Calculations!V$1,'2018_commission_structure'!$A$5:$J$5,0))</f>
        <v>90000</v>
      </c>
      <c r="W977" s="2">
        <f>IF($H977&gt;I977,MIN($H977-I977,J977-I977)*INDEX('2018_commission_structure'!$A$5:$J$8,MATCH(Calculations!$E977,'2018_commission_structure'!$A$5:$A$8,0),MATCH(Calculations!W$1,'2018_commission_structure'!$A$5:$J$5,0)),0)</f>
        <v>27000</v>
      </c>
      <c r="X977" s="2">
        <f>IF($H977&gt;J977,MIN($H977-J977,K977-J977)*INDEX('2018_commission_structure'!$A$5:$J$8,MATCH(Calculations!$E977,'2018_commission_structure'!$A$5:$A$8,0),MATCH(Calculations!X$1,'2018_commission_structure'!$A$5:$J$5,0)),0)</f>
        <v>4087.25</v>
      </c>
      <c r="Y977" s="2">
        <f>IF($H977&gt;K977,MIN($H977-K977,L977-K977)*INDEX('2018_commission_structure'!$A$5:$J$8,MATCH(Calculations!$E977,'2018_commission_structure'!$A$5:$A$8,0),MATCH(Calculations!Y$1,'2018_commission_structure'!$A$5:$J$5,0)),0)</f>
        <v>0</v>
      </c>
      <c r="Z977" s="2">
        <f xml:space="preserve"> IF(H977&gt;L977,(H977-L977)*INDEX('2018_commission_structure'!$A$11:$I$14,MATCH(Calculations!$E977,'2018_commission_structure'!$A$11:$A$14,0),MATCH(Calculations!Z$1,'2018_commission_structure'!$A$11:$I$11,0)),0)</f>
        <v>0</v>
      </c>
      <c r="AA977" s="7">
        <f t="shared" si="142"/>
        <v>121087.25</v>
      </c>
      <c r="AB977" s="7">
        <f t="shared" si="143"/>
        <v>181252.25</v>
      </c>
    </row>
    <row r="978" spans="1:28" x14ac:dyDescent="0.25">
      <c r="A978">
        <v>2936088178</v>
      </c>
      <c r="B978" t="s">
        <v>514</v>
      </c>
      <c r="C978" t="s">
        <v>515</v>
      </c>
      <c r="D978" t="str">
        <f>B978&amp;" "&amp;C978</f>
        <v>Ariadne Willshire</v>
      </c>
      <c r="E978" t="s">
        <v>10</v>
      </c>
      <c r="F978">
        <v>76155</v>
      </c>
      <c r="G978">
        <f>COUNTIF(deals_closed!D:D,Calculations!A978)</f>
        <v>15</v>
      </c>
      <c r="H978" s="2">
        <f>SUMIF(deals_closed!D:D,Calculations!A978,deals_closed!C:C)</f>
        <v>483274</v>
      </c>
      <c r="I978" s="2">
        <f>VLOOKUP(E978,'2018_commission_structure'!$A$11:$I$14,9,FALSE)</f>
        <v>750000</v>
      </c>
      <c r="J978" s="2">
        <f t="shared" si="135"/>
        <v>937500</v>
      </c>
      <c r="K978" s="2">
        <f t="shared" si="136"/>
        <v>1125000</v>
      </c>
      <c r="L978" s="2">
        <f t="shared" si="137"/>
        <v>1500000</v>
      </c>
      <c r="M978" s="6">
        <f t="shared" si="138"/>
        <v>0.64436533333333335</v>
      </c>
      <c r="N978" t="str">
        <f t="shared" si="139"/>
        <v>0-100%</v>
      </c>
      <c r="O978" s="7">
        <f>MIN(I978,H978)*INDEX('2018_commission_structure'!$A$11:$I$14,MATCH(Calculations!$E978,'2018_commission_structure'!$A$11:$A$14,0),MATCH(Calculations!O$1,'2018_commission_structure'!$A$11:$I$11,0))</f>
        <v>72491.099999999991</v>
      </c>
      <c r="P978" s="7">
        <f>IF($H978&gt;I978,MIN($H978-I978,J978-I978)*INDEX('2018_commission_structure'!$A$11:$I$14,MATCH(Calculations!$E978,'2018_commission_structure'!$A$11:$A$14,0), MATCH(Calculations!P$1,'2018_commission_structure'!$A$11:$I$11,0)),0)</f>
        <v>0</v>
      </c>
      <c r="Q978" s="7">
        <f>IF($H978&gt;J978,MIN($H978-J978,K978-J978)*INDEX('2018_commission_structure'!$A$11:$I$14,MATCH(Calculations!$E978,'2018_commission_structure'!$A$11:$A$14,0), MATCH(Calculations!Q$1,'2018_commission_structure'!$A$11:$I$11,0)),0)</f>
        <v>0</v>
      </c>
      <c r="R978" s="7">
        <f>IF($H978&gt;K978,MIN($H978-K978,L978-K978)*INDEX('2018_commission_structure'!$A$11:$I$14,MATCH(Calculations!$E978,'2018_commission_structure'!$A$11:$A$14,0), MATCH(Calculations!R$1,'2018_commission_structure'!$A$11:$I$11,0)),0)</f>
        <v>0</v>
      </c>
      <c r="S978" s="7">
        <f>IF(H978&gt;L978,(H978-L978)*INDEX('2018_commission_structure'!$A$11:$I$14,MATCH(Calculations!$E978,'2018_commission_structure'!$A$11:$A$14,0),MATCH(Calculations!S$1,'2018_commission_structure'!$A$11:$I$11,0)),0)</f>
        <v>0</v>
      </c>
      <c r="T978" s="7">
        <f t="shared" si="140"/>
        <v>72491.099999999991</v>
      </c>
      <c r="U978" s="7">
        <f t="shared" si="141"/>
        <v>148646.09999999998</v>
      </c>
      <c r="V978" s="7">
        <f>MIN(H978,I978)*INDEX('2018_commission_structure'!$A$5:$J$8,MATCH(Calculations!$E978,'2018_commission_structure'!$A$5:$A$8,0),MATCH(Calculations!V$1,'2018_commission_structure'!$A$5:$J$5,0))</f>
        <v>72491.099999999991</v>
      </c>
      <c r="W978" s="2">
        <f>IF($H978&gt;I978,MIN($H978-I978,J978-I978)*INDEX('2018_commission_structure'!$A$5:$J$8,MATCH(Calculations!$E978,'2018_commission_structure'!$A$5:$A$8,0),MATCH(Calculations!W$1,'2018_commission_structure'!$A$5:$J$5,0)),0)</f>
        <v>0</v>
      </c>
      <c r="X978" s="2">
        <f>IF($H978&gt;J978,MIN($H978-J978,K978-J978)*INDEX('2018_commission_structure'!$A$5:$J$8,MATCH(Calculations!$E978,'2018_commission_structure'!$A$5:$A$8,0),MATCH(Calculations!X$1,'2018_commission_structure'!$A$5:$J$5,0)),0)</f>
        <v>0</v>
      </c>
      <c r="Y978" s="2">
        <f>IF($H978&gt;K978,MIN($H978-K978,L978-K978)*INDEX('2018_commission_structure'!$A$5:$J$8,MATCH(Calculations!$E978,'2018_commission_structure'!$A$5:$A$8,0),MATCH(Calculations!Y$1,'2018_commission_structure'!$A$5:$J$5,0)),0)</f>
        <v>0</v>
      </c>
      <c r="Z978" s="2">
        <f xml:space="preserve"> IF(H978&gt;L978,(H978-L978)*INDEX('2018_commission_structure'!$A$11:$I$14,MATCH(Calculations!$E978,'2018_commission_structure'!$A$11:$A$14,0),MATCH(Calculations!Z$1,'2018_commission_structure'!$A$11:$I$11,0)),0)</f>
        <v>0</v>
      </c>
      <c r="AA978" s="7">
        <f t="shared" si="142"/>
        <v>72491.099999999991</v>
      </c>
      <c r="AB978" s="7">
        <f t="shared" si="143"/>
        <v>148646.09999999998</v>
      </c>
    </row>
    <row r="979" spans="1:28" x14ac:dyDescent="0.25">
      <c r="A979">
        <v>2352201101</v>
      </c>
      <c r="B979" t="s">
        <v>539</v>
      </c>
      <c r="C979" t="s">
        <v>540</v>
      </c>
      <c r="D979" t="str">
        <f>B979&amp;" "&amp;C979</f>
        <v>Umeko Wilshaw</v>
      </c>
      <c r="E979" t="s">
        <v>7</v>
      </c>
      <c r="F979">
        <v>56725</v>
      </c>
      <c r="G979">
        <f>COUNTIF(deals_closed!D:D,Calculations!A979)</f>
        <v>20</v>
      </c>
      <c r="H979" s="2">
        <f>SUMIF(deals_closed!D:D,Calculations!A979,deals_closed!C:C)</f>
        <v>689888</v>
      </c>
      <c r="I979" s="2">
        <f>VLOOKUP(E979,'2018_commission_structure'!$A$11:$I$14,9,FALSE)</f>
        <v>500000</v>
      </c>
      <c r="J979" s="2">
        <f t="shared" si="135"/>
        <v>625000</v>
      </c>
      <c r="K979" s="2">
        <f t="shared" si="136"/>
        <v>750000</v>
      </c>
      <c r="L979" s="2">
        <f t="shared" si="137"/>
        <v>1000000</v>
      </c>
      <c r="M979" s="6">
        <f t="shared" si="138"/>
        <v>1.3797759999999999</v>
      </c>
      <c r="N979" t="str">
        <f t="shared" si="139"/>
        <v>125-150%</v>
      </c>
      <c r="O979" s="7">
        <f>MIN(I979,H979)*INDEX('2018_commission_structure'!$A$11:$I$14,MATCH(Calculations!$E979,'2018_commission_structure'!$A$11:$A$14,0),MATCH(Calculations!O$1,'2018_commission_structure'!$A$11:$I$11,0))</f>
        <v>50000</v>
      </c>
      <c r="P979" s="7">
        <f>IF($H979&gt;I979,MIN($H979-I979,J979-I979)*INDEX('2018_commission_structure'!$A$11:$I$14,MATCH(Calculations!$E979,'2018_commission_structure'!$A$11:$A$14,0), MATCH(Calculations!P$1,'2018_commission_structure'!$A$11:$I$11,0)),0)</f>
        <v>18750</v>
      </c>
      <c r="Q979" s="7">
        <f>IF($H979&gt;J979,MIN($H979-J979,K979-J979)*INDEX('2018_commission_structure'!$A$11:$I$14,MATCH(Calculations!$E979,'2018_commission_structure'!$A$11:$A$14,0), MATCH(Calculations!Q$1,'2018_commission_structure'!$A$11:$I$11,0)),0)</f>
        <v>11679.84</v>
      </c>
      <c r="R979" s="7">
        <f>IF($H979&gt;K979,MIN($H979-K979,L979-K979)*INDEX('2018_commission_structure'!$A$11:$I$14,MATCH(Calculations!$E979,'2018_commission_structure'!$A$11:$A$14,0), MATCH(Calculations!R$1,'2018_commission_structure'!$A$11:$I$11,0)),0)</f>
        <v>0</v>
      </c>
      <c r="S979" s="7">
        <f>IF(H979&gt;L979,(H979-L979)*INDEX('2018_commission_structure'!$A$11:$I$14,MATCH(Calculations!$E979,'2018_commission_structure'!$A$11:$A$14,0),MATCH(Calculations!S$1,'2018_commission_structure'!$A$11:$I$11,0)),0)</f>
        <v>0</v>
      </c>
      <c r="T979" s="7">
        <f t="shared" si="140"/>
        <v>80429.84</v>
      </c>
      <c r="U979" s="7">
        <f t="shared" si="141"/>
        <v>137154.84</v>
      </c>
      <c r="V979" s="7">
        <f>MIN(H979,I979)*INDEX('2018_commission_structure'!$A$5:$J$8,MATCH(Calculations!$E979,'2018_commission_structure'!$A$5:$A$8,0),MATCH(Calculations!V$1,'2018_commission_structure'!$A$5:$J$5,0))</f>
        <v>60000</v>
      </c>
      <c r="W979" s="2">
        <f>IF($H979&gt;I979,MIN($H979-I979,J979-I979)*INDEX('2018_commission_structure'!$A$5:$J$8,MATCH(Calculations!$E979,'2018_commission_structure'!$A$5:$A$8,0),MATCH(Calculations!W$1,'2018_commission_structure'!$A$5:$J$5,0)),0)</f>
        <v>21250</v>
      </c>
      <c r="X979" s="2">
        <f>IF($H979&gt;J979,MIN($H979-J979,K979-J979)*INDEX('2018_commission_structure'!$A$5:$J$8,MATCH(Calculations!$E979,'2018_commission_structure'!$A$5:$A$8,0),MATCH(Calculations!X$1,'2018_commission_structure'!$A$5:$J$5,0)),0)</f>
        <v>12977.6</v>
      </c>
      <c r="Y979" s="2">
        <f>IF($H979&gt;K979,MIN($H979-K979,L979-K979)*INDEX('2018_commission_structure'!$A$5:$J$8,MATCH(Calculations!$E979,'2018_commission_structure'!$A$5:$A$8,0),MATCH(Calculations!Y$1,'2018_commission_structure'!$A$5:$J$5,0)),0)</f>
        <v>0</v>
      </c>
      <c r="Z979" s="2">
        <f xml:space="preserve"> IF(H979&gt;L979,(H979-L979)*INDEX('2018_commission_structure'!$A$11:$I$14,MATCH(Calculations!$E979,'2018_commission_structure'!$A$11:$A$14,0),MATCH(Calculations!Z$1,'2018_commission_structure'!$A$11:$I$11,0)),0)</f>
        <v>0</v>
      </c>
      <c r="AA979" s="7">
        <f t="shared" si="142"/>
        <v>94227.6</v>
      </c>
      <c r="AB979" s="7">
        <f t="shared" si="143"/>
        <v>150952.6</v>
      </c>
    </row>
    <row r="980" spans="1:28" x14ac:dyDescent="0.25">
      <c r="A980">
        <v>5347887761</v>
      </c>
      <c r="B980" t="s">
        <v>644</v>
      </c>
      <c r="C980" t="s">
        <v>645</v>
      </c>
      <c r="D980" t="str">
        <f>B980&amp;" "&amp;C980</f>
        <v>Charlotta Wines</v>
      </c>
      <c r="E980" t="s">
        <v>29</v>
      </c>
      <c r="F980">
        <v>77465</v>
      </c>
      <c r="G980">
        <f>COUNTIF(deals_closed!D:D,Calculations!A980)</f>
        <v>29</v>
      </c>
      <c r="H980" s="2">
        <f>SUMIF(deals_closed!D:D,Calculations!A980,deals_closed!C:C)</f>
        <v>1055102</v>
      </c>
      <c r="I980" s="2">
        <f>VLOOKUP(E980,'2018_commission_structure'!$A$11:$I$14,9,FALSE)</f>
        <v>600000</v>
      </c>
      <c r="J980" s="2">
        <f t="shared" si="135"/>
        <v>750000</v>
      </c>
      <c r="K980" s="2">
        <f t="shared" si="136"/>
        <v>900000</v>
      </c>
      <c r="L980" s="2">
        <f t="shared" si="137"/>
        <v>1200000</v>
      </c>
      <c r="M980" s="6">
        <f t="shared" si="138"/>
        <v>1.7585033333333333</v>
      </c>
      <c r="N980" t="str">
        <f t="shared" si="139"/>
        <v>150-200%</v>
      </c>
      <c r="O980" s="7">
        <f>MIN(I980,H980)*INDEX('2018_commission_structure'!$A$11:$I$14,MATCH(Calculations!$E980,'2018_commission_structure'!$A$11:$A$14,0),MATCH(Calculations!O$1,'2018_commission_structure'!$A$11:$I$11,0))</f>
        <v>78000</v>
      </c>
      <c r="P980" s="7">
        <f>IF($H980&gt;I980,MIN($H980-I980,J980-I980)*INDEX('2018_commission_structure'!$A$11:$I$14,MATCH(Calculations!$E980,'2018_commission_structure'!$A$11:$A$14,0), MATCH(Calculations!P$1,'2018_commission_structure'!$A$11:$I$11,0)),0)</f>
        <v>25500.000000000004</v>
      </c>
      <c r="Q980" s="7">
        <f>IF($H980&gt;J980,MIN($H980-J980,K980-J980)*INDEX('2018_commission_structure'!$A$11:$I$14,MATCH(Calculations!$E980,'2018_commission_structure'!$A$11:$A$14,0), MATCH(Calculations!Q$1,'2018_commission_structure'!$A$11:$I$11,0)),0)</f>
        <v>31500</v>
      </c>
      <c r="R980" s="7">
        <f>IF($H980&gt;K980,MIN($H980-K980,L980-K980)*INDEX('2018_commission_structure'!$A$11:$I$14,MATCH(Calculations!$E980,'2018_commission_structure'!$A$11:$A$14,0), MATCH(Calculations!R$1,'2018_commission_structure'!$A$11:$I$11,0)),0)</f>
        <v>40326.520000000004</v>
      </c>
      <c r="S980" s="7">
        <f>IF(H980&gt;L980,(H980-L980)*INDEX('2018_commission_structure'!$A$11:$I$14,MATCH(Calculations!$E980,'2018_commission_structure'!$A$11:$A$14,0),MATCH(Calculations!S$1,'2018_commission_structure'!$A$11:$I$11,0)),0)</f>
        <v>0</v>
      </c>
      <c r="T980" s="7">
        <f t="shared" si="140"/>
        <v>175326.52000000002</v>
      </c>
      <c r="U980" s="7">
        <f t="shared" si="141"/>
        <v>252791.52000000002</v>
      </c>
      <c r="V980" s="7">
        <f>MIN(H980,I980)*INDEX('2018_commission_structure'!$A$5:$J$8,MATCH(Calculations!$E980,'2018_commission_structure'!$A$5:$A$8,0),MATCH(Calculations!V$1,'2018_commission_structure'!$A$5:$J$5,0))</f>
        <v>90000</v>
      </c>
      <c r="W980" s="2">
        <f>IF($H980&gt;I980,MIN($H980-I980,J980-I980)*INDEX('2018_commission_structure'!$A$5:$J$8,MATCH(Calculations!$E980,'2018_commission_structure'!$A$5:$A$8,0),MATCH(Calculations!W$1,'2018_commission_structure'!$A$5:$J$5,0)),0)</f>
        <v>27000</v>
      </c>
      <c r="X980" s="2">
        <f>IF($H980&gt;J980,MIN($H980-J980,K980-J980)*INDEX('2018_commission_structure'!$A$5:$J$8,MATCH(Calculations!$E980,'2018_commission_structure'!$A$5:$A$8,0),MATCH(Calculations!X$1,'2018_commission_structure'!$A$5:$J$5,0)),0)</f>
        <v>37500</v>
      </c>
      <c r="Y980" s="2">
        <f>IF($H980&gt;K980,MIN($H980-K980,L980-K980)*INDEX('2018_commission_structure'!$A$5:$J$8,MATCH(Calculations!$E980,'2018_commission_structure'!$A$5:$A$8,0),MATCH(Calculations!Y$1,'2018_commission_structure'!$A$5:$J$5,0)),0)</f>
        <v>46530.6</v>
      </c>
      <c r="Z980" s="2">
        <f xml:space="preserve"> IF(H980&gt;L980,(H980-L980)*INDEX('2018_commission_structure'!$A$11:$I$14,MATCH(Calculations!$E980,'2018_commission_structure'!$A$11:$A$14,0),MATCH(Calculations!Z$1,'2018_commission_structure'!$A$11:$I$11,0)),0)</f>
        <v>0</v>
      </c>
      <c r="AA980" s="7">
        <f t="shared" si="142"/>
        <v>201030.6</v>
      </c>
      <c r="AB980" s="7">
        <f t="shared" si="143"/>
        <v>278495.59999999998</v>
      </c>
    </row>
    <row r="981" spans="1:28" x14ac:dyDescent="0.25">
      <c r="A981">
        <v>3041948354</v>
      </c>
      <c r="B981" t="s">
        <v>1802</v>
      </c>
      <c r="C981" t="s">
        <v>1803</v>
      </c>
      <c r="D981" t="str">
        <f>B981&amp;" "&amp;C981</f>
        <v>Gerri Witherbed</v>
      </c>
      <c r="E981" t="s">
        <v>7</v>
      </c>
      <c r="F981">
        <v>46292</v>
      </c>
      <c r="G981">
        <f>COUNTIF(deals_closed!D:D,Calculations!A981)</f>
        <v>20</v>
      </c>
      <c r="H981" s="2">
        <f>SUMIF(deals_closed!D:D,Calculations!A981,deals_closed!C:C)</f>
        <v>674452</v>
      </c>
      <c r="I981" s="2">
        <f>VLOOKUP(E981,'2018_commission_structure'!$A$11:$I$14,9,FALSE)</f>
        <v>500000</v>
      </c>
      <c r="J981" s="2">
        <f t="shared" si="135"/>
        <v>625000</v>
      </c>
      <c r="K981" s="2">
        <f t="shared" si="136"/>
        <v>750000</v>
      </c>
      <c r="L981" s="2">
        <f t="shared" si="137"/>
        <v>1000000</v>
      </c>
      <c r="M981" s="6">
        <f t="shared" si="138"/>
        <v>1.3489040000000001</v>
      </c>
      <c r="N981" t="str">
        <f t="shared" si="139"/>
        <v>125-150%</v>
      </c>
      <c r="O981" s="7">
        <f>MIN(I981,H981)*INDEX('2018_commission_structure'!$A$11:$I$14,MATCH(Calculations!$E981,'2018_commission_structure'!$A$11:$A$14,0),MATCH(Calculations!O$1,'2018_commission_structure'!$A$11:$I$11,0))</f>
        <v>50000</v>
      </c>
      <c r="P981" s="7">
        <f>IF($H981&gt;I981,MIN($H981-I981,J981-I981)*INDEX('2018_commission_structure'!$A$11:$I$14,MATCH(Calculations!$E981,'2018_commission_structure'!$A$11:$A$14,0), MATCH(Calculations!P$1,'2018_commission_structure'!$A$11:$I$11,0)),0)</f>
        <v>18750</v>
      </c>
      <c r="Q981" s="7">
        <f>IF($H981&gt;J981,MIN($H981-J981,K981-J981)*INDEX('2018_commission_structure'!$A$11:$I$14,MATCH(Calculations!$E981,'2018_commission_structure'!$A$11:$A$14,0), MATCH(Calculations!Q$1,'2018_commission_structure'!$A$11:$I$11,0)),0)</f>
        <v>8901.3599999999988</v>
      </c>
      <c r="R981" s="7">
        <f>IF($H981&gt;K981,MIN($H981-K981,L981-K981)*INDEX('2018_commission_structure'!$A$11:$I$14,MATCH(Calculations!$E981,'2018_commission_structure'!$A$11:$A$14,0), MATCH(Calculations!R$1,'2018_commission_structure'!$A$11:$I$11,0)),0)</f>
        <v>0</v>
      </c>
      <c r="S981" s="7">
        <f>IF(H981&gt;L981,(H981-L981)*INDEX('2018_commission_structure'!$A$11:$I$14,MATCH(Calculations!$E981,'2018_commission_structure'!$A$11:$A$14,0),MATCH(Calculations!S$1,'2018_commission_structure'!$A$11:$I$11,0)),0)</f>
        <v>0</v>
      </c>
      <c r="T981" s="7">
        <f t="shared" si="140"/>
        <v>77651.360000000001</v>
      </c>
      <c r="U981" s="7">
        <f t="shared" si="141"/>
        <v>123943.36</v>
      </c>
      <c r="V981" s="7">
        <f>MIN(H981,I981)*INDEX('2018_commission_structure'!$A$5:$J$8,MATCH(Calculations!$E981,'2018_commission_structure'!$A$5:$A$8,0),MATCH(Calculations!V$1,'2018_commission_structure'!$A$5:$J$5,0))</f>
        <v>60000</v>
      </c>
      <c r="W981" s="2">
        <f>IF($H981&gt;I981,MIN($H981-I981,J981-I981)*INDEX('2018_commission_structure'!$A$5:$J$8,MATCH(Calculations!$E981,'2018_commission_structure'!$A$5:$A$8,0),MATCH(Calculations!W$1,'2018_commission_structure'!$A$5:$J$5,0)),0)</f>
        <v>21250</v>
      </c>
      <c r="X981" s="2">
        <f>IF($H981&gt;J981,MIN($H981-J981,K981-J981)*INDEX('2018_commission_structure'!$A$5:$J$8,MATCH(Calculations!$E981,'2018_commission_structure'!$A$5:$A$8,0),MATCH(Calculations!X$1,'2018_commission_structure'!$A$5:$J$5,0)),0)</f>
        <v>9890.4000000000015</v>
      </c>
      <c r="Y981" s="2">
        <f>IF($H981&gt;K981,MIN($H981-K981,L981-K981)*INDEX('2018_commission_structure'!$A$5:$J$8,MATCH(Calculations!$E981,'2018_commission_structure'!$A$5:$A$8,0),MATCH(Calculations!Y$1,'2018_commission_structure'!$A$5:$J$5,0)),0)</f>
        <v>0</v>
      </c>
      <c r="Z981" s="2">
        <f xml:space="preserve"> IF(H981&gt;L981,(H981-L981)*INDEX('2018_commission_structure'!$A$11:$I$14,MATCH(Calculations!$E981,'2018_commission_structure'!$A$11:$A$14,0),MATCH(Calculations!Z$1,'2018_commission_structure'!$A$11:$I$11,0)),0)</f>
        <v>0</v>
      </c>
      <c r="AA981" s="7">
        <f t="shared" si="142"/>
        <v>91140.4</v>
      </c>
      <c r="AB981" s="7">
        <f t="shared" si="143"/>
        <v>137432.4</v>
      </c>
    </row>
    <row r="982" spans="1:28" x14ac:dyDescent="0.25">
      <c r="A982">
        <v>8748349712</v>
      </c>
      <c r="B982" t="s">
        <v>1459</v>
      </c>
      <c r="C982" t="s">
        <v>1460</v>
      </c>
      <c r="D982" t="str">
        <f>B982&amp;" "&amp;C982</f>
        <v>Frankie Witnall</v>
      </c>
      <c r="E982" t="s">
        <v>10</v>
      </c>
      <c r="F982">
        <v>105532</v>
      </c>
      <c r="G982">
        <f>COUNTIF(deals_closed!D:D,Calculations!A982)</f>
        <v>24</v>
      </c>
      <c r="H982" s="2">
        <f>SUMIF(deals_closed!D:D,Calculations!A982,deals_closed!C:C)</f>
        <v>864121</v>
      </c>
      <c r="I982" s="2">
        <f>VLOOKUP(E982,'2018_commission_structure'!$A$11:$I$14,9,FALSE)</f>
        <v>750000</v>
      </c>
      <c r="J982" s="2">
        <f t="shared" si="135"/>
        <v>937500</v>
      </c>
      <c r="K982" s="2">
        <f t="shared" si="136"/>
        <v>1125000</v>
      </c>
      <c r="L982" s="2">
        <f t="shared" si="137"/>
        <v>1500000</v>
      </c>
      <c r="M982" s="6">
        <f t="shared" si="138"/>
        <v>1.1521613333333334</v>
      </c>
      <c r="N982" t="str">
        <f t="shared" si="139"/>
        <v>100-125%</v>
      </c>
      <c r="O982" s="7">
        <f>MIN(I982,H982)*INDEX('2018_commission_structure'!$A$11:$I$14,MATCH(Calculations!$E982,'2018_commission_structure'!$A$11:$A$14,0),MATCH(Calculations!O$1,'2018_commission_structure'!$A$11:$I$11,0))</f>
        <v>112500</v>
      </c>
      <c r="P982" s="7">
        <f>IF($H982&gt;I982,MIN($H982-I982,J982-I982)*INDEX('2018_commission_structure'!$A$11:$I$14,MATCH(Calculations!$E982,'2018_commission_structure'!$A$11:$A$14,0), MATCH(Calculations!P$1,'2018_commission_structure'!$A$11:$I$11,0)),0)</f>
        <v>21682.99</v>
      </c>
      <c r="Q982" s="7">
        <f>IF($H982&gt;J982,MIN($H982-J982,K982-J982)*INDEX('2018_commission_structure'!$A$11:$I$14,MATCH(Calculations!$E982,'2018_commission_structure'!$A$11:$A$14,0), MATCH(Calculations!Q$1,'2018_commission_structure'!$A$11:$I$11,0)),0)</f>
        <v>0</v>
      </c>
      <c r="R982" s="7">
        <f>IF($H982&gt;K982,MIN($H982-K982,L982-K982)*INDEX('2018_commission_structure'!$A$11:$I$14,MATCH(Calculations!$E982,'2018_commission_structure'!$A$11:$A$14,0), MATCH(Calculations!R$1,'2018_commission_structure'!$A$11:$I$11,0)),0)</f>
        <v>0</v>
      </c>
      <c r="S982" s="7">
        <f>IF(H982&gt;L982,(H982-L982)*INDEX('2018_commission_structure'!$A$11:$I$14,MATCH(Calculations!$E982,'2018_commission_structure'!$A$11:$A$14,0),MATCH(Calculations!S$1,'2018_commission_structure'!$A$11:$I$11,0)),0)</f>
        <v>0</v>
      </c>
      <c r="T982" s="7">
        <f t="shared" si="140"/>
        <v>134182.99</v>
      </c>
      <c r="U982" s="7">
        <f t="shared" si="141"/>
        <v>239714.99</v>
      </c>
      <c r="V982" s="7">
        <f>MIN(H982,I982)*INDEX('2018_commission_structure'!$A$5:$J$8,MATCH(Calculations!$E982,'2018_commission_structure'!$A$5:$A$8,0),MATCH(Calculations!V$1,'2018_commission_structure'!$A$5:$J$5,0))</f>
        <v>112500</v>
      </c>
      <c r="W982" s="2">
        <f>IF($H982&gt;I982,MIN($H982-I982,J982-I982)*INDEX('2018_commission_structure'!$A$5:$J$8,MATCH(Calculations!$E982,'2018_commission_structure'!$A$5:$A$8,0),MATCH(Calculations!W$1,'2018_commission_structure'!$A$5:$J$5,0)),0)</f>
        <v>25106.62</v>
      </c>
      <c r="X982" s="2">
        <f>IF($H982&gt;J982,MIN($H982-J982,K982-J982)*INDEX('2018_commission_structure'!$A$5:$J$8,MATCH(Calculations!$E982,'2018_commission_structure'!$A$5:$A$8,0),MATCH(Calculations!X$1,'2018_commission_structure'!$A$5:$J$5,0)),0)</f>
        <v>0</v>
      </c>
      <c r="Y982" s="2">
        <f>IF($H982&gt;K982,MIN($H982-K982,L982-K982)*INDEX('2018_commission_structure'!$A$5:$J$8,MATCH(Calculations!$E982,'2018_commission_structure'!$A$5:$A$8,0),MATCH(Calculations!Y$1,'2018_commission_structure'!$A$5:$J$5,0)),0)</f>
        <v>0</v>
      </c>
      <c r="Z982" s="2">
        <f xml:space="preserve"> IF(H982&gt;L982,(H982-L982)*INDEX('2018_commission_structure'!$A$11:$I$14,MATCH(Calculations!$E982,'2018_commission_structure'!$A$11:$A$14,0),MATCH(Calculations!Z$1,'2018_commission_structure'!$A$11:$I$11,0)),0)</f>
        <v>0</v>
      </c>
      <c r="AA982" s="7">
        <f t="shared" si="142"/>
        <v>137606.62</v>
      </c>
      <c r="AB982" s="7">
        <f t="shared" si="143"/>
        <v>243138.62</v>
      </c>
    </row>
    <row r="983" spans="1:28" x14ac:dyDescent="0.25">
      <c r="A983">
        <v>4768342426</v>
      </c>
      <c r="B983" t="s">
        <v>1576</v>
      </c>
      <c r="C983" t="s">
        <v>1577</v>
      </c>
      <c r="D983" t="str">
        <f>B983&amp;" "&amp;C983</f>
        <v>Darci Wixey</v>
      </c>
      <c r="E983" t="s">
        <v>29</v>
      </c>
      <c r="F983">
        <v>62604</v>
      </c>
      <c r="G983">
        <f>COUNTIF(deals_closed!D:D,Calculations!A983)</f>
        <v>18</v>
      </c>
      <c r="H983" s="2">
        <f>SUMIF(deals_closed!D:D,Calculations!A983,deals_closed!C:C)</f>
        <v>659813</v>
      </c>
      <c r="I983" s="2">
        <f>VLOOKUP(E983,'2018_commission_structure'!$A$11:$I$14,9,FALSE)</f>
        <v>600000</v>
      </c>
      <c r="J983" s="2">
        <f t="shared" si="135"/>
        <v>750000</v>
      </c>
      <c r="K983" s="2">
        <f t="shared" si="136"/>
        <v>900000</v>
      </c>
      <c r="L983" s="2">
        <f t="shared" si="137"/>
        <v>1200000</v>
      </c>
      <c r="M983" s="6">
        <f t="shared" si="138"/>
        <v>1.0996883333333334</v>
      </c>
      <c r="N983" t="str">
        <f t="shared" si="139"/>
        <v>100-125%</v>
      </c>
      <c r="O983" s="7">
        <f>MIN(I983,H983)*INDEX('2018_commission_structure'!$A$11:$I$14,MATCH(Calculations!$E983,'2018_commission_structure'!$A$11:$A$14,0),MATCH(Calculations!O$1,'2018_commission_structure'!$A$11:$I$11,0))</f>
        <v>78000</v>
      </c>
      <c r="P983" s="7">
        <f>IF($H983&gt;I983,MIN($H983-I983,J983-I983)*INDEX('2018_commission_structure'!$A$11:$I$14,MATCH(Calculations!$E983,'2018_commission_structure'!$A$11:$A$14,0), MATCH(Calculations!P$1,'2018_commission_structure'!$A$11:$I$11,0)),0)</f>
        <v>10168.210000000001</v>
      </c>
      <c r="Q983" s="7">
        <f>IF($H983&gt;J983,MIN($H983-J983,K983-J983)*INDEX('2018_commission_structure'!$A$11:$I$14,MATCH(Calculations!$E983,'2018_commission_structure'!$A$11:$A$14,0), MATCH(Calculations!Q$1,'2018_commission_structure'!$A$11:$I$11,0)),0)</f>
        <v>0</v>
      </c>
      <c r="R983" s="7">
        <f>IF($H983&gt;K983,MIN($H983-K983,L983-K983)*INDEX('2018_commission_structure'!$A$11:$I$14,MATCH(Calculations!$E983,'2018_commission_structure'!$A$11:$A$14,0), MATCH(Calculations!R$1,'2018_commission_structure'!$A$11:$I$11,0)),0)</f>
        <v>0</v>
      </c>
      <c r="S983" s="7">
        <f>IF(H983&gt;L983,(H983-L983)*INDEX('2018_commission_structure'!$A$11:$I$14,MATCH(Calculations!$E983,'2018_commission_structure'!$A$11:$A$14,0),MATCH(Calculations!S$1,'2018_commission_structure'!$A$11:$I$11,0)),0)</f>
        <v>0</v>
      </c>
      <c r="T983" s="7">
        <f t="shared" si="140"/>
        <v>88168.21</v>
      </c>
      <c r="U983" s="7">
        <f t="shared" si="141"/>
        <v>150772.21000000002</v>
      </c>
      <c r="V983" s="7">
        <f>MIN(H983,I983)*INDEX('2018_commission_structure'!$A$5:$J$8,MATCH(Calculations!$E983,'2018_commission_structure'!$A$5:$A$8,0),MATCH(Calculations!V$1,'2018_commission_structure'!$A$5:$J$5,0))</f>
        <v>90000</v>
      </c>
      <c r="W983" s="2">
        <f>IF($H983&gt;I983,MIN($H983-I983,J983-I983)*INDEX('2018_commission_structure'!$A$5:$J$8,MATCH(Calculations!$E983,'2018_commission_structure'!$A$5:$A$8,0),MATCH(Calculations!W$1,'2018_commission_structure'!$A$5:$J$5,0)),0)</f>
        <v>10766.34</v>
      </c>
      <c r="X983" s="2">
        <f>IF($H983&gt;J983,MIN($H983-J983,K983-J983)*INDEX('2018_commission_structure'!$A$5:$J$8,MATCH(Calculations!$E983,'2018_commission_structure'!$A$5:$A$8,0),MATCH(Calculations!X$1,'2018_commission_structure'!$A$5:$J$5,0)),0)</f>
        <v>0</v>
      </c>
      <c r="Y983" s="2">
        <f>IF($H983&gt;K983,MIN($H983-K983,L983-K983)*INDEX('2018_commission_structure'!$A$5:$J$8,MATCH(Calculations!$E983,'2018_commission_structure'!$A$5:$A$8,0),MATCH(Calculations!Y$1,'2018_commission_structure'!$A$5:$J$5,0)),0)</f>
        <v>0</v>
      </c>
      <c r="Z983" s="2">
        <f xml:space="preserve"> IF(H983&gt;L983,(H983-L983)*INDEX('2018_commission_structure'!$A$11:$I$14,MATCH(Calculations!$E983,'2018_commission_structure'!$A$11:$A$14,0),MATCH(Calculations!Z$1,'2018_commission_structure'!$A$11:$I$11,0)),0)</f>
        <v>0</v>
      </c>
      <c r="AA983" s="7">
        <f t="shared" si="142"/>
        <v>100766.34</v>
      </c>
      <c r="AB983" s="7">
        <f t="shared" si="143"/>
        <v>163370.34</v>
      </c>
    </row>
    <row r="984" spans="1:28" x14ac:dyDescent="0.25">
      <c r="A984">
        <v>7885796000</v>
      </c>
      <c r="B984" t="s">
        <v>634</v>
      </c>
      <c r="C984" t="s">
        <v>635</v>
      </c>
      <c r="D984" t="str">
        <f>B984&amp;" "&amp;C984</f>
        <v>Shea Woodeson</v>
      </c>
      <c r="E984" t="s">
        <v>29</v>
      </c>
      <c r="F984">
        <v>63741</v>
      </c>
      <c r="G984">
        <f>COUNTIF(deals_closed!D:D,Calculations!A984)</f>
        <v>21</v>
      </c>
      <c r="H984" s="2">
        <f>SUMIF(deals_closed!D:D,Calculations!A984,deals_closed!C:C)</f>
        <v>743782</v>
      </c>
      <c r="I984" s="2">
        <f>VLOOKUP(E984,'2018_commission_structure'!$A$11:$I$14,9,FALSE)</f>
        <v>600000</v>
      </c>
      <c r="J984" s="2">
        <f t="shared" si="135"/>
        <v>750000</v>
      </c>
      <c r="K984" s="2">
        <f t="shared" si="136"/>
        <v>900000</v>
      </c>
      <c r="L984" s="2">
        <f t="shared" si="137"/>
        <v>1200000</v>
      </c>
      <c r="M984" s="6">
        <f t="shared" si="138"/>
        <v>1.2396366666666667</v>
      </c>
      <c r="N984" t="str">
        <f t="shared" si="139"/>
        <v>100-125%</v>
      </c>
      <c r="O984" s="7">
        <f>MIN(I984,H984)*INDEX('2018_commission_structure'!$A$11:$I$14,MATCH(Calculations!$E984,'2018_commission_structure'!$A$11:$A$14,0),MATCH(Calculations!O$1,'2018_commission_structure'!$A$11:$I$11,0))</f>
        <v>78000</v>
      </c>
      <c r="P984" s="7">
        <f>IF($H984&gt;I984,MIN($H984-I984,J984-I984)*INDEX('2018_commission_structure'!$A$11:$I$14,MATCH(Calculations!$E984,'2018_commission_structure'!$A$11:$A$14,0), MATCH(Calculations!P$1,'2018_commission_structure'!$A$11:$I$11,0)),0)</f>
        <v>24442.940000000002</v>
      </c>
      <c r="Q984" s="7">
        <f>IF($H984&gt;J984,MIN($H984-J984,K984-J984)*INDEX('2018_commission_structure'!$A$11:$I$14,MATCH(Calculations!$E984,'2018_commission_structure'!$A$11:$A$14,0), MATCH(Calculations!Q$1,'2018_commission_structure'!$A$11:$I$11,0)),0)</f>
        <v>0</v>
      </c>
      <c r="R984" s="7">
        <f>IF($H984&gt;K984,MIN($H984-K984,L984-K984)*INDEX('2018_commission_structure'!$A$11:$I$14,MATCH(Calculations!$E984,'2018_commission_structure'!$A$11:$A$14,0), MATCH(Calculations!R$1,'2018_commission_structure'!$A$11:$I$11,0)),0)</f>
        <v>0</v>
      </c>
      <c r="S984" s="7">
        <f>IF(H984&gt;L984,(H984-L984)*INDEX('2018_commission_structure'!$A$11:$I$14,MATCH(Calculations!$E984,'2018_commission_structure'!$A$11:$A$14,0),MATCH(Calculations!S$1,'2018_commission_structure'!$A$11:$I$11,0)),0)</f>
        <v>0</v>
      </c>
      <c r="T984" s="7">
        <f t="shared" si="140"/>
        <v>102442.94</v>
      </c>
      <c r="U984" s="7">
        <f t="shared" si="141"/>
        <v>166183.94</v>
      </c>
      <c r="V984" s="7">
        <f>MIN(H984,I984)*INDEX('2018_commission_structure'!$A$5:$J$8,MATCH(Calculations!$E984,'2018_commission_structure'!$A$5:$A$8,0),MATCH(Calculations!V$1,'2018_commission_structure'!$A$5:$J$5,0))</f>
        <v>90000</v>
      </c>
      <c r="W984" s="2">
        <f>IF($H984&gt;I984,MIN($H984-I984,J984-I984)*INDEX('2018_commission_structure'!$A$5:$J$8,MATCH(Calculations!$E984,'2018_commission_structure'!$A$5:$A$8,0),MATCH(Calculations!W$1,'2018_commission_structure'!$A$5:$J$5,0)),0)</f>
        <v>25880.76</v>
      </c>
      <c r="X984" s="2">
        <f>IF($H984&gt;J984,MIN($H984-J984,K984-J984)*INDEX('2018_commission_structure'!$A$5:$J$8,MATCH(Calculations!$E984,'2018_commission_structure'!$A$5:$A$8,0),MATCH(Calculations!X$1,'2018_commission_structure'!$A$5:$J$5,0)),0)</f>
        <v>0</v>
      </c>
      <c r="Y984" s="2">
        <f>IF($H984&gt;K984,MIN($H984-K984,L984-K984)*INDEX('2018_commission_structure'!$A$5:$J$8,MATCH(Calculations!$E984,'2018_commission_structure'!$A$5:$A$8,0),MATCH(Calculations!Y$1,'2018_commission_structure'!$A$5:$J$5,0)),0)</f>
        <v>0</v>
      </c>
      <c r="Z984" s="2">
        <f xml:space="preserve"> IF(H984&gt;L984,(H984-L984)*INDEX('2018_commission_structure'!$A$11:$I$14,MATCH(Calculations!$E984,'2018_commission_structure'!$A$11:$A$14,0),MATCH(Calculations!Z$1,'2018_commission_structure'!$A$11:$I$11,0)),0)</f>
        <v>0</v>
      </c>
      <c r="AA984" s="7">
        <f t="shared" si="142"/>
        <v>115880.76</v>
      </c>
      <c r="AB984" s="7">
        <f t="shared" si="143"/>
        <v>179621.76000000001</v>
      </c>
    </row>
    <row r="985" spans="1:28" x14ac:dyDescent="0.25">
      <c r="A985">
        <v>3819859829</v>
      </c>
      <c r="B985" t="s">
        <v>1433</v>
      </c>
      <c r="C985" t="s">
        <v>1434</v>
      </c>
      <c r="D985" t="str">
        <f>B985&amp;" "&amp;C985</f>
        <v>Hedwig Wooding</v>
      </c>
      <c r="E985" t="s">
        <v>29</v>
      </c>
      <c r="F985">
        <v>59349</v>
      </c>
      <c r="G985">
        <f>COUNTIF(deals_closed!D:D,Calculations!A985)</f>
        <v>20</v>
      </c>
      <c r="H985" s="2">
        <f>SUMIF(deals_closed!D:D,Calculations!A985,deals_closed!C:C)</f>
        <v>599501</v>
      </c>
      <c r="I985" s="2">
        <f>VLOOKUP(E985,'2018_commission_structure'!$A$11:$I$14,9,FALSE)</f>
        <v>600000</v>
      </c>
      <c r="J985" s="2">
        <f t="shared" si="135"/>
        <v>750000</v>
      </c>
      <c r="K985" s="2">
        <f t="shared" si="136"/>
        <v>900000</v>
      </c>
      <c r="L985" s="2">
        <f t="shared" si="137"/>
        <v>1200000</v>
      </c>
      <c r="M985" s="6">
        <f t="shared" si="138"/>
        <v>0.99916833333333333</v>
      </c>
      <c r="N985" t="str">
        <f t="shared" si="139"/>
        <v>0-100%</v>
      </c>
      <c r="O985" s="7">
        <f>MIN(I985,H985)*INDEX('2018_commission_structure'!$A$11:$I$14,MATCH(Calculations!$E985,'2018_commission_structure'!$A$11:$A$14,0),MATCH(Calculations!O$1,'2018_commission_structure'!$A$11:$I$11,0))</f>
        <v>77935.13</v>
      </c>
      <c r="P985" s="7">
        <f>IF($H985&gt;I985,MIN($H985-I985,J985-I985)*INDEX('2018_commission_structure'!$A$11:$I$14,MATCH(Calculations!$E985,'2018_commission_structure'!$A$11:$A$14,0), MATCH(Calculations!P$1,'2018_commission_structure'!$A$11:$I$11,0)),0)</f>
        <v>0</v>
      </c>
      <c r="Q985" s="7">
        <f>IF($H985&gt;J985,MIN($H985-J985,K985-J985)*INDEX('2018_commission_structure'!$A$11:$I$14,MATCH(Calculations!$E985,'2018_commission_structure'!$A$11:$A$14,0), MATCH(Calculations!Q$1,'2018_commission_structure'!$A$11:$I$11,0)),0)</f>
        <v>0</v>
      </c>
      <c r="R985" s="7">
        <f>IF($H985&gt;K985,MIN($H985-K985,L985-K985)*INDEX('2018_commission_structure'!$A$11:$I$14,MATCH(Calculations!$E985,'2018_commission_structure'!$A$11:$A$14,0), MATCH(Calculations!R$1,'2018_commission_structure'!$A$11:$I$11,0)),0)</f>
        <v>0</v>
      </c>
      <c r="S985" s="7">
        <f>IF(H985&gt;L985,(H985-L985)*INDEX('2018_commission_structure'!$A$11:$I$14,MATCH(Calculations!$E985,'2018_commission_structure'!$A$11:$A$14,0),MATCH(Calculations!S$1,'2018_commission_structure'!$A$11:$I$11,0)),0)</f>
        <v>0</v>
      </c>
      <c r="T985" s="7">
        <f t="shared" si="140"/>
        <v>77935.13</v>
      </c>
      <c r="U985" s="7">
        <f t="shared" si="141"/>
        <v>137284.13</v>
      </c>
      <c r="V985" s="7">
        <f>MIN(H985,I985)*INDEX('2018_commission_structure'!$A$5:$J$8,MATCH(Calculations!$E985,'2018_commission_structure'!$A$5:$A$8,0),MATCH(Calculations!V$1,'2018_commission_structure'!$A$5:$J$5,0))</f>
        <v>89925.15</v>
      </c>
      <c r="W985" s="2">
        <f>IF($H985&gt;I985,MIN($H985-I985,J985-I985)*INDEX('2018_commission_structure'!$A$5:$J$8,MATCH(Calculations!$E985,'2018_commission_structure'!$A$5:$A$8,0),MATCH(Calculations!W$1,'2018_commission_structure'!$A$5:$J$5,0)),0)</f>
        <v>0</v>
      </c>
      <c r="X985" s="2">
        <f>IF($H985&gt;J985,MIN($H985-J985,K985-J985)*INDEX('2018_commission_structure'!$A$5:$J$8,MATCH(Calculations!$E985,'2018_commission_structure'!$A$5:$A$8,0),MATCH(Calculations!X$1,'2018_commission_structure'!$A$5:$J$5,0)),0)</f>
        <v>0</v>
      </c>
      <c r="Y985" s="2">
        <f>IF($H985&gt;K985,MIN($H985-K985,L985-K985)*INDEX('2018_commission_structure'!$A$5:$J$8,MATCH(Calculations!$E985,'2018_commission_structure'!$A$5:$A$8,0),MATCH(Calculations!Y$1,'2018_commission_structure'!$A$5:$J$5,0)),0)</f>
        <v>0</v>
      </c>
      <c r="Z985" s="2">
        <f xml:space="preserve"> IF(H985&gt;L985,(H985-L985)*INDEX('2018_commission_structure'!$A$11:$I$14,MATCH(Calculations!$E985,'2018_commission_structure'!$A$11:$A$14,0),MATCH(Calculations!Z$1,'2018_commission_structure'!$A$11:$I$11,0)),0)</f>
        <v>0</v>
      </c>
      <c r="AA985" s="7">
        <f t="shared" si="142"/>
        <v>89925.15</v>
      </c>
      <c r="AB985" s="7">
        <f t="shared" si="143"/>
        <v>149274.15</v>
      </c>
    </row>
    <row r="986" spans="1:28" x14ac:dyDescent="0.25">
      <c r="A986">
        <v>4866916575</v>
      </c>
      <c r="B986" t="s">
        <v>1641</v>
      </c>
      <c r="C986" t="s">
        <v>1642</v>
      </c>
      <c r="D986" t="str">
        <f>B986&amp;" "&amp;C986</f>
        <v>Garnette Woodyear</v>
      </c>
      <c r="E986" t="s">
        <v>7</v>
      </c>
      <c r="F986">
        <v>45185</v>
      </c>
      <c r="G986">
        <f>COUNTIF(deals_closed!D:D,Calculations!A986)</f>
        <v>22</v>
      </c>
      <c r="H986" s="2">
        <f>SUMIF(deals_closed!D:D,Calculations!A986,deals_closed!C:C)</f>
        <v>886977</v>
      </c>
      <c r="I986" s="2">
        <f>VLOOKUP(E986,'2018_commission_structure'!$A$11:$I$14,9,FALSE)</f>
        <v>500000</v>
      </c>
      <c r="J986" s="2">
        <f t="shared" si="135"/>
        <v>625000</v>
      </c>
      <c r="K986" s="2">
        <f t="shared" si="136"/>
        <v>750000</v>
      </c>
      <c r="L986" s="2">
        <f t="shared" si="137"/>
        <v>1000000</v>
      </c>
      <c r="M986" s="6">
        <f t="shared" si="138"/>
        <v>1.773954</v>
      </c>
      <c r="N986" t="str">
        <f t="shared" si="139"/>
        <v>150-200%</v>
      </c>
      <c r="O986" s="7">
        <f>MIN(I986,H986)*INDEX('2018_commission_structure'!$A$11:$I$14,MATCH(Calculations!$E986,'2018_commission_structure'!$A$11:$A$14,0),MATCH(Calculations!O$1,'2018_commission_structure'!$A$11:$I$11,0))</f>
        <v>50000</v>
      </c>
      <c r="P986" s="7">
        <f>IF($H986&gt;I986,MIN($H986-I986,J986-I986)*INDEX('2018_commission_structure'!$A$11:$I$14,MATCH(Calculations!$E986,'2018_commission_structure'!$A$11:$A$14,0), MATCH(Calculations!P$1,'2018_commission_structure'!$A$11:$I$11,0)),0)</f>
        <v>18750</v>
      </c>
      <c r="Q986" s="7">
        <f>IF($H986&gt;J986,MIN($H986-J986,K986-J986)*INDEX('2018_commission_structure'!$A$11:$I$14,MATCH(Calculations!$E986,'2018_commission_structure'!$A$11:$A$14,0), MATCH(Calculations!Q$1,'2018_commission_structure'!$A$11:$I$11,0)),0)</f>
        <v>22500</v>
      </c>
      <c r="R986" s="7">
        <f>IF($H986&gt;K986,MIN($H986-K986,L986-K986)*INDEX('2018_commission_structure'!$A$11:$I$14,MATCH(Calculations!$E986,'2018_commission_structure'!$A$11:$A$14,0), MATCH(Calculations!R$1,'2018_commission_structure'!$A$11:$I$11,0)),0)</f>
        <v>30134.94</v>
      </c>
      <c r="S986" s="7">
        <f>IF(H986&gt;L986,(H986-L986)*INDEX('2018_commission_structure'!$A$11:$I$14,MATCH(Calculations!$E986,'2018_commission_structure'!$A$11:$A$14,0),MATCH(Calculations!S$1,'2018_commission_structure'!$A$11:$I$11,0)),0)</f>
        <v>0</v>
      </c>
      <c r="T986" s="7">
        <f t="shared" si="140"/>
        <v>121384.94</v>
      </c>
      <c r="U986" s="7">
        <f t="shared" si="141"/>
        <v>166569.94</v>
      </c>
      <c r="V986" s="7">
        <f>MIN(H986,I986)*INDEX('2018_commission_structure'!$A$5:$J$8,MATCH(Calculations!$E986,'2018_commission_structure'!$A$5:$A$8,0),MATCH(Calculations!V$1,'2018_commission_structure'!$A$5:$J$5,0))</f>
        <v>60000</v>
      </c>
      <c r="W986" s="2">
        <f>IF($H986&gt;I986,MIN($H986-I986,J986-I986)*INDEX('2018_commission_structure'!$A$5:$J$8,MATCH(Calculations!$E986,'2018_commission_structure'!$A$5:$A$8,0),MATCH(Calculations!W$1,'2018_commission_structure'!$A$5:$J$5,0)),0)</f>
        <v>21250</v>
      </c>
      <c r="X986" s="2">
        <f>IF($H986&gt;J986,MIN($H986-J986,K986-J986)*INDEX('2018_commission_structure'!$A$5:$J$8,MATCH(Calculations!$E986,'2018_commission_structure'!$A$5:$A$8,0),MATCH(Calculations!X$1,'2018_commission_structure'!$A$5:$J$5,0)),0)</f>
        <v>25000</v>
      </c>
      <c r="Y986" s="2">
        <f>IF($H986&gt;K986,MIN($H986-K986,L986-K986)*INDEX('2018_commission_structure'!$A$5:$J$8,MATCH(Calculations!$E986,'2018_commission_structure'!$A$5:$A$8,0),MATCH(Calculations!Y$1,'2018_commission_structure'!$A$5:$J$5,0)),0)</f>
        <v>30134.94</v>
      </c>
      <c r="Z986" s="2">
        <f xml:space="preserve"> IF(H986&gt;L986,(H986-L986)*INDEX('2018_commission_structure'!$A$11:$I$14,MATCH(Calculations!$E986,'2018_commission_structure'!$A$11:$A$14,0),MATCH(Calculations!Z$1,'2018_commission_structure'!$A$11:$I$11,0)),0)</f>
        <v>0</v>
      </c>
      <c r="AA986" s="7">
        <f t="shared" si="142"/>
        <v>136384.94</v>
      </c>
      <c r="AB986" s="7">
        <f t="shared" si="143"/>
        <v>181569.94</v>
      </c>
    </row>
    <row r="987" spans="1:28" x14ac:dyDescent="0.25">
      <c r="A987">
        <v>4428088442</v>
      </c>
      <c r="B987" t="s">
        <v>1417</v>
      </c>
      <c r="C987" t="s">
        <v>1418</v>
      </c>
      <c r="D987" t="str">
        <f>B987&amp;" "&amp;C987</f>
        <v>Kiel Woolveridge</v>
      </c>
      <c r="E987" t="s">
        <v>29</v>
      </c>
      <c r="F987">
        <v>65570</v>
      </c>
      <c r="G987">
        <f>COUNTIF(deals_closed!D:D,Calculations!A987)</f>
        <v>22</v>
      </c>
      <c r="H987" s="2">
        <f>SUMIF(deals_closed!D:D,Calculations!A987,deals_closed!C:C)</f>
        <v>690813</v>
      </c>
      <c r="I987" s="2">
        <f>VLOOKUP(E987,'2018_commission_structure'!$A$11:$I$14,9,FALSE)</f>
        <v>600000</v>
      </c>
      <c r="J987" s="2">
        <f t="shared" si="135"/>
        <v>750000</v>
      </c>
      <c r="K987" s="2">
        <f t="shared" si="136"/>
        <v>900000</v>
      </c>
      <c r="L987" s="2">
        <f t="shared" si="137"/>
        <v>1200000</v>
      </c>
      <c r="M987" s="6">
        <f t="shared" si="138"/>
        <v>1.1513549999999999</v>
      </c>
      <c r="N987" t="str">
        <f t="shared" si="139"/>
        <v>100-125%</v>
      </c>
      <c r="O987" s="7">
        <f>MIN(I987,H987)*INDEX('2018_commission_structure'!$A$11:$I$14,MATCH(Calculations!$E987,'2018_commission_structure'!$A$11:$A$14,0),MATCH(Calculations!O$1,'2018_commission_structure'!$A$11:$I$11,0))</f>
        <v>78000</v>
      </c>
      <c r="P987" s="7">
        <f>IF($H987&gt;I987,MIN($H987-I987,J987-I987)*INDEX('2018_commission_structure'!$A$11:$I$14,MATCH(Calculations!$E987,'2018_commission_structure'!$A$11:$A$14,0), MATCH(Calculations!P$1,'2018_commission_structure'!$A$11:$I$11,0)),0)</f>
        <v>15438.210000000001</v>
      </c>
      <c r="Q987" s="7">
        <f>IF($H987&gt;J987,MIN($H987-J987,K987-J987)*INDEX('2018_commission_structure'!$A$11:$I$14,MATCH(Calculations!$E987,'2018_commission_structure'!$A$11:$A$14,0), MATCH(Calculations!Q$1,'2018_commission_structure'!$A$11:$I$11,0)),0)</f>
        <v>0</v>
      </c>
      <c r="R987" s="7">
        <f>IF($H987&gt;K987,MIN($H987-K987,L987-K987)*INDEX('2018_commission_structure'!$A$11:$I$14,MATCH(Calculations!$E987,'2018_commission_structure'!$A$11:$A$14,0), MATCH(Calculations!R$1,'2018_commission_structure'!$A$11:$I$11,0)),0)</f>
        <v>0</v>
      </c>
      <c r="S987" s="7">
        <f>IF(H987&gt;L987,(H987-L987)*INDEX('2018_commission_structure'!$A$11:$I$14,MATCH(Calculations!$E987,'2018_commission_structure'!$A$11:$A$14,0),MATCH(Calculations!S$1,'2018_commission_structure'!$A$11:$I$11,0)),0)</f>
        <v>0</v>
      </c>
      <c r="T987" s="7">
        <f t="shared" si="140"/>
        <v>93438.21</v>
      </c>
      <c r="U987" s="7">
        <f t="shared" si="141"/>
        <v>159008.21000000002</v>
      </c>
      <c r="V987" s="7">
        <f>MIN(H987,I987)*INDEX('2018_commission_structure'!$A$5:$J$8,MATCH(Calculations!$E987,'2018_commission_structure'!$A$5:$A$8,0),MATCH(Calculations!V$1,'2018_commission_structure'!$A$5:$J$5,0))</f>
        <v>90000</v>
      </c>
      <c r="W987" s="2">
        <f>IF($H987&gt;I987,MIN($H987-I987,J987-I987)*INDEX('2018_commission_structure'!$A$5:$J$8,MATCH(Calculations!$E987,'2018_commission_structure'!$A$5:$A$8,0),MATCH(Calculations!W$1,'2018_commission_structure'!$A$5:$J$5,0)),0)</f>
        <v>16346.34</v>
      </c>
      <c r="X987" s="2">
        <f>IF($H987&gt;J987,MIN($H987-J987,K987-J987)*INDEX('2018_commission_structure'!$A$5:$J$8,MATCH(Calculations!$E987,'2018_commission_structure'!$A$5:$A$8,0),MATCH(Calculations!X$1,'2018_commission_structure'!$A$5:$J$5,0)),0)</f>
        <v>0</v>
      </c>
      <c r="Y987" s="2">
        <f>IF($H987&gt;K987,MIN($H987-K987,L987-K987)*INDEX('2018_commission_structure'!$A$5:$J$8,MATCH(Calculations!$E987,'2018_commission_structure'!$A$5:$A$8,0),MATCH(Calculations!Y$1,'2018_commission_structure'!$A$5:$J$5,0)),0)</f>
        <v>0</v>
      </c>
      <c r="Z987" s="2">
        <f xml:space="preserve"> IF(H987&gt;L987,(H987-L987)*INDEX('2018_commission_structure'!$A$11:$I$14,MATCH(Calculations!$E987,'2018_commission_structure'!$A$11:$A$14,0),MATCH(Calculations!Z$1,'2018_commission_structure'!$A$11:$I$11,0)),0)</f>
        <v>0</v>
      </c>
      <c r="AA987" s="7">
        <f t="shared" si="142"/>
        <v>106346.34</v>
      </c>
      <c r="AB987" s="7">
        <f t="shared" si="143"/>
        <v>171916.34</v>
      </c>
    </row>
    <row r="988" spans="1:28" x14ac:dyDescent="0.25">
      <c r="A988">
        <v>544760832</v>
      </c>
      <c r="B988" t="s">
        <v>1203</v>
      </c>
      <c r="C988" t="s">
        <v>1204</v>
      </c>
      <c r="D988" t="str">
        <f>B988&amp;" "&amp;C988</f>
        <v>Andris Worboy</v>
      </c>
      <c r="E988" t="s">
        <v>7</v>
      </c>
      <c r="F988">
        <v>48646</v>
      </c>
      <c r="G988">
        <f>COUNTIF(deals_closed!D:D,Calculations!A988)</f>
        <v>22</v>
      </c>
      <c r="H988" s="2">
        <f>SUMIF(deals_closed!D:D,Calculations!A988,deals_closed!C:C)</f>
        <v>713140</v>
      </c>
      <c r="I988" s="2">
        <f>VLOOKUP(E988,'2018_commission_structure'!$A$11:$I$14,9,FALSE)</f>
        <v>500000</v>
      </c>
      <c r="J988" s="2">
        <f t="shared" si="135"/>
        <v>625000</v>
      </c>
      <c r="K988" s="2">
        <f t="shared" si="136"/>
        <v>750000</v>
      </c>
      <c r="L988" s="2">
        <f t="shared" si="137"/>
        <v>1000000</v>
      </c>
      <c r="M988" s="6">
        <f t="shared" si="138"/>
        <v>1.42628</v>
      </c>
      <c r="N988" t="str">
        <f t="shared" si="139"/>
        <v>125-150%</v>
      </c>
      <c r="O988" s="7">
        <f>MIN(I988,H988)*INDEX('2018_commission_structure'!$A$11:$I$14,MATCH(Calculations!$E988,'2018_commission_structure'!$A$11:$A$14,0),MATCH(Calculations!O$1,'2018_commission_structure'!$A$11:$I$11,0))</f>
        <v>50000</v>
      </c>
      <c r="P988" s="7">
        <f>IF($H988&gt;I988,MIN($H988-I988,J988-I988)*INDEX('2018_commission_structure'!$A$11:$I$14,MATCH(Calculations!$E988,'2018_commission_structure'!$A$11:$A$14,0), MATCH(Calculations!P$1,'2018_commission_structure'!$A$11:$I$11,0)),0)</f>
        <v>18750</v>
      </c>
      <c r="Q988" s="7">
        <f>IF($H988&gt;J988,MIN($H988-J988,K988-J988)*INDEX('2018_commission_structure'!$A$11:$I$14,MATCH(Calculations!$E988,'2018_commission_structure'!$A$11:$A$14,0), MATCH(Calculations!Q$1,'2018_commission_structure'!$A$11:$I$11,0)),0)</f>
        <v>15865.199999999999</v>
      </c>
      <c r="R988" s="7">
        <f>IF($H988&gt;K988,MIN($H988-K988,L988-K988)*INDEX('2018_commission_structure'!$A$11:$I$14,MATCH(Calculations!$E988,'2018_commission_structure'!$A$11:$A$14,0), MATCH(Calculations!R$1,'2018_commission_structure'!$A$11:$I$11,0)),0)</f>
        <v>0</v>
      </c>
      <c r="S988" s="7">
        <f>IF(H988&gt;L988,(H988-L988)*INDEX('2018_commission_structure'!$A$11:$I$14,MATCH(Calculations!$E988,'2018_commission_structure'!$A$11:$A$14,0),MATCH(Calculations!S$1,'2018_commission_structure'!$A$11:$I$11,0)),0)</f>
        <v>0</v>
      </c>
      <c r="T988" s="7">
        <f t="shared" si="140"/>
        <v>84615.2</v>
      </c>
      <c r="U988" s="7">
        <f t="shared" si="141"/>
        <v>133261.20000000001</v>
      </c>
      <c r="V988" s="7">
        <f>MIN(H988,I988)*INDEX('2018_commission_structure'!$A$5:$J$8,MATCH(Calculations!$E988,'2018_commission_structure'!$A$5:$A$8,0),MATCH(Calculations!V$1,'2018_commission_structure'!$A$5:$J$5,0))</f>
        <v>60000</v>
      </c>
      <c r="W988" s="2">
        <f>IF($H988&gt;I988,MIN($H988-I988,J988-I988)*INDEX('2018_commission_structure'!$A$5:$J$8,MATCH(Calculations!$E988,'2018_commission_structure'!$A$5:$A$8,0),MATCH(Calculations!W$1,'2018_commission_structure'!$A$5:$J$5,0)),0)</f>
        <v>21250</v>
      </c>
      <c r="X988" s="2">
        <f>IF($H988&gt;J988,MIN($H988-J988,K988-J988)*INDEX('2018_commission_structure'!$A$5:$J$8,MATCH(Calculations!$E988,'2018_commission_structure'!$A$5:$A$8,0),MATCH(Calculations!X$1,'2018_commission_structure'!$A$5:$J$5,0)),0)</f>
        <v>17628</v>
      </c>
      <c r="Y988" s="2">
        <f>IF($H988&gt;K988,MIN($H988-K988,L988-K988)*INDEX('2018_commission_structure'!$A$5:$J$8,MATCH(Calculations!$E988,'2018_commission_structure'!$A$5:$A$8,0),MATCH(Calculations!Y$1,'2018_commission_structure'!$A$5:$J$5,0)),0)</f>
        <v>0</v>
      </c>
      <c r="Z988" s="2">
        <f xml:space="preserve"> IF(H988&gt;L988,(H988-L988)*INDEX('2018_commission_structure'!$A$11:$I$14,MATCH(Calculations!$E988,'2018_commission_structure'!$A$11:$A$14,0),MATCH(Calculations!Z$1,'2018_commission_structure'!$A$11:$I$11,0)),0)</f>
        <v>0</v>
      </c>
      <c r="AA988" s="7">
        <f t="shared" si="142"/>
        <v>98878</v>
      </c>
      <c r="AB988" s="7">
        <f t="shared" si="143"/>
        <v>147524</v>
      </c>
    </row>
    <row r="989" spans="1:28" x14ac:dyDescent="0.25">
      <c r="A989">
        <v>549857826</v>
      </c>
      <c r="B989" t="s">
        <v>196</v>
      </c>
      <c r="C989" t="s">
        <v>197</v>
      </c>
      <c r="D989" t="str">
        <f>B989&amp;" "&amp;C989</f>
        <v>Thoma Worcester</v>
      </c>
      <c r="E989" t="s">
        <v>7</v>
      </c>
      <c r="F989">
        <v>62151</v>
      </c>
      <c r="G989">
        <f>COUNTIF(deals_closed!D:D,Calculations!A989)</f>
        <v>26</v>
      </c>
      <c r="H989" s="2">
        <f>SUMIF(deals_closed!D:D,Calculations!A989,deals_closed!C:C)</f>
        <v>951272</v>
      </c>
      <c r="I989" s="2">
        <f>VLOOKUP(E989,'2018_commission_structure'!$A$11:$I$14,9,FALSE)</f>
        <v>500000</v>
      </c>
      <c r="J989" s="2">
        <f t="shared" si="135"/>
        <v>625000</v>
      </c>
      <c r="K989" s="2">
        <f t="shared" si="136"/>
        <v>750000</v>
      </c>
      <c r="L989" s="2">
        <f t="shared" si="137"/>
        <v>1000000</v>
      </c>
      <c r="M989" s="6">
        <f t="shared" si="138"/>
        <v>1.902544</v>
      </c>
      <c r="N989" t="str">
        <f t="shared" si="139"/>
        <v>150-200%</v>
      </c>
      <c r="O989" s="7">
        <f>MIN(I989,H989)*INDEX('2018_commission_structure'!$A$11:$I$14,MATCH(Calculations!$E989,'2018_commission_structure'!$A$11:$A$14,0),MATCH(Calculations!O$1,'2018_commission_structure'!$A$11:$I$11,0))</f>
        <v>50000</v>
      </c>
      <c r="P989" s="7">
        <f>IF($H989&gt;I989,MIN($H989-I989,J989-I989)*INDEX('2018_commission_structure'!$A$11:$I$14,MATCH(Calculations!$E989,'2018_commission_structure'!$A$11:$A$14,0), MATCH(Calculations!P$1,'2018_commission_structure'!$A$11:$I$11,0)),0)</f>
        <v>18750</v>
      </c>
      <c r="Q989" s="7">
        <f>IF($H989&gt;J989,MIN($H989-J989,K989-J989)*INDEX('2018_commission_structure'!$A$11:$I$14,MATCH(Calculations!$E989,'2018_commission_structure'!$A$11:$A$14,0), MATCH(Calculations!Q$1,'2018_commission_structure'!$A$11:$I$11,0)),0)</f>
        <v>22500</v>
      </c>
      <c r="R989" s="7">
        <f>IF($H989&gt;K989,MIN($H989-K989,L989-K989)*INDEX('2018_commission_structure'!$A$11:$I$14,MATCH(Calculations!$E989,'2018_commission_structure'!$A$11:$A$14,0), MATCH(Calculations!R$1,'2018_commission_structure'!$A$11:$I$11,0)),0)</f>
        <v>44279.840000000004</v>
      </c>
      <c r="S989" s="7">
        <f>IF(H989&gt;L989,(H989-L989)*INDEX('2018_commission_structure'!$A$11:$I$14,MATCH(Calculations!$E989,'2018_commission_structure'!$A$11:$A$14,0),MATCH(Calculations!S$1,'2018_commission_structure'!$A$11:$I$11,0)),0)</f>
        <v>0</v>
      </c>
      <c r="T989" s="7">
        <f t="shared" si="140"/>
        <v>135529.84</v>
      </c>
      <c r="U989" s="7">
        <f t="shared" si="141"/>
        <v>197680.84</v>
      </c>
      <c r="V989" s="7">
        <f>MIN(H989,I989)*INDEX('2018_commission_structure'!$A$5:$J$8,MATCH(Calculations!$E989,'2018_commission_structure'!$A$5:$A$8,0),MATCH(Calculations!V$1,'2018_commission_structure'!$A$5:$J$5,0))</f>
        <v>60000</v>
      </c>
      <c r="W989" s="2">
        <f>IF($H989&gt;I989,MIN($H989-I989,J989-I989)*INDEX('2018_commission_structure'!$A$5:$J$8,MATCH(Calculations!$E989,'2018_commission_structure'!$A$5:$A$8,0),MATCH(Calculations!W$1,'2018_commission_structure'!$A$5:$J$5,0)),0)</f>
        <v>21250</v>
      </c>
      <c r="X989" s="2">
        <f>IF($H989&gt;J989,MIN($H989-J989,K989-J989)*INDEX('2018_commission_structure'!$A$5:$J$8,MATCH(Calculations!$E989,'2018_commission_structure'!$A$5:$A$8,0),MATCH(Calculations!X$1,'2018_commission_structure'!$A$5:$J$5,0)),0)</f>
        <v>25000</v>
      </c>
      <c r="Y989" s="2">
        <f>IF($H989&gt;K989,MIN($H989-K989,L989-K989)*INDEX('2018_commission_structure'!$A$5:$J$8,MATCH(Calculations!$E989,'2018_commission_structure'!$A$5:$A$8,0),MATCH(Calculations!Y$1,'2018_commission_structure'!$A$5:$J$5,0)),0)</f>
        <v>44279.840000000004</v>
      </c>
      <c r="Z989" s="2">
        <f xml:space="preserve"> IF(H989&gt;L989,(H989-L989)*INDEX('2018_commission_structure'!$A$11:$I$14,MATCH(Calculations!$E989,'2018_commission_structure'!$A$11:$A$14,0),MATCH(Calculations!Z$1,'2018_commission_structure'!$A$11:$I$11,0)),0)</f>
        <v>0</v>
      </c>
      <c r="AA989" s="7">
        <f t="shared" si="142"/>
        <v>150529.84</v>
      </c>
      <c r="AB989" s="7">
        <f t="shared" si="143"/>
        <v>212680.84</v>
      </c>
    </row>
    <row r="990" spans="1:28" x14ac:dyDescent="0.25">
      <c r="A990">
        <v>3967370569</v>
      </c>
      <c r="B990" t="s">
        <v>533</v>
      </c>
      <c r="C990" t="s">
        <v>534</v>
      </c>
      <c r="D990" t="str">
        <f>B990&amp;" "&amp;C990</f>
        <v>Darryl Worgan</v>
      </c>
      <c r="E990" t="s">
        <v>29</v>
      </c>
      <c r="F990">
        <v>72987</v>
      </c>
      <c r="G990">
        <f>COUNTIF(deals_closed!D:D,Calculations!A990)</f>
        <v>33</v>
      </c>
      <c r="H990" s="2">
        <f>SUMIF(deals_closed!D:D,Calculations!A990,deals_closed!C:C)</f>
        <v>1369014</v>
      </c>
      <c r="I990" s="2">
        <f>VLOOKUP(E990,'2018_commission_structure'!$A$11:$I$14,9,FALSE)</f>
        <v>600000</v>
      </c>
      <c r="J990" s="2">
        <f t="shared" si="135"/>
        <v>750000</v>
      </c>
      <c r="K990" s="2">
        <f t="shared" si="136"/>
        <v>900000</v>
      </c>
      <c r="L990" s="2">
        <f t="shared" si="137"/>
        <v>1200000</v>
      </c>
      <c r="M990" s="6">
        <f t="shared" si="138"/>
        <v>2.2816900000000002</v>
      </c>
      <c r="N990" t="str">
        <f t="shared" si="139"/>
        <v>&gt;200%</v>
      </c>
      <c r="O990" s="7">
        <f>MIN(I990,H990)*INDEX('2018_commission_structure'!$A$11:$I$14,MATCH(Calculations!$E990,'2018_commission_structure'!$A$11:$A$14,0),MATCH(Calculations!O$1,'2018_commission_structure'!$A$11:$I$11,0))</f>
        <v>78000</v>
      </c>
      <c r="P990" s="7">
        <f>IF($H990&gt;I990,MIN($H990-I990,J990-I990)*INDEX('2018_commission_structure'!$A$11:$I$14,MATCH(Calculations!$E990,'2018_commission_structure'!$A$11:$A$14,0), MATCH(Calculations!P$1,'2018_commission_structure'!$A$11:$I$11,0)),0)</f>
        <v>25500.000000000004</v>
      </c>
      <c r="Q990" s="7">
        <f>IF($H990&gt;J990,MIN($H990-J990,K990-J990)*INDEX('2018_commission_structure'!$A$11:$I$14,MATCH(Calculations!$E990,'2018_commission_structure'!$A$11:$A$14,0), MATCH(Calculations!Q$1,'2018_commission_structure'!$A$11:$I$11,0)),0)</f>
        <v>31500</v>
      </c>
      <c r="R990" s="7">
        <f>IF($H990&gt;K990,MIN($H990-K990,L990-K990)*INDEX('2018_commission_structure'!$A$11:$I$14,MATCH(Calculations!$E990,'2018_commission_structure'!$A$11:$A$14,0), MATCH(Calculations!R$1,'2018_commission_structure'!$A$11:$I$11,0)),0)</f>
        <v>78000</v>
      </c>
      <c r="S990" s="7">
        <f>IF(H990&gt;L990,(H990-L990)*INDEX('2018_commission_structure'!$A$11:$I$14,MATCH(Calculations!$E990,'2018_commission_structure'!$A$11:$A$14,0),MATCH(Calculations!S$1,'2018_commission_structure'!$A$11:$I$11,0)),0)</f>
        <v>21971.82</v>
      </c>
      <c r="T990" s="7">
        <f t="shared" si="140"/>
        <v>234971.82</v>
      </c>
      <c r="U990" s="7">
        <f t="shared" si="141"/>
        <v>307958.82</v>
      </c>
      <c r="V990" s="7">
        <f>MIN(H990,I990)*INDEX('2018_commission_structure'!$A$5:$J$8,MATCH(Calculations!$E990,'2018_commission_structure'!$A$5:$A$8,0),MATCH(Calculations!V$1,'2018_commission_structure'!$A$5:$J$5,0))</f>
        <v>90000</v>
      </c>
      <c r="W990" s="2">
        <f>IF($H990&gt;I990,MIN($H990-I990,J990-I990)*INDEX('2018_commission_structure'!$A$5:$J$8,MATCH(Calculations!$E990,'2018_commission_structure'!$A$5:$A$8,0),MATCH(Calculations!W$1,'2018_commission_structure'!$A$5:$J$5,0)),0)</f>
        <v>27000</v>
      </c>
      <c r="X990" s="2">
        <f>IF($H990&gt;J990,MIN($H990-J990,K990-J990)*INDEX('2018_commission_structure'!$A$5:$J$8,MATCH(Calculations!$E990,'2018_commission_structure'!$A$5:$A$8,0),MATCH(Calculations!X$1,'2018_commission_structure'!$A$5:$J$5,0)),0)</f>
        <v>37500</v>
      </c>
      <c r="Y990" s="2">
        <f>IF($H990&gt;K990,MIN($H990-K990,L990-K990)*INDEX('2018_commission_structure'!$A$5:$J$8,MATCH(Calculations!$E990,'2018_commission_structure'!$A$5:$A$8,0),MATCH(Calculations!Y$1,'2018_commission_structure'!$A$5:$J$5,0)),0)</f>
        <v>90000</v>
      </c>
      <c r="Z990" s="2">
        <f xml:space="preserve"> IF(H990&gt;L990,(H990-L990)*INDEX('2018_commission_structure'!$A$11:$I$14,MATCH(Calculations!$E990,'2018_commission_structure'!$A$11:$A$14,0),MATCH(Calculations!Z$1,'2018_commission_structure'!$A$11:$I$11,0)),0)</f>
        <v>21971.82</v>
      </c>
      <c r="AA990" s="7">
        <f t="shared" si="142"/>
        <v>266471.82</v>
      </c>
      <c r="AB990" s="7">
        <f t="shared" si="143"/>
        <v>339458.82</v>
      </c>
    </row>
    <row r="991" spans="1:28" x14ac:dyDescent="0.25">
      <c r="A991">
        <v>5079859830</v>
      </c>
      <c r="B991" t="s">
        <v>1888</v>
      </c>
      <c r="C991" t="s">
        <v>1889</v>
      </c>
      <c r="D991" t="str">
        <f>B991&amp;" "&amp;C991</f>
        <v>Tucker Wurst</v>
      </c>
      <c r="E991" t="s">
        <v>7</v>
      </c>
      <c r="F991">
        <v>54395</v>
      </c>
      <c r="G991">
        <f>COUNTIF(deals_closed!D:D,Calculations!A991)</f>
        <v>22</v>
      </c>
      <c r="H991" s="2">
        <f>SUMIF(deals_closed!D:D,Calculations!A991,deals_closed!C:C)</f>
        <v>838502</v>
      </c>
      <c r="I991" s="2">
        <f>VLOOKUP(E991,'2018_commission_structure'!$A$11:$I$14,9,FALSE)</f>
        <v>500000</v>
      </c>
      <c r="J991" s="2">
        <f t="shared" si="135"/>
        <v>625000</v>
      </c>
      <c r="K991" s="2">
        <f t="shared" si="136"/>
        <v>750000</v>
      </c>
      <c r="L991" s="2">
        <f t="shared" si="137"/>
        <v>1000000</v>
      </c>
      <c r="M991" s="6">
        <f t="shared" si="138"/>
        <v>1.6770039999999999</v>
      </c>
      <c r="N991" t="str">
        <f t="shared" si="139"/>
        <v>150-200%</v>
      </c>
      <c r="O991" s="7">
        <f>MIN(I991,H991)*INDEX('2018_commission_structure'!$A$11:$I$14,MATCH(Calculations!$E991,'2018_commission_structure'!$A$11:$A$14,0),MATCH(Calculations!O$1,'2018_commission_structure'!$A$11:$I$11,0))</f>
        <v>50000</v>
      </c>
      <c r="P991" s="7">
        <f>IF($H991&gt;I991,MIN($H991-I991,J991-I991)*INDEX('2018_commission_structure'!$A$11:$I$14,MATCH(Calculations!$E991,'2018_commission_structure'!$A$11:$A$14,0), MATCH(Calculations!P$1,'2018_commission_structure'!$A$11:$I$11,0)),0)</f>
        <v>18750</v>
      </c>
      <c r="Q991" s="7">
        <f>IF($H991&gt;J991,MIN($H991-J991,K991-J991)*INDEX('2018_commission_structure'!$A$11:$I$14,MATCH(Calculations!$E991,'2018_commission_structure'!$A$11:$A$14,0), MATCH(Calculations!Q$1,'2018_commission_structure'!$A$11:$I$11,0)),0)</f>
        <v>22500</v>
      </c>
      <c r="R991" s="7">
        <f>IF($H991&gt;K991,MIN($H991-K991,L991-K991)*INDEX('2018_commission_structure'!$A$11:$I$14,MATCH(Calculations!$E991,'2018_commission_structure'!$A$11:$A$14,0), MATCH(Calculations!R$1,'2018_commission_structure'!$A$11:$I$11,0)),0)</f>
        <v>19470.439999999999</v>
      </c>
      <c r="S991" s="7">
        <f>IF(H991&gt;L991,(H991-L991)*INDEX('2018_commission_structure'!$A$11:$I$14,MATCH(Calculations!$E991,'2018_commission_structure'!$A$11:$A$14,0),MATCH(Calculations!S$1,'2018_commission_structure'!$A$11:$I$11,0)),0)</f>
        <v>0</v>
      </c>
      <c r="T991" s="7">
        <f t="shared" si="140"/>
        <v>110720.44</v>
      </c>
      <c r="U991" s="7">
        <f t="shared" si="141"/>
        <v>165115.44</v>
      </c>
      <c r="V991" s="7">
        <f>MIN(H991,I991)*INDEX('2018_commission_structure'!$A$5:$J$8,MATCH(Calculations!$E991,'2018_commission_structure'!$A$5:$A$8,0),MATCH(Calculations!V$1,'2018_commission_structure'!$A$5:$J$5,0))</f>
        <v>60000</v>
      </c>
      <c r="W991" s="2">
        <f>IF($H991&gt;I991,MIN($H991-I991,J991-I991)*INDEX('2018_commission_structure'!$A$5:$J$8,MATCH(Calculations!$E991,'2018_commission_structure'!$A$5:$A$8,0),MATCH(Calculations!W$1,'2018_commission_structure'!$A$5:$J$5,0)),0)</f>
        <v>21250</v>
      </c>
      <c r="X991" s="2">
        <f>IF($H991&gt;J991,MIN($H991-J991,K991-J991)*INDEX('2018_commission_structure'!$A$5:$J$8,MATCH(Calculations!$E991,'2018_commission_structure'!$A$5:$A$8,0),MATCH(Calculations!X$1,'2018_commission_structure'!$A$5:$J$5,0)),0)</f>
        <v>25000</v>
      </c>
      <c r="Y991" s="2">
        <f>IF($H991&gt;K991,MIN($H991-K991,L991-K991)*INDEX('2018_commission_structure'!$A$5:$J$8,MATCH(Calculations!$E991,'2018_commission_structure'!$A$5:$A$8,0),MATCH(Calculations!Y$1,'2018_commission_structure'!$A$5:$J$5,0)),0)</f>
        <v>19470.439999999999</v>
      </c>
      <c r="Z991" s="2">
        <f xml:space="preserve"> IF(H991&gt;L991,(H991-L991)*INDEX('2018_commission_structure'!$A$11:$I$14,MATCH(Calculations!$E991,'2018_commission_structure'!$A$11:$A$14,0),MATCH(Calculations!Z$1,'2018_commission_structure'!$A$11:$I$11,0)),0)</f>
        <v>0</v>
      </c>
      <c r="AA991" s="7">
        <f t="shared" si="142"/>
        <v>125720.44</v>
      </c>
      <c r="AB991" s="7">
        <f t="shared" si="143"/>
        <v>180115.44</v>
      </c>
    </row>
    <row r="992" spans="1:28" x14ac:dyDescent="0.25">
      <c r="A992">
        <v>8565880958</v>
      </c>
      <c r="B992" t="s">
        <v>1037</v>
      </c>
      <c r="C992" t="s">
        <v>1038</v>
      </c>
      <c r="D992" t="str">
        <f>B992&amp;" "&amp;C992</f>
        <v>Austine Wyer</v>
      </c>
      <c r="E992" t="s">
        <v>29</v>
      </c>
      <c r="F992">
        <v>55355</v>
      </c>
      <c r="G992">
        <f>COUNTIF(deals_closed!D:D,Calculations!A992)</f>
        <v>20</v>
      </c>
      <c r="H992" s="2">
        <f>SUMIF(deals_closed!D:D,Calculations!A992,deals_closed!C:C)</f>
        <v>794819</v>
      </c>
      <c r="I992" s="2">
        <f>VLOOKUP(E992,'2018_commission_structure'!$A$11:$I$14,9,FALSE)</f>
        <v>600000</v>
      </c>
      <c r="J992" s="2">
        <f t="shared" si="135"/>
        <v>750000</v>
      </c>
      <c r="K992" s="2">
        <f t="shared" si="136"/>
        <v>900000</v>
      </c>
      <c r="L992" s="2">
        <f t="shared" si="137"/>
        <v>1200000</v>
      </c>
      <c r="M992" s="6">
        <f t="shared" si="138"/>
        <v>1.3246983333333333</v>
      </c>
      <c r="N992" t="str">
        <f t="shared" si="139"/>
        <v>125-150%</v>
      </c>
      <c r="O992" s="7">
        <f>MIN(I992,H992)*INDEX('2018_commission_structure'!$A$11:$I$14,MATCH(Calculations!$E992,'2018_commission_structure'!$A$11:$A$14,0),MATCH(Calculations!O$1,'2018_commission_structure'!$A$11:$I$11,0))</f>
        <v>78000</v>
      </c>
      <c r="P992" s="7">
        <f>IF($H992&gt;I992,MIN($H992-I992,J992-I992)*INDEX('2018_commission_structure'!$A$11:$I$14,MATCH(Calculations!$E992,'2018_commission_structure'!$A$11:$A$14,0), MATCH(Calculations!P$1,'2018_commission_structure'!$A$11:$I$11,0)),0)</f>
        <v>25500.000000000004</v>
      </c>
      <c r="Q992" s="7">
        <f>IF($H992&gt;J992,MIN($H992-J992,K992-J992)*INDEX('2018_commission_structure'!$A$11:$I$14,MATCH(Calculations!$E992,'2018_commission_structure'!$A$11:$A$14,0), MATCH(Calculations!Q$1,'2018_commission_structure'!$A$11:$I$11,0)),0)</f>
        <v>9411.99</v>
      </c>
      <c r="R992" s="7">
        <f>IF($H992&gt;K992,MIN($H992-K992,L992-K992)*INDEX('2018_commission_structure'!$A$11:$I$14,MATCH(Calculations!$E992,'2018_commission_structure'!$A$11:$A$14,0), MATCH(Calculations!R$1,'2018_commission_structure'!$A$11:$I$11,0)),0)</f>
        <v>0</v>
      </c>
      <c r="S992" s="7">
        <f>IF(H992&gt;L992,(H992-L992)*INDEX('2018_commission_structure'!$A$11:$I$14,MATCH(Calculations!$E992,'2018_commission_structure'!$A$11:$A$14,0),MATCH(Calculations!S$1,'2018_commission_structure'!$A$11:$I$11,0)),0)</f>
        <v>0</v>
      </c>
      <c r="T992" s="7">
        <f t="shared" si="140"/>
        <v>112911.99</v>
      </c>
      <c r="U992" s="7">
        <f t="shared" si="141"/>
        <v>168266.99</v>
      </c>
      <c r="V992" s="7">
        <f>MIN(H992,I992)*INDEX('2018_commission_structure'!$A$5:$J$8,MATCH(Calculations!$E992,'2018_commission_structure'!$A$5:$A$8,0),MATCH(Calculations!V$1,'2018_commission_structure'!$A$5:$J$5,0))</f>
        <v>90000</v>
      </c>
      <c r="W992" s="2">
        <f>IF($H992&gt;I992,MIN($H992-I992,J992-I992)*INDEX('2018_commission_structure'!$A$5:$J$8,MATCH(Calculations!$E992,'2018_commission_structure'!$A$5:$A$8,0),MATCH(Calculations!W$1,'2018_commission_structure'!$A$5:$J$5,0)),0)</f>
        <v>27000</v>
      </c>
      <c r="X992" s="2">
        <f>IF($H992&gt;J992,MIN($H992-J992,K992-J992)*INDEX('2018_commission_structure'!$A$5:$J$8,MATCH(Calculations!$E992,'2018_commission_structure'!$A$5:$A$8,0),MATCH(Calculations!X$1,'2018_commission_structure'!$A$5:$J$5,0)),0)</f>
        <v>11204.75</v>
      </c>
      <c r="Y992" s="2">
        <f>IF($H992&gt;K992,MIN($H992-K992,L992-K992)*INDEX('2018_commission_structure'!$A$5:$J$8,MATCH(Calculations!$E992,'2018_commission_structure'!$A$5:$A$8,0),MATCH(Calculations!Y$1,'2018_commission_structure'!$A$5:$J$5,0)),0)</f>
        <v>0</v>
      </c>
      <c r="Z992" s="2">
        <f xml:space="preserve"> IF(H992&gt;L992,(H992-L992)*INDEX('2018_commission_structure'!$A$11:$I$14,MATCH(Calculations!$E992,'2018_commission_structure'!$A$11:$A$14,0),MATCH(Calculations!Z$1,'2018_commission_structure'!$A$11:$I$11,0)),0)</f>
        <v>0</v>
      </c>
      <c r="AA992" s="7">
        <f t="shared" si="142"/>
        <v>128204.75</v>
      </c>
      <c r="AB992" s="7">
        <f t="shared" si="143"/>
        <v>183559.75</v>
      </c>
    </row>
    <row r="993" spans="1:28" x14ac:dyDescent="0.25">
      <c r="A993">
        <v>2607689635</v>
      </c>
      <c r="B993" t="s">
        <v>569</v>
      </c>
      <c r="C993" t="s">
        <v>570</v>
      </c>
      <c r="D993" t="str">
        <f>B993&amp;" "&amp;C993</f>
        <v>Lulita Wyke</v>
      </c>
      <c r="E993" t="s">
        <v>29</v>
      </c>
      <c r="F993">
        <v>53124</v>
      </c>
      <c r="G993">
        <f>COUNTIF(deals_closed!D:D,Calculations!A993)</f>
        <v>20</v>
      </c>
      <c r="H993" s="2">
        <f>SUMIF(deals_closed!D:D,Calculations!A993,deals_closed!C:C)</f>
        <v>595273</v>
      </c>
      <c r="I993" s="2">
        <f>VLOOKUP(E993,'2018_commission_structure'!$A$11:$I$14,9,FALSE)</f>
        <v>600000</v>
      </c>
      <c r="J993" s="2">
        <f t="shared" si="135"/>
        <v>750000</v>
      </c>
      <c r="K993" s="2">
        <f t="shared" si="136"/>
        <v>900000</v>
      </c>
      <c r="L993" s="2">
        <f t="shared" si="137"/>
        <v>1200000</v>
      </c>
      <c r="M993" s="6">
        <f t="shared" si="138"/>
        <v>0.99212166666666668</v>
      </c>
      <c r="N993" t="str">
        <f t="shared" si="139"/>
        <v>0-100%</v>
      </c>
      <c r="O993" s="7">
        <f>MIN(I993,H993)*INDEX('2018_commission_structure'!$A$11:$I$14,MATCH(Calculations!$E993,'2018_commission_structure'!$A$11:$A$14,0),MATCH(Calculations!O$1,'2018_commission_structure'!$A$11:$I$11,0))</f>
        <v>77385.490000000005</v>
      </c>
      <c r="P993" s="7">
        <f>IF($H993&gt;I993,MIN($H993-I993,J993-I993)*INDEX('2018_commission_structure'!$A$11:$I$14,MATCH(Calculations!$E993,'2018_commission_structure'!$A$11:$A$14,0), MATCH(Calculations!P$1,'2018_commission_structure'!$A$11:$I$11,0)),0)</f>
        <v>0</v>
      </c>
      <c r="Q993" s="7">
        <f>IF($H993&gt;J993,MIN($H993-J993,K993-J993)*INDEX('2018_commission_structure'!$A$11:$I$14,MATCH(Calculations!$E993,'2018_commission_structure'!$A$11:$A$14,0), MATCH(Calculations!Q$1,'2018_commission_structure'!$A$11:$I$11,0)),0)</f>
        <v>0</v>
      </c>
      <c r="R993" s="7">
        <f>IF($H993&gt;K993,MIN($H993-K993,L993-K993)*INDEX('2018_commission_structure'!$A$11:$I$14,MATCH(Calculations!$E993,'2018_commission_structure'!$A$11:$A$14,0), MATCH(Calculations!R$1,'2018_commission_structure'!$A$11:$I$11,0)),0)</f>
        <v>0</v>
      </c>
      <c r="S993" s="7">
        <f>IF(H993&gt;L993,(H993-L993)*INDEX('2018_commission_structure'!$A$11:$I$14,MATCH(Calculations!$E993,'2018_commission_structure'!$A$11:$A$14,0),MATCH(Calculations!S$1,'2018_commission_structure'!$A$11:$I$11,0)),0)</f>
        <v>0</v>
      </c>
      <c r="T993" s="7">
        <f t="shared" si="140"/>
        <v>77385.490000000005</v>
      </c>
      <c r="U993" s="7">
        <f t="shared" si="141"/>
        <v>130509.49</v>
      </c>
      <c r="V993" s="7">
        <f>MIN(H993,I993)*INDEX('2018_commission_structure'!$A$5:$J$8,MATCH(Calculations!$E993,'2018_commission_structure'!$A$5:$A$8,0),MATCH(Calculations!V$1,'2018_commission_structure'!$A$5:$J$5,0))</f>
        <v>89290.95</v>
      </c>
      <c r="W993" s="2">
        <f>IF($H993&gt;I993,MIN($H993-I993,J993-I993)*INDEX('2018_commission_structure'!$A$5:$J$8,MATCH(Calculations!$E993,'2018_commission_structure'!$A$5:$A$8,0),MATCH(Calculations!W$1,'2018_commission_structure'!$A$5:$J$5,0)),0)</f>
        <v>0</v>
      </c>
      <c r="X993" s="2">
        <f>IF($H993&gt;J993,MIN($H993-J993,K993-J993)*INDEX('2018_commission_structure'!$A$5:$J$8,MATCH(Calculations!$E993,'2018_commission_structure'!$A$5:$A$8,0),MATCH(Calculations!X$1,'2018_commission_structure'!$A$5:$J$5,0)),0)</f>
        <v>0</v>
      </c>
      <c r="Y993" s="2">
        <f>IF($H993&gt;K993,MIN($H993-K993,L993-K993)*INDEX('2018_commission_structure'!$A$5:$J$8,MATCH(Calculations!$E993,'2018_commission_structure'!$A$5:$A$8,0),MATCH(Calculations!Y$1,'2018_commission_structure'!$A$5:$J$5,0)),0)</f>
        <v>0</v>
      </c>
      <c r="Z993" s="2">
        <f xml:space="preserve"> IF(H993&gt;L993,(H993-L993)*INDEX('2018_commission_structure'!$A$11:$I$14,MATCH(Calculations!$E993,'2018_commission_structure'!$A$11:$A$14,0),MATCH(Calculations!Z$1,'2018_commission_structure'!$A$11:$I$11,0)),0)</f>
        <v>0</v>
      </c>
      <c r="AA993" s="7">
        <f t="shared" si="142"/>
        <v>89290.95</v>
      </c>
      <c r="AB993" s="7">
        <f t="shared" si="143"/>
        <v>142414.95000000001</v>
      </c>
    </row>
    <row r="994" spans="1:28" x14ac:dyDescent="0.25">
      <c r="A994">
        <v>6842801095</v>
      </c>
      <c r="B994" t="s">
        <v>944</v>
      </c>
      <c r="C994" t="s">
        <v>945</v>
      </c>
      <c r="D994" t="str">
        <f>B994&amp;" "&amp;C994</f>
        <v>Moll Wylie</v>
      </c>
      <c r="E994" t="s">
        <v>10</v>
      </c>
      <c r="F994">
        <v>110949</v>
      </c>
      <c r="G994">
        <f>COUNTIF(deals_closed!D:D,Calculations!A994)</f>
        <v>12</v>
      </c>
      <c r="H994" s="2">
        <f>SUMIF(deals_closed!D:D,Calculations!A994,deals_closed!C:C)</f>
        <v>439307</v>
      </c>
      <c r="I994" s="2">
        <f>VLOOKUP(E994,'2018_commission_structure'!$A$11:$I$14,9,FALSE)</f>
        <v>750000</v>
      </c>
      <c r="J994" s="2">
        <f t="shared" si="135"/>
        <v>937500</v>
      </c>
      <c r="K994" s="2">
        <f t="shared" si="136"/>
        <v>1125000</v>
      </c>
      <c r="L994" s="2">
        <f t="shared" si="137"/>
        <v>1500000</v>
      </c>
      <c r="M994" s="6">
        <f t="shared" si="138"/>
        <v>0.58574266666666663</v>
      </c>
      <c r="N994" t="str">
        <f t="shared" si="139"/>
        <v>0-100%</v>
      </c>
      <c r="O994" s="7">
        <f>MIN(I994,H994)*INDEX('2018_commission_structure'!$A$11:$I$14,MATCH(Calculations!$E994,'2018_commission_structure'!$A$11:$A$14,0),MATCH(Calculations!O$1,'2018_commission_structure'!$A$11:$I$11,0))</f>
        <v>65896.05</v>
      </c>
      <c r="P994" s="7">
        <f>IF($H994&gt;I994,MIN($H994-I994,J994-I994)*INDEX('2018_commission_structure'!$A$11:$I$14,MATCH(Calculations!$E994,'2018_commission_structure'!$A$11:$A$14,0), MATCH(Calculations!P$1,'2018_commission_structure'!$A$11:$I$11,0)),0)</f>
        <v>0</v>
      </c>
      <c r="Q994" s="7">
        <f>IF($H994&gt;J994,MIN($H994-J994,K994-J994)*INDEX('2018_commission_structure'!$A$11:$I$14,MATCH(Calculations!$E994,'2018_commission_structure'!$A$11:$A$14,0), MATCH(Calculations!Q$1,'2018_commission_structure'!$A$11:$I$11,0)),0)</f>
        <v>0</v>
      </c>
      <c r="R994" s="7">
        <f>IF($H994&gt;K994,MIN($H994-K994,L994-K994)*INDEX('2018_commission_structure'!$A$11:$I$14,MATCH(Calculations!$E994,'2018_commission_structure'!$A$11:$A$14,0), MATCH(Calculations!R$1,'2018_commission_structure'!$A$11:$I$11,0)),0)</f>
        <v>0</v>
      </c>
      <c r="S994" s="7">
        <f>IF(H994&gt;L994,(H994-L994)*INDEX('2018_commission_structure'!$A$11:$I$14,MATCH(Calculations!$E994,'2018_commission_structure'!$A$11:$A$14,0),MATCH(Calculations!S$1,'2018_commission_structure'!$A$11:$I$11,0)),0)</f>
        <v>0</v>
      </c>
      <c r="T994" s="7">
        <f t="shared" si="140"/>
        <v>65896.05</v>
      </c>
      <c r="U994" s="7">
        <f t="shared" si="141"/>
        <v>176845.05</v>
      </c>
      <c r="V994" s="7">
        <f>MIN(H994,I994)*INDEX('2018_commission_structure'!$A$5:$J$8,MATCH(Calculations!$E994,'2018_commission_structure'!$A$5:$A$8,0),MATCH(Calculations!V$1,'2018_commission_structure'!$A$5:$J$5,0))</f>
        <v>65896.05</v>
      </c>
      <c r="W994" s="2">
        <f>IF($H994&gt;I994,MIN($H994-I994,J994-I994)*INDEX('2018_commission_structure'!$A$5:$J$8,MATCH(Calculations!$E994,'2018_commission_structure'!$A$5:$A$8,0),MATCH(Calculations!W$1,'2018_commission_structure'!$A$5:$J$5,0)),0)</f>
        <v>0</v>
      </c>
      <c r="X994" s="2">
        <f>IF($H994&gt;J994,MIN($H994-J994,K994-J994)*INDEX('2018_commission_structure'!$A$5:$J$8,MATCH(Calculations!$E994,'2018_commission_structure'!$A$5:$A$8,0),MATCH(Calculations!X$1,'2018_commission_structure'!$A$5:$J$5,0)),0)</f>
        <v>0</v>
      </c>
      <c r="Y994" s="2">
        <f>IF($H994&gt;K994,MIN($H994-K994,L994-K994)*INDEX('2018_commission_structure'!$A$5:$J$8,MATCH(Calculations!$E994,'2018_commission_structure'!$A$5:$A$8,0),MATCH(Calculations!Y$1,'2018_commission_structure'!$A$5:$J$5,0)),0)</f>
        <v>0</v>
      </c>
      <c r="Z994" s="2">
        <f xml:space="preserve"> IF(H994&gt;L994,(H994-L994)*INDEX('2018_commission_structure'!$A$11:$I$14,MATCH(Calculations!$E994,'2018_commission_structure'!$A$11:$A$14,0),MATCH(Calculations!Z$1,'2018_commission_structure'!$A$11:$I$11,0)),0)</f>
        <v>0</v>
      </c>
      <c r="AA994" s="7">
        <f t="shared" si="142"/>
        <v>65896.05</v>
      </c>
      <c r="AB994" s="7">
        <f t="shared" si="143"/>
        <v>176845.05</v>
      </c>
    </row>
    <row r="995" spans="1:28" x14ac:dyDescent="0.25">
      <c r="A995">
        <v>7180536660</v>
      </c>
      <c r="B995" t="s">
        <v>220</v>
      </c>
      <c r="C995" t="s">
        <v>221</v>
      </c>
      <c r="D995" t="str">
        <f>B995&amp;" "&amp;C995</f>
        <v>Rudolfo Yanyushkin</v>
      </c>
      <c r="E995" t="s">
        <v>7</v>
      </c>
      <c r="F995">
        <v>34861</v>
      </c>
      <c r="G995">
        <f>COUNTIF(deals_closed!D:D,Calculations!A995)</f>
        <v>20</v>
      </c>
      <c r="H995" s="2">
        <f>SUMIF(deals_closed!D:D,Calculations!A995,deals_closed!C:C)</f>
        <v>697052</v>
      </c>
      <c r="I995" s="2">
        <f>VLOOKUP(E995,'2018_commission_structure'!$A$11:$I$14,9,FALSE)</f>
        <v>500000</v>
      </c>
      <c r="J995" s="2">
        <f t="shared" si="135"/>
        <v>625000</v>
      </c>
      <c r="K995" s="2">
        <f t="shared" si="136"/>
        <v>750000</v>
      </c>
      <c r="L995" s="2">
        <f t="shared" si="137"/>
        <v>1000000</v>
      </c>
      <c r="M995" s="6">
        <f t="shared" si="138"/>
        <v>1.394104</v>
      </c>
      <c r="N995" t="str">
        <f t="shared" si="139"/>
        <v>125-150%</v>
      </c>
      <c r="O995" s="7">
        <f>MIN(I995,H995)*INDEX('2018_commission_structure'!$A$11:$I$14,MATCH(Calculations!$E995,'2018_commission_structure'!$A$11:$A$14,0),MATCH(Calculations!O$1,'2018_commission_structure'!$A$11:$I$11,0))</f>
        <v>50000</v>
      </c>
      <c r="P995" s="7">
        <f>IF($H995&gt;I995,MIN($H995-I995,J995-I995)*INDEX('2018_commission_structure'!$A$11:$I$14,MATCH(Calculations!$E995,'2018_commission_structure'!$A$11:$A$14,0), MATCH(Calculations!P$1,'2018_commission_structure'!$A$11:$I$11,0)),0)</f>
        <v>18750</v>
      </c>
      <c r="Q995" s="7">
        <f>IF($H995&gt;J995,MIN($H995-J995,K995-J995)*INDEX('2018_commission_structure'!$A$11:$I$14,MATCH(Calculations!$E995,'2018_commission_structure'!$A$11:$A$14,0), MATCH(Calculations!Q$1,'2018_commission_structure'!$A$11:$I$11,0)),0)</f>
        <v>12969.359999999999</v>
      </c>
      <c r="R995" s="7">
        <f>IF($H995&gt;K995,MIN($H995-K995,L995-K995)*INDEX('2018_commission_structure'!$A$11:$I$14,MATCH(Calculations!$E995,'2018_commission_structure'!$A$11:$A$14,0), MATCH(Calculations!R$1,'2018_commission_structure'!$A$11:$I$11,0)),0)</f>
        <v>0</v>
      </c>
      <c r="S995" s="7">
        <f>IF(H995&gt;L995,(H995-L995)*INDEX('2018_commission_structure'!$A$11:$I$14,MATCH(Calculations!$E995,'2018_commission_structure'!$A$11:$A$14,0),MATCH(Calculations!S$1,'2018_commission_structure'!$A$11:$I$11,0)),0)</f>
        <v>0</v>
      </c>
      <c r="T995" s="7">
        <f t="shared" si="140"/>
        <v>81719.360000000001</v>
      </c>
      <c r="U995" s="7">
        <f t="shared" si="141"/>
        <v>116580.36</v>
      </c>
      <c r="V995" s="7">
        <f>MIN(H995,I995)*INDEX('2018_commission_structure'!$A$5:$J$8,MATCH(Calculations!$E995,'2018_commission_structure'!$A$5:$A$8,0),MATCH(Calculations!V$1,'2018_commission_structure'!$A$5:$J$5,0))</f>
        <v>60000</v>
      </c>
      <c r="W995" s="2">
        <f>IF($H995&gt;I995,MIN($H995-I995,J995-I995)*INDEX('2018_commission_structure'!$A$5:$J$8,MATCH(Calculations!$E995,'2018_commission_structure'!$A$5:$A$8,0),MATCH(Calculations!W$1,'2018_commission_structure'!$A$5:$J$5,0)),0)</f>
        <v>21250</v>
      </c>
      <c r="X995" s="2">
        <f>IF($H995&gt;J995,MIN($H995-J995,K995-J995)*INDEX('2018_commission_structure'!$A$5:$J$8,MATCH(Calculations!$E995,'2018_commission_structure'!$A$5:$A$8,0),MATCH(Calculations!X$1,'2018_commission_structure'!$A$5:$J$5,0)),0)</f>
        <v>14410.400000000001</v>
      </c>
      <c r="Y995" s="2">
        <f>IF($H995&gt;K995,MIN($H995-K995,L995-K995)*INDEX('2018_commission_structure'!$A$5:$J$8,MATCH(Calculations!$E995,'2018_commission_structure'!$A$5:$A$8,0),MATCH(Calculations!Y$1,'2018_commission_structure'!$A$5:$J$5,0)),0)</f>
        <v>0</v>
      </c>
      <c r="Z995" s="2">
        <f xml:space="preserve"> IF(H995&gt;L995,(H995-L995)*INDEX('2018_commission_structure'!$A$11:$I$14,MATCH(Calculations!$E995,'2018_commission_structure'!$A$11:$A$14,0),MATCH(Calculations!Z$1,'2018_commission_structure'!$A$11:$I$11,0)),0)</f>
        <v>0</v>
      </c>
      <c r="AA995" s="7">
        <f t="shared" si="142"/>
        <v>95660.4</v>
      </c>
      <c r="AB995" s="7">
        <f t="shared" si="143"/>
        <v>130521.4</v>
      </c>
    </row>
    <row r="996" spans="1:28" x14ac:dyDescent="0.25">
      <c r="A996">
        <v>4075444457</v>
      </c>
      <c r="B996" t="s">
        <v>185</v>
      </c>
      <c r="C996" t="s">
        <v>1584</v>
      </c>
      <c r="D996" t="str">
        <f>B996&amp;" "&amp;C996</f>
        <v>Carlin Yardley</v>
      </c>
      <c r="E996" t="s">
        <v>10</v>
      </c>
      <c r="F996">
        <v>91957</v>
      </c>
      <c r="G996">
        <f>COUNTIF(deals_closed!D:D,Calculations!A996)</f>
        <v>22</v>
      </c>
      <c r="H996" s="2">
        <f>SUMIF(deals_closed!D:D,Calculations!A996,deals_closed!C:C)</f>
        <v>817460</v>
      </c>
      <c r="I996" s="2">
        <f>VLOOKUP(E996,'2018_commission_structure'!$A$11:$I$14,9,FALSE)</f>
        <v>750000</v>
      </c>
      <c r="J996" s="2">
        <f t="shared" si="135"/>
        <v>937500</v>
      </c>
      <c r="K996" s="2">
        <f t="shared" si="136"/>
        <v>1125000</v>
      </c>
      <c r="L996" s="2">
        <f t="shared" si="137"/>
        <v>1500000</v>
      </c>
      <c r="M996" s="6">
        <f t="shared" si="138"/>
        <v>1.0899466666666666</v>
      </c>
      <c r="N996" t="str">
        <f t="shared" si="139"/>
        <v>100-125%</v>
      </c>
      <c r="O996" s="7">
        <f>MIN(I996,H996)*INDEX('2018_commission_structure'!$A$11:$I$14,MATCH(Calculations!$E996,'2018_commission_structure'!$A$11:$A$14,0),MATCH(Calculations!O$1,'2018_commission_structure'!$A$11:$I$11,0))</f>
        <v>112500</v>
      </c>
      <c r="P996" s="7">
        <f>IF($H996&gt;I996,MIN($H996-I996,J996-I996)*INDEX('2018_commission_structure'!$A$11:$I$14,MATCH(Calculations!$E996,'2018_commission_structure'!$A$11:$A$14,0), MATCH(Calculations!P$1,'2018_commission_structure'!$A$11:$I$11,0)),0)</f>
        <v>12817.4</v>
      </c>
      <c r="Q996" s="7">
        <f>IF($H996&gt;J996,MIN($H996-J996,K996-J996)*INDEX('2018_commission_structure'!$A$11:$I$14,MATCH(Calculations!$E996,'2018_commission_structure'!$A$11:$A$14,0), MATCH(Calculations!Q$1,'2018_commission_structure'!$A$11:$I$11,0)),0)</f>
        <v>0</v>
      </c>
      <c r="R996" s="7">
        <f>IF($H996&gt;K996,MIN($H996-K996,L996-K996)*INDEX('2018_commission_structure'!$A$11:$I$14,MATCH(Calculations!$E996,'2018_commission_structure'!$A$11:$A$14,0), MATCH(Calculations!R$1,'2018_commission_structure'!$A$11:$I$11,0)),0)</f>
        <v>0</v>
      </c>
      <c r="S996" s="7">
        <f>IF(H996&gt;L996,(H996-L996)*INDEX('2018_commission_structure'!$A$11:$I$14,MATCH(Calculations!$E996,'2018_commission_structure'!$A$11:$A$14,0),MATCH(Calculations!S$1,'2018_commission_structure'!$A$11:$I$11,0)),0)</f>
        <v>0</v>
      </c>
      <c r="T996" s="7">
        <f t="shared" si="140"/>
        <v>125317.4</v>
      </c>
      <c r="U996" s="7">
        <f t="shared" si="141"/>
        <v>217274.4</v>
      </c>
      <c r="V996" s="7">
        <f>MIN(H996,I996)*INDEX('2018_commission_structure'!$A$5:$J$8,MATCH(Calculations!$E996,'2018_commission_structure'!$A$5:$A$8,0),MATCH(Calculations!V$1,'2018_commission_structure'!$A$5:$J$5,0))</f>
        <v>112500</v>
      </c>
      <c r="W996" s="2">
        <f>IF($H996&gt;I996,MIN($H996-I996,J996-I996)*INDEX('2018_commission_structure'!$A$5:$J$8,MATCH(Calculations!$E996,'2018_commission_structure'!$A$5:$A$8,0),MATCH(Calculations!W$1,'2018_commission_structure'!$A$5:$J$5,0)),0)</f>
        <v>14841.2</v>
      </c>
      <c r="X996" s="2">
        <f>IF($H996&gt;J996,MIN($H996-J996,K996-J996)*INDEX('2018_commission_structure'!$A$5:$J$8,MATCH(Calculations!$E996,'2018_commission_structure'!$A$5:$A$8,0),MATCH(Calculations!X$1,'2018_commission_structure'!$A$5:$J$5,0)),0)</f>
        <v>0</v>
      </c>
      <c r="Y996" s="2">
        <f>IF($H996&gt;K996,MIN($H996-K996,L996-K996)*INDEX('2018_commission_structure'!$A$5:$J$8,MATCH(Calculations!$E996,'2018_commission_structure'!$A$5:$A$8,0),MATCH(Calculations!Y$1,'2018_commission_structure'!$A$5:$J$5,0)),0)</f>
        <v>0</v>
      </c>
      <c r="Z996" s="2">
        <f xml:space="preserve"> IF(H996&gt;L996,(H996-L996)*INDEX('2018_commission_structure'!$A$11:$I$14,MATCH(Calculations!$E996,'2018_commission_structure'!$A$11:$A$14,0),MATCH(Calculations!Z$1,'2018_commission_structure'!$A$11:$I$11,0)),0)</f>
        <v>0</v>
      </c>
      <c r="AA996" s="7">
        <f t="shared" si="142"/>
        <v>127341.2</v>
      </c>
      <c r="AB996" s="7">
        <f t="shared" si="143"/>
        <v>219298.2</v>
      </c>
    </row>
    <row r="997" spans="1:28" x14ac:dyDescent="0.25">
      <c r="A997">
        <v>2292892200</v>
      </c>
      <c r="B997" t="s">
        <v>708</v>
      </c>
      <c r="C997" t="s">
        <v>709</v>
      </c>
      <c r="D997" t="str">
        <f>B997&amp;" "&amp;C997</f>
        <v>Leelah Yarnton</v>
      </c>
      <c r="E997" t="s">
        <v>29</v>
      </c>
      <c r="F997">
        <v>66242</v>
      </c>
      <c r="G997">
        <f>COUNTIF(deals_closed!D:D,Calculations!A997)</f>
        <v>16</v>
      </c>
      <c r="H997" s="2">
        <f>SUMIF(deals_closed!D:D,Calculations!A997,deals_closed!C:C)</f>
        <v>551148</v>
      </c>
      <c r="I997" s="2">
        <f>VLOOKUP(E997,'2018_commission_structure'!$A$11:$I$14,9,FALSE)</f>
        <v>600000</v>
      </c>
      <c r="J997" s="2">
        <f t="shared" si="135"/>
        <v>750000</v>
      </c>
      <c r="K997" s="2">
        <f t="shared" si="136"/>
        <v>900000</v>
      </c>
      <c r="L997" s="2">
        <f t="shared" si="137"/>
        <v>1200000</v>
      </c>
      <c r="M997" s="6">
        <f t="shared" si="138"/>
        <v>0.91857999999999995</v>
      </c>
      <c r="N997" t="str">
        <f t="shared" si="139"/>
        <v>0-100%</v>
      </c>
      <c r="O997" s="7">
        <f>MIN(I997,H997)*INDEX('2018_commission_structure'!$A$11:$I$14,MATCH(Calculations!$E997,'2018_commission_structure'!$A$11:$A$14,0),MATCH(Calculations!O$1,'2018_commission_structure'!$A$11:$I$11,0))</f>
        <v>71649.240000000005</v>
      </c>
      <c r="P997" s="7">
        <f>IF($H997&gt;I997,MIN($H997-I997,J997-I997)*INDEX('2018_commission_structure'!$A$11:$I$14,MATCH(Calculations!$E997,'2018_commission_structure'!$A$11:$A$14,0), MATCH(Calculations!P$1,'2018_commission_structure'!$A$11:$I$11,0)),0)</f>
        <v>0</v>
      </c>
      <c r="Q997" s="7">
        <f>IF($H997&gt;J997,MIN($H997-J997,K997-J997)*INDEX('2018_commission_structure'!$A$11:$I$14,MATCH(Calculations!$E997,'2018_commission_structure'!$A$11:$A$14,0), MATCH(Calculations!Q$1,'2018_commission_structure'!$A$11:$I$11,0)),0)</f>
        <v>0</v>
      </c>
      <c r="R997" s="7">
        <f>IF($H997&gt;K997,MIN($H997-K997,L997-K997)*INDEX('2018_commission_structure'!$A$11:$I$14,MATCH(Calculations!$E997,'2018_commission_structure'!$A$11:$A$14,0), MATCH(Calculations!R$1,'2018_commission_structure'!$A$11:$I$11,0)),0)</f>
        <v>0</v>
      </c>
      <c r="S997" s="7">
        <f>IF(H997&gt;L997,(H997-L997)*INDEX('2018_commission_structure'!$A$11:$I$14,MATCH(Calculations!$E997,'2018_commission_structure'!$A$11:$A$14,0),MATCH(Calculations!S$1,'2018_commission_structure'!$A$11:$I$11,0)),0)</f>
        <v>0</v>
      </c>
      <c r="T997" s="7">
        <f t="shared" si="140"/>
        <v>71649.240000000005</v>
      </c>
      <c r="U997" s="7">
        <f t="shared" si="141"/>
        <v>137891.24</v>
      </c>
      <c r="V997" s="7">
        <f>MIN(H997,I997)*INDEX('2018_commission_structure'!$A$5:$J$8,MATCH(Calculations!$E997,'2018_commission_structure'!$A$5:$A$8,0),MATCH(Calculations!V$1,'2018_commission_structure'!$A$5:$J$5,0))</f>
        <v>82672.2</v>
      </c>
      <c r="W997" s="2">
        <f>IF($H997&gt;I997,MIN($H997-I997,J997-I997)*INDEX('2018_commission_structure'!$A$5:$J$8,MATCH(Calculations!$E997,'2018_commission_structure'!$A$5:$A$8,0),MATCH(Calculations!W$1,'2018_commission_structure'!$A$5:$J$5,0)),0)</f>
        <v>0</v>
      </c>
      <c r="X997" s="2">
        <f>IF($H997&gt;J997,MIN($H997-J997,K997-J997)*INDEX('2018_commission_structure'!$A$5:$J$8,MATCH(Calculations!$E997,'2018_commission_structure'!$A$5:$A$8,0),MATCH(Calculations!X$1,'2018_commission_structure'!$A$5:$J$5,0)),0)</f>
        <v>0</v>
      </c>
      <c r="Y997" s="2">
        <f>IF($H997&gt;K997,MIN($H997-K997,L997-K997)*INDEX('2018_commission_structure'!$A$5:$J$8,MATCH(Calculations!$E997,'2018_commission_structure'!$A$5:$A$8,0),MATCH(Calculations!Y$1,'2018_commission_structure'!$A$5:$J$5,0)),0)</f>
        <v>0</v>
      </c>
      <c r="Z997" s="2">
        <f xml:space="preserve"> IF(H997&gt;L997,(H997-L997)*INDEX('2018_commission_structure'!$A$11:$I$14,MATCH(Calculations!$E997,'2018_commission_structure'!$A$11:$A$14,0),MATCH(Calculations!Z$1,'2018_commission_structure'!$A$11:$I$11,0)),0)</f>
        <v>0</v>
      </c>
      <c r="AA997" s="7">
        <f t="shared" si="142"/>
        <v>82672.2</v>
      </c>
      <c r="AB997" s="7">
        <f t="shared" si="143"/>
        <v>148914.20000000001</v>
      </c>
    </row>
    <row r="998" spans="1:28" x14ac:dyDescent="0.25">
      <c r="A998">
        <v>2294342399</v>
      </c>
      <c r="B998" t="s">
        <v>78</v>
      </c>
      <c r="C998" t="s">
        <v>79</v>
      </c>
      <c r="D998" t="str">
        <f>B998&amp;" "&amp;C998</f>
        <v>Chancey Yarrell</v>
      </c>
      <c r="E998" t="s">
        <v>29</v>
      </c>
      <c r="F998">
        <v>74676</v>
      </c>
      <c r="G998">
        <f>COUNTIF(deals_closed!D:D,Calculations!A998)</f>
        <v>16</v>
      </c>
      <c r="H998" s="2">
        <f>SUMIF(deals_closed!D:D,Calculations!A998,deals_closed!C:C)</f>
        <v>470117</v>
      </c>
      <c r="I998" s="2">
        <f>VLOOKUP(E998,'2018_commission_structure'!$A$11:$I$14,9,FALSE)</f>
        <v>600000</v>
      </c>
      <c r="J998" s="2">
        <f t="shared" si="135"/>
        <v>750000</v>
      </c>
      <c r="K998" s="2">
        <f t="shared" si="136"/>
        <v>900000</v>
      </c>
      <c r="L998" s="2">
        <f t="shared" si="137"/>
        <v>1200000</v>
      </c>
      <c r="M998" s="6">
        <f t="shared" si="138"/>
        <v>0.78352833333333338</v>
      </c>
      <c r="N998" t="str">
        <f t="shared" si="139"/>
        <v>0-100%</v>
      </c>
      <c r="O998" s="7">
        <f>MIN(I998,H998)*INDEX('2018_commission_structure'!$A$11:$I$14,MATCH(Calculations!$E998,'2018_commission_structure'!$A$11:$A$14,0),MATCH(Calculations!O$1,'2018_commission_structure'!$A$11:$I$11,0))</f>
        <v>61115.21</v>
      </c>
      <c r="P998" s="7">
        <f>IF($H998&gt;I998,MIN($H998-I998,J998-I998)*INDEX('2018_commission_structure'!$A$11:$I$14,MATCH(Calculations!$E998,'2018_commission_structure'!$A$11:$A$14,0), MATCH(Calculations!P$1,'2018_commission_structure'!$A$11:$I$11,0)),0)</f>
        <v>0</v>
      </c>
      <c r="Q998" s="7">
        <f>IF($H998&gt;J998,MIN($H998-J998,K998-J998)*INDEX('2018_commission_structure'!$A$11:$I$14,MATCH(Calculations!$E998,'2018_commission_structure'!$A$11:$A$14,0), MATCH(Calculations!Q$1,'2018_commission_structure'!$A$11:$I$11,0)),0)</f>
        <v>0</v>
      </c>
      <c r="R998" s="7">
        <f>IF($H998&gt;K998,MIN($H998-K998,L998-K998)*INDEX('2018_commission_structure'!$A$11:$I$14,MATCH(Calculations!$E998,'2018_commission_structure'!$A$11:$A$14,0), MATCH(Calculations!R$1,'2018_commission_structure'!$A$11:$I$11,0)),0)</f>
        <v>0</v>
      </c>
      <c r="S998" s="7">
        <f>IF(H998&gt;L998,(H998-L998)*INDEX('2018_commission_structure'!$A$11:$I$14,MATCH(Calculations!$E998,'2018_commission_structure'!$A$11:$A$14,0),MATCH(Calculations!S$1,'2018_commission_structure'!$A$11:$I$11,0)),0)</f>
        <v>0</v>
      </c>
      <c r="T998" s="7">
        <f t="shared" si="140"/>
        <v>61115.21</v>
      </c>
      <c r="U998" s="7">
        <f t="shared" si="141"/>
        <v>135791.21</v>
      </c>
      <c r="V998" s="7">
        <f>MIN(H998,I998)*INDEX('2018_commission_structure'!$A$5:$J$8,MATCH(Calculations!$E998,'2018_commission_structure'!$A$5:$A$8,0),MATCH(Calculations!V$1,'2018_commission_structure'!$A$5:$J$5,0))</f>
        <v>70517.55</v>
      </c>
      <c r="W998" s="2">
        <f>IF($H998&gt;I998,MIN($H998-I998,J998-I998)*INDEX('2018_commission_structure'!$A$5:$J$8,MATCH(Calculations!$E998,'2018_commission_structure'!$A$5:$A$8,0),MATCH(Calculations!W$1,'2018_commission_structure'!$A$5:$J$5,0)),0)</f>
        <v>0</v>
      </c>
      <c r="X998" s="2">
        <f>IF($H998&gt;J998,MIN($H998-J998,K998-J998)*INDEX('2018_commission_structure'!$A$5:$J$8,MATCH(Calculations!$E998,'2018_commission_structure'!$A$5:$A$8,0),MATCH(Calculations!X$1,'2018_commission_structure'!$A$5:$J$5,0)),0)</f>
        <v>0</v>
      </c>
      <c r="Y998" s="2">
        <f>IF($H998&gt;K998,MIN($H998-K998,L998-K998)*INDEX('2018_commission_structure'!$A$5:$J$8,MATCH(Calculations!$E998,'2018_commission_structure'!$A$5:$A$8,0),MATCH(Calculations!Y$1,'2018_commission_structure'!$A$5:$J$5,0)),0)</f>
        <v>0</v>
      </c>
      <c r="Z998" s="2">
        <f xml:space="preserve"> IF(H998&gt;L998,(H998-L998)*INDEX('2018_commission_structure'!$A$11:$I$14,MATCH(Calculations!$E998,'2018_commission_structure'!$A$11:$A$14,0),MATCH(Calculations!Z$1,'2018_commission_structure'!$A$11:$I$11,0)),0)</f>
        <v>0</v>
      </c>
      <c r="AA998" s="7">
        <f t="shared" si="142"/>
        <v>70517.55</v>
      </c>
      <c r="AB998" s="7">
        <f t="shared" si="143"/>
        <v>145193.54999999999</v>
      </c>
    </row>
    <row r="999" spans="1:28" x14ac:dyDescent="0.25">
      <c r="A999">
        <v>8034345962</v>
      </c>
      <c r="B999" t="s">
        <v>1622</v>
      </c>
      <c r="C999" t="s">
        <v>1623</v>
      </c>
      <c r="D999" t="str">
        <f>B999&amp;" "&amp;C999</f>
        <v>Marillin Yerrall</v>
      </c>
      <c r="E999" t="s">
        <v>10</v>
      </c>
      <c r="F999">
        <v>121088</v>
      </c>
      <c r="G999">
        <f>COUNTIF(deals_closed!D:D,Calculations!A999)</f>
        <v>23</v>
      </c>
      <c r="H999" s="2">
        <f>SUMIF(deals_closed!D:D,Calculations!A999,deals_closed!C:C)</f>
        <v>696032</v>
      </c>
      <c r="I999" s="2">
        <f>VLOOKUP(E999,'2018_commission_structure'!$A$11:$I$14,9,FALSE)</f>
        <v>750000</v>
      </c>
      <c r="J999" s="2">
        <f t="shared" si="135"/>
        <v>937500</v>
      </c>
      <c r="K999" s="2">
        <f t="shared" si="136"/>
        <v>1125000</v>
      </c>
      <c r="L999" s="2">
        <f t="shared" si="137"/>
        <v>1500000</v>
      </c>
      <c r="M999" s="6">
        <f t="shared" si="138"/>
        <v>0.92804266666666668</v>
      </c>
      <c r="N999" t="str">
        <f t="shared" si="139"/>
        <v>0-100%</v>
      </c>
      <c r="O999" s="7">
        <f>MIN(I999,H999)*INDEX('2018_commission_structure'!$A$11:$I$14,MATCH(Calculations!$E999,'2018_commission_structure'!$A$11:$A$14,0),MATCH(Calculations!O$1,'2018_commission_structure'!$A$11:$I$11,0))</f>
        <v>104404.8</v>
      </c>
      <c r="P999" s="7">
        <f>IF($H999&gt;I999,MIN($H999-I999,J999-I999)*INDEX('2018_commission_structure'!$A$11:$I$14,MATCH(Calculations!$E999,'2018_commission_structure'!$A$11:$A$14,0), MATCH(Calculations!P$1,'2018_commission_structure'!$A$11:$I$11,0)),0)</f>
        <v>0</v>
      </c>
      <c r="Q999" s="7">
        <f>IF($H999&gt;J999,MIN($H999-J999,K999-J999)*INDEX('2018_commission_structure'!$A$11:$I$14,MATCH(Calculations!$E999,'2018_commission_structure'!$A$11:$A$14,0), MATCH(Calculations!Q$1,'2018_commission_structure'!$A$11:$I$11,0)),0)</f>
        <v>0</v>
      </c>
      <c r="R999" s="7">
        <f>IF($H999&gt;K999,MIN($H999-K999,L999-K999)*INDEX('2018_commission_structure'!$A$11:$I$14,MATCH(Calculations!$E999,'2018_commission_structure'!$A$11:$A$14,0), MATCH(Calculations!R$1,'2018_commission_structure'!$A$11:$I$11,0)),0)</f>
        <v>0</v>
      </c>
      <c r="S999" s="7">
        <f>IF(H999&gt;L999,(H999-L999)*INDEX('2018_commission_structure'!$A$11:$I$14,MATCH(Calculations!$E999,'2018_commission_structure'!$A$11:$A$14,0),MATCH(Calculations!S$1,'2018_commission_structure'!$A$11:$I$11,0)),0)</f>
        <v>0</v>
      </c>
      <c r="T999" s="7">
        <f t="shared" si="140"/>
        <v>104404.8</v>
      </c>
      <c r="U999" s="7">
        <f t="shared" si="141"/>
        <v>225492.8</v>
      </c>
      <c r="V999" s="7">
        <f>MIN(H999,I999)*INDEX('2018_commission_structure'!$A$5:$J$8,MATCH(Calculations!$E999,'2018_commission_structure'!$A$5:$A$8,0),MATCH(Calculations!V$1,'2018_commission_structure'!$A$5:$J$5,0))</f>
        <v>104404.8</v>
      </c>
      <c r="W999" s="2">
        <f>IF($H999&gt;I999,MIN($H999-I999,J999-I999)*INDEX('2018_commission_structure'!$A$5:$J$8,MATCH(Calculations!$E999,'2018_commission_structure'!$A$5:$A$8,0),MATCH(Calculations!W$1,'2018_commission_structure'!$A$5:$J$5,0)),0)</f>
        <v>0</v>
      </c>
      <c r="X999" s="2">
        <f>IF($H999&gt;J999,MIN($H999-J999,K999-J999)*INDEX('2018_commission_structure'!$A$5:$J$8,MATCH(Calculations!$E999,'2018_commission_structure'!$A$5:$A$8,0),MATCH(Calculations!X$1,'2018_commission_structure'!$A$5:$J$5,0)),0)</f>
        <v>0</v>
      </c>
      <c r="Y999" s="2">
        <f>IF($H999&gt;K999,MIN($H999-K999,L999-K999)*INDEX('2018_commission_structure'!$A$5:$J$8,MATCH(Calculations!$E999,'2018_commission_structure'!$A$5:$A$8,0),MATCH(Calculations!Y$1,'2018_commission_structure'!$A$5:$J$5,0)),0)</f>
        <v>0</v>
      </c>
      <c r="Z999" s="2">
        <f xml:space="preserve"> IF(H999&gt;L999,(H999-L999)*INDEX('2018_commission_structure'!$A$11:$I$14,MATCH(Calculations!$E999,'2018_commission_structure'!$A$11:$A$14,0),MATCH(Calculations!Z$1,'2018_commission_structure'!$A$11:$I$11,0)),0)</f>
        <v>0</v>
      </c>
      <c r="AA999" s="7">
        <f t="shared" si="142"/>
        <v>104404.8</v>
      </c>
      <c r="AB999" s="7">
        <f t="shared" si="143"/>
        <v>225492.8</v>
      </c>
    </row>
    <row r="1000" spans="1:28" x14ac:dyDescent="0.25">
      <c r="A1000">
        <v>7966083349</v>
      </c>
      <c r="B1000" t="s">
        <v>1043</v>
      </c>
      <c r="C1000" t="s">
        <v>1044</v>
      </c>
      <c r="D1000" t="str">
        <f>B1000&amp;" "&amp;C1000</f>
        <v>Rosella Zamora</v>
      </c>
      <c r="E1000" t="s">
        <v>7</v>
      </c>
      <c r="F1000">
        <v>36923</v>
      </c>
      <c r="G1000">
        <f>COUNTIF(deals_closed!D:D,Calculations!A1000)</f>
        <v>25</v>
      </c>
      <c r="H1000" s="2">
        <f>SUMIF(deals_closed!D:D,Calculations!A1000,deals_closed!C:C)</f>
        <v>838575</v>
      </c>
      <c r="I1000" s="2">
        <f>VLOOKUP(E1000,'2018_commission_structure'!$A$11:$I$14,9,FALSE)</f>
        <v>500000</v>
      </c>
      <c r="J1000" s="2">
        <f t="shared" si="135"/>
        <v>625000</v>
      </c>
      <c r="K1000" s="2">
        <f t="shared" si="136"/>
        <v>750000</v>
      </c>
      <c r="L1000" s="2">
        <f t="shared" si="137"/>
        <v>1000000</v>
      </c>
      <c r="M1000" s="6">
        <f t="shared" si="138"/>
        <v>1.6771499999999999</v>
      </c>
      <c r="N1000" t="str">
        <f t="shared" si="139"/>
        <v>150-200%</v>
      </c>
      <c r="O1000" s="7">
        <f>MIN(I1000,H1000)*INDEX('2018_commission_structure'!$A$11:$I$14,MATCH(Calculations!$E1000,'2018_commission_structure'!$A$11:$A$14,0),MATCH(Calculations!O$1,'2018_commission_structure'!$A$11:$I$11,0))</f>
        <v>50000</v>
      </c>
      <c r="P1000" s="7">
        <f>IF($H1000&gt;I1000,MIN($H1000-I1000,J1000-I1000)*INDEX('2018_commission_structure'!$A$11:$I$14,MATCH(Calculations!$E1000,'2018_commission_structure'!$A$11:$A$14,0), MATCH(Calculations!P$1,'2018_commission_structure'!$A$11:$I$11,0)),0)</f>
        <v>18750</v>
      </c>
      <c r="Q1000" s="7">
        <f>IF($H1000&gt;J1000,MIN($H1000-J1000,K1000-J1000)*INDEX('2018_commission_structure'!$A$11:$I$14,MATCH(Calculations!$E1000,'2018_commission_structure'!$A$11:$A$14,0), MATCH(Calculations!Q$1,'2018_commission_structure'!$A$11:$I$11,0)),0)</f>
        <v>22500</v>
      </c>
      <c r="R1000" s="7">
        <f>IF($H1000&gt;K1000,MIN($H1000-K1000,L1000-K1000)*INDEX('2018_commission_structure'!$A$11:$I$14,MATCH(Calculations!$E1000,'2018_commission_structure'!$A$11:$A$14,0), MATCH(Calculations!R$1,'2018_commission_structure'!$A$11:$I$11,0)),0)</f>
        <v>19486.5</v>
      </c>
      <c r="S1000" s="7">
        <f>IF(H1000&gt;L1000,(H1000-L1000)*INDEX('2018_commission_structure'!$A$11:$I$14,MATCH(Calculations!$E1000,'2018_commission_structure'!$A$11:$A$14,0),MATCH(Calculations!S$1,'2018_commission_structure'!$A$11:$I$11,0)),0)</f>
        <v>0</v>
      </c>
      <c r="T1000" s="7">
        <f t="shared" si="140"/>
        <v>110736.5</v>
      </c>
      <c r="U1000" s="7">
        <f t="shared" si="141"/>
        <v>147659.5</v>
      </c>
      <c r="V1000" s="7">
        <f>MIN(H1000,I1000)*INDEX('2018_commission_structure'!$A$5:$J$8,MATCH(Calculations!$E1000,'2018_commission_structure'!$A$5:$A$8,0),MATCH(Calculations!V$1,'2018_commission_structure'!$A$5:$J$5,0))</f>
        <v>60000</v>
      </c>
      <c r="W1000" s="2">
        <f>IF($H1000&gt;I1000,MIN($H1000-I1000,J1000-I1000)*INDEX('2018_commission_structure'!$A$5:$J$8,MATCH(Calculations!$E1000,'2018_commission_structure'!$A$5:$A$8,0),MATCH(Calculations!W$1,'2018_commission_structure'!$A$5:$J$5,0)),0)</f>
        <v>21250</v>
      </c>
      <c r="X1000" s="2">
        <f>IF($H1000&gt;J1000,MIN($H1000-J1000,K1000-J1000)*INDEX('2018_commission_structure'!$A$5:$J$8,MATCH(Calculations!$E1000,'2018_commission_structure'!$A$5:$A$8,0),MATCH(Calculations!X$1,'2018_commission_structure'!$A$5:$J$5,0)),0)</f>
        <v>25000</v>
      </c>
      <c r="Y1000" s="2">
        <f>IF($H1000&gt;K1000,MIN($H1000-K1000,L1000-K1000)*INDEX('2018_commission_structure'!$A$5:$J$8,MATCH(Calculations!$E1000,'2018_commission_structure'!$A$5:$A$8,0),MATCH(Calculations!Y$1,'2018_commission_structure'!$A$5:$J$5,0)),0)</f>
        <v>19486.5</v>
      </c>
      <c r="Z1000" s="2">
        <f xml:space="preserve"> IF(H1000&gt;L1000,(H1000-L1000)*INDEX('2018_commission_structure'!$A$11:$I$14,MATCH(Calculations!$E1000,'2018_commission_structure'!$A$11:$A$14,0),MATCH(Calculations!Z$1,'2018_commission_structure'!$A$11:$I$11,0)),0)</f>
        <v>0</v>
      </c>
      <c r="AA1000" s="7">
        <f t="shared" si="142"/>
        <v>125736.5</v>
      </c>
      <c r="AB1000" s="7">
        <f t="shared" si="143"/>
        <v>162659.5</v>
      </c>
    </row>
    <row r="1001" spans="1:28" x14ac:dyDescent="0.25">
      <c r="A1001">
        <v>4783377790</v>
      </c>
      <c r="B1001" t="s">
        <v>23</v>
      </c>
      <c r="C1001" t="s">
        <v>24</v>
      </c>
      <c r="D1001" t="str">
        <f>B1001&amp;" "&amp;C1001</f>
        <v>Andria Zimmermanns</v>
      </c>
      <c r="E1001" t="s">
        <v>10</v>
      </c>
      <c r="F1001">
        <v>110817</v>
      </c>
      <c r="G1001">
        <f>COUNTIF(deals_closed!D:D,Calculations!A1001)</f>
        <v>19</v>
      </c>
      <c r="H1001" s="2">
        <f>SUMIF(deals_closed!D:D,Calculations!A1001,deals_closed!C:C)</f>
        <v>713679</v>
      </c>
      <c r="I1001" s="2">
        <f>VLOOKUP(E1001,'2018_commission_structure'!$A$11:$I$14,9,FALSE)</f>
        <v>750000</v>
      </c>
      <c r="J1001" s="2">
        <f t="shared" si="135"/>
        <v>937500</v>
      </c>
      <c r="K1001" s="2">
        <f t="shared" si="136"/>
        <v>1125000</v>
      </c>
      <c r="L1001" s="2">
        <f t="shared" si="137"/>
        <v>1500000</v>
      </c>
      <c r="M1001" s="6">
        <f t="shared" si="138"/>
        <v>0.95157199999999997</v>
      </c>
      <c r="N1001" t="str">
        <f t="shared" si="139"/>
        <v>0-100%</v>
      </c>
      <c r="O1001" s="7">
        <f>MIN(I1001,H1001)*INDEX('2018_commission_structure'!$A$11:$I$14,MATCH(Calculations!$E1001,'2018_commission_structure'!$A$11:$A$14,0),MATCH(Calculations!O$1,'2018_commission_structure'!$A$11:$I$11,0))</f>
        <v>107051.84999999999</v>
      </c>
      <c r="P1001" s="7">
        <f>IF($H1001&gt;I1001,MIN($H1001-I1001,J1001-I1001)*INDEX('2018_commission_structure'!$A$11:$I$14,MATCH(Calculations!$E1001,'2018_commission_structure'!$A$11:$A$14,0), MATCH(Calculations!P$1,'2018_commission_structure'!$A$11:$I$11,0)),0)</f>
        <v>0</v>
      </c>
      <c r="Q1001" s="7">
        <f>IF($H1001&gt;J1001,MIN($H1001-J1001,K1001-J1001)*INDEX('2018_commission_structure'!$A$11:$I$14,MATCH(Calculations!$E1001,'2018_commission_structure'!$A$11:$A$14,0), MATCH(Calculations!Q$1,'2018_commission_structure'!$A$11:$I$11,0)),0)</f>
        <v>0</v>
      </c>
      <c r="R1001" s="7">
        <f>IF($H1001&gt;K1001,MIN($H1001-K1001,L1001-K1001)*INDEX('2018_commission_structure'!$A$11:$I$14,MATCH(Calculations!$E1001,'2018_commission_structure'!$A$11:$A$14,0), MATCH(Calculations!R$1,'2018_commission_structure'!$A$11:$I$11,0)),0)</f>
        <v>0</v>
      </c>
      <c r="S1001" s="7">
        <f>IF(H1001&gt;L1001,(H1001-L1001)*INDEX('2018_commission_structure'!$A$11:$I$14,MATCH(Calculations!$E1001,'2018_commission_structure'!$A$11:$A$14,0),MATCH(Calculations!S$1,'2018_commission_structure'!$A$11:$I$11,0)),0)</f>
        <v>0</v>
      </c>
      <c r="T1001" s="7">
        <f t="shared" si="140"/>
        <v>107051.84999999999</v>
      </c>
      <c r="U1001" s="7">
        <f t="shared" si="141"/>
        <v>217868.84999999998</v>
      </c>
      <c r="V1001" s="7">
        <f>MIN(H1001,I1001)*INDEX('2018_commission_structure'!$A$5:$J$8,MATCH(Calculations!$E1001,'2018_commission_structure'!$A$5:$A$8,0),MATCH(Calculations!V$1,'2018_commission_structure'!$A$5:$J$5,0))</f>
        <v>107051.84999999999</v>
      </c>
      <c r="W1001" s="2">
        <f>IF($H1001&gt;I1001,MIN($H1001-I1001,J1001-I1001)*INDEX('2018_commission_structure'!$A$5:$J$8,MATCH(Calculations!$E1001,'2018_commission_structure'!$A$5:$A$8,0),MATCH(Calculations!W$1,'2018_commission_structure'!$A$5:$J$5,0)),0)</f>
        <v>0</v>
      </c>
      <c r="X1001" s="2">
        <f>IF($H1001&gt;J1001,MIN($H1001-J1001,K1001-J1001)*INDEX('2018_commission_structure'!$A$5:$J$8,MATCH(Calculations!$E1001,'2018_commission_structure'!$A$5:$A$8,0),MATCH(Calculations!X$1,'2018_commission_structure'!$A$5:$J$5,0)),0)</f>
        <v>0</v>
      </c>
      <c r="Y1001" s="2">
        <f>IF($H1001&gt;K1001,MIN($H1001-K1001,L1001-K1001)*INDEX('2018_commission_structure'!$A$5:$J$8,MATCH(Calculations!$E1001,'2018_commission_structure'!$A$5:$A$8,0),MATCH(Calculations!Y$1,'2018_commission_structure'!$A$5:$J$5,0)),0)</f>
        <v>0</v>
      </c>
      <c r="Z1001" s="2">
        <f xml:space="preserve"> IF(H1001&gt;L1001,(H1001-L1001)*INDEX('2018_commission_structure'!$A$11:$I$14,MATCH(Calculations!$E1001,'2018_commission_structure'!$A$11:$A$14,0),MATCH(Calculations!Z$1,'2018_commission_structure'!$A$11:$I$11,0)),0)</f>
        <v>0</v>
      </c>
      <c r="AA1001" s="7">
        <f t="shared" si="142"/>
        <v>107051.84999999999</v>
      </c>
      <c r="AB1001" s="7">
        <f t="shared" si="143"/>
        <v>217868.84999999998</v>
      </c>
    </row>
  </sheetData>
  <sheetProtection sheet="1" objects="1" scenarios="1"/>
  <sortState xmlns:xlrd2="http://schemas.microsoft.com/office/spreadsheetml/2017/richdata2" ref="A2:AB1001">
    <sortCondition ref="C2:C10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1C4D-F5B3-4FD4-B6CE-7595764572BF}">
  <dimension ref="A1:F1003"/>
  <sheetViews>
    <sheetView zoomScaleNormal="100" workbookViewId="0">
      <selection activeCell="E27" sqref="E27"/>
    </sheetView>
  </sheetViews>
  <sheetFormatPr defaultRowHeight="15" x14ac:dyDescent="0.25"/>
  <cols>
    <col min="1" max="1" width="24" bestFit="1" customWidth="1"/>
    <col min="2" max="2" width="18.42578125" bestFit="1" customWidth="1"/>
    <col min="3" max="3" width="19" bestFit="1" customWidth="1"/>
    <col min="4" max="4" width="19.5703125" bestFit="1" customWidth="1"/>
    <col min="5" max="5" width="11.28515625" bestFit="1" customWidth="1"/>
    <col min="6" max="6" width="8.85546875" bestFit="1" customWidth="1"/>
    <col min="7" max="7" width="18.42578125" bestFit="1" customWidth="1"/>
    <col min="13" max="965" width="10" bestFit="1" customWidth="1"/>
    <col min="966" max="1008" width="11.5703125" bestFit="1" customWidth="1"/>
    <col min="1009" max="1009" width="12.7109375" bestFit="1" customWidth="1"/>
    <col min="1010" max="1010" width="14" bestFit="1" customWidth="1"/>
    <col min="1011" max="1011" width="20" bestFit="1" customWidth="1"/>
    <col min="1012" max="1012" width="23.140625" bestFit="1" customWidth="1"/>
    <col min="1013" max="1013" width="19.5703125" bestFit="1" customWidth="1"/>
    <col min="1014" max="1014" width="18.28515625" bestFit="1" customWidth="1"/>
    <col min="1015" max="1015" width="18.42578125" bestFit="1" customWidth="1"/>
    <col min="1016" max="1016" width="18.85546875" bestFit="1" customWidth="1"/>
    <col min="1017" max="1017" width="18.42578125" bestFit="1" customWidth="1"/>
    <col min="1018" max="1018" width="19.28515625" bestFit="1" customWidth="1"/>
    <col min="1019" max="1019" width="19" bestFit="1" customWidth="1"/>
    <col min="1020" max="1020" width="15.85546875" bestFit="1" customWidth="1"/>
    <col min="1021" max="1021" width="20.140625" bestFit="1" customWidth="1"/>
    <col min="1022" max="1022" width="23.28515625" bestFit="1" customWidth="1"/>
    <col min="1023" max="1023" width="19" bestFit="1" customWidth="1"/>
    <col min="1024" max="1024" width="15.5703125" bestFit="1" customWidth="1"/>
    <col min="1025" max="1025" width="19" bestFit="1" customWidth="1"/>
    <col min="1026" max="1026" width="16.7109375" bestFit="1" customWidth="1"/>
    <col min="1027" max="1027" width="19.5703125" bestFit="1" customWidth="1"/>
    <col min="1028" max="1028" width="15.85546875" bestFit="1" customWidth="1"/>
    <col min="1029" max="1029" width="19.5703125" bestFit="1" customWidth="1"/>
    <col min="1030" max="1030" width="15.7109375" bestFit="1" customWidth="1"/>
    <col min="1031" max="1031" width="19" bestFit="1" customWidth="1"/>
    <col min="1032" max="1032" width="22" bestFit="1" customWidth="1"/>
    <col min="1033" max="1033" width="19" bestFit="1" customWidth="1"/>
    <col min="1034" max="1034" width="18.5703125" bestFit="1" customWidth="1"/>
    <col min="1035" max="1035" width="19" bestFit="1" customWidth="1"/>
    <col min="1036" max="1036" width="18" bestFit="1" customWidth="1"/>
    <col min="1037" max="1037" width="19" bestFit="1" customWidth="1"/>
    <col min="1038" max="1038" width="17.5703125" bestFit="1" customWidth="1"/>
    <col min="1039" max="1039" width="18.42578125" bestFit="1" customWidth="1"/>
    <col min="1040" max="1040" width="21.42578125" bestFit="1" customWidth="1"/>
    <col min="1041" max="1041" width="19.5703125" bestFit="1" customWidth="1"/>
    <col min="1042" max="1042" width="19.42578125" bestFit="1" customWidth="1"/>
    <col min="1043" max="1043" width="18.42578125" bestFit="1" customWidth="1"/>
    <col min="1044" max="1044" width="19.140625" bestFit="1" customWidth="1"/>
    <col min="1045" max="1045" width="19.5703125" bestFit="1" customWidth="1"/>
    <col min="1046" max="1046" width="22.140625" bestFit="1" customWidth="1"/>
    <col min="1047" max="1047" width="18.42578125" bestFit="1" customWidth="1"/>
    <col min="1048" max="1048" width="19" bestFit="1" customWidth="1"/>
    <col min="1049" max="1049" width="19.5703125" bestFit="1" customWidth="1"/>
    <col min="1050" max="1050" width="18" bestFit="1" customWidth="1"/>
    <col min="1051" max="1051" width="19.5703125" bestFit="1" customWidth="1"/>
    <col min="1052" max="1052" width="15.7109375" bestFit="1" customWidth="1"/>
    <col min="1053" max="1053" width="18.42578125" bestFit="1" customWidth="1"/>
    <col min="1054" max="1054" width="21.42578125" bestFit="1" customWidth="1"/>
    <col min="1055" max="1055" width="18.7109375" bestFit="1" customWidth="1"/>
    <col min="1056" max="1056" width="22" bestFit="1" customWidth="1"/>
    <col min="1057" max="1057" width="19.85546875" bestFit="1" customWidth="1"/>
    <col min="1058" max="1058" width="23" bestFit="1" customWidth="1"/>
    <col min="1059" max="1059" width="19.140625" bestFit="1" customWidth="1"/>
    <col min="1060" max="1060" width="22.28515625" bestFit="1" customWidth="1"/>
    <col min="1061" max="1061" width="18.42578125" bestFit="1" customWidth="1"/>
    <col min="1062" max="1062" width="16.42578125" bestFit="1" customWidth="1"/>
    <col min="1063" max="1063" width="21.140625" bestFit="1" customWidth="1"/>
    <col min="1064" max="1064" width="24.28515625" bestFit="1" customWidth="1"/>
    <col min="1065" max="1065" width="18.42578125" bestFit="1" customWidth="1"/>
    <col min="1066" max="1066" width="20.5703125" bestFit="1" customWidth="1"/>
    <col min="1067" max="1067" width="18.42578125" bestFit="1" customWidth="1"/>
    <col min="1068" max="1068" width="18.5703125" bestFit="1" customWidth="1"/>
    <col min="1069" max="1069" width="19.5703125" bestFit="1" customWidth="1"/>
    <col min="1070" max="1070" width="16.28515625" bestFit="1" customWidth="1"/>
    <col min="1071" max="1071" width="19.5703125" bestFit="1" customWidth="1"/>
    <col min="1072" max="1072" width="18.85546875" bestFit="1" customWidth="1"/>
    <col min="1073" max="1073" width="19.5703125" bestFit="1" customWidth="1"/>
    <col min="1074" max="1074" width="19.85546875" bestFit="1" customWidth="1"/>
    <col min="1075" max="1075" width="19.5703125" bestFit="1" customWidth="1"/>
    <col min="1076" max="1076" width="22" bestFit="1" customWidth="1"/>
    <col min="1077" max="1077" width="18.42578125" bestFit="1" customWidth="1"/>
    <col min="1078" max="1078" width="17.85546875" bestFit="1" customWidth="1"/>
    <col min="1079" max="1079" width="20.85546875" bestFit="1" customWidth="1"/>
    <col min="1080" max="1080" width="24" bestFit="1" customWidth="1"/>
    <col min="1081" max="1081" width="19.5703125" bestFit="1" customWidth="1"/>
    <col min="1082" max="1082" width="18.28515625" bestFit="1" customWidth="1"/>
    <col min="1083" max="1083" width="19.5703125" bestFit="1" customWidth="1"/>
    <col min="1084" max="1084" width="18.42578125" bestFit="1" customWidth="1"/>
    <col min="1085" max="1085" width="19.5703125" bestFit="1" customWidth="1"/>
    <col min="1086" max="1086" width="15.42578125" bestFit="1" customWidth="1"/>
    <col min="1087" max="1087" width="19" bestFit="1" customWidth="1"/>
    <col min="1088" max="1088" width="19.5703125" bestFit="1" customWidth="1"/>
    <col min="1089" max="1089" width="19" bestFit="1" customWidth="1"/>
    <col min="1090" max="1090" width="18.28515625" bestFit="1" customWidth="1"/>
    <col min="1091" max="1091" width="18.42578125" bestFit="1" customWidth="1"/>
    <col min="1092" max="1092" width="15.5703125" bestFit="1" customWidth="1"/>
    <col min="1093" max="1093" width="19" bestFit="1" customWidth="1"/>
    <col min="1094" max="1094" width="16.140625" bestFit="1" customWidth="1"/>
    <col min="1095" max="1095" width="19" bestFit="1" customWidth="1"/>
    <col min="1096" max="1096" width="21.7109375" bestFit="1" customWidth="1"/>
    <col min="1097" max="1097" width="18.42578125" bestFit="1" customWidth="1"/>
    <col min="1098" max="1098" width="16.7109375" bestFit="1" customWidth="1"/>
    <col min="1099" max="1099" width="19.5703125" bestFit="1" customWidth="1"/>
    <col min="1100" max="1100" width="21.7109375" bestFit="1" customWidth="1"/>
    <col min="1101" max="1101" width="19.5703125" bestFit="1" customWidth="1"/>
    <col min="1102" max="1102" width="17.5703125" bestFit="1" customWidth="1"/>
    <col min="1103" max="1103" width="18.42578125" bestFit="1" customWidth="1"/>
    <col min="1104" max="1104" width="19.42578125" bestFit="1" customWidth="1"/>
    <col min="1105" max="1105" width="18.42578125" bestFit="1" customWidth="1"/>
    <col min="1106" max="1106" width="17" bestFit="1" customWidth="1"/>
    <col min="1107" max="1107" width="19.5703125" bestFit="1" customWidth="1"/>
    <col min="1108" max="1108" width="15.5703125" bestFit="1" customWidth="1"/>
    <col min="1109" max="1109" width="18.42578125" bestFit="1" customWidth="1"/>
    <col min="1110" max="1110" width="19.140625" bestFit="1" customWidth="1"/>
    <col min="1111" max="1111" width="19" bestFit="1" customWidth="1"/>
    <col min="1112" max="1112" width="21.85546875" bestFit="1" customWidth="1"/>
    <col min="1113" max="1113" width="20.140625" bestFit="1" customWidth="1"/>
    <col min="1114" max="1114" width="23.28515625" bestFit="1" customWidth="1"/>
    <col min="1115" max="1115" width="19.5703125" bestFit="1" customWidth="1"/>
    <col min="1116" max="1116" width="22" bestFit="1" customWidth="1"/>
    <col min="1117" max="1117" width="18.42578125" bestFit="1" customWidth="1"/>
    <col min="1118" max="1118" width="21" bestFit="1" customWidth="1"/>
    <col min="1119" max="1119" width="19.7109375" bestFit="1" customWidth="1"/>
    <col min="1120" max="1120" width="22.85546875" bestFit="1" customWidth="1"/>
    <col min="1121" max="1121" width="18.42578125" bestFit="1" customWidth="1"/>
    <col min="1122" max="1122" width="20.85546875" bestFit="1" customWidth="1"/>
    <col min="1123" max="1123" width="21.7109375" bestFit="1" customWidth="1"/>
    <col min="1124" max="1124" width="24.85546875" bestFit="1" customWidth="1"/>
    <col min="1125" max="1125" width="19.5703125" bestFit="1" customWidth="1"/>
    <col min="1126" max="1126" width="18.85546875" bestFit="1" customWidth="1"/>
    <col min="1127" max="1127" width="19" bestFit="1" customWidth="1"/>
    <col min="1128" max="1128" width="17" bestFit="1" customWidth="1"/>
    <col min="1129" max="1129" width="18.42578125" bestFit="1" customWidth="1"/>
    <col min="1130" max="1130" width="16" bestFit="1" customWidth="1"/>
    <col min="1131" max="1131" width="19" bestFit="1" customWidth="1"/>
    <col min="1132" max="1133" width="19.5703125" bestFit="1" customWidth="1"/>
    <col min="1134" max="1134" width="21.7109375" bestFit="1" customWidth="1"/>
    <col min="1135" max="1135" width="20.85546875" bestFit="1" customWidth="1"/>
    <col min="1136" max="1136" width="24" bestFit="1" customWidth="1"/>
    <col min="1137" max="1137" width="18.42578125" bestFit="1" customWidth="1"/>
    <col min="1138" max="1138" width="16.85546875" bestFit="1" customWidth="1"/>
    <col min="1139" max="1139" width="19.140625" bestFit="1" customWidth="1"/>
    <col min="1140" max="1140" width="22.28515625" bestFit="1" customWidth="1"/>
    <col min="1141" max="1141" width="18.42578125" bestFit="1" customWidth="1"/>
    <col min="1142" max="1142" width="18" bestFit="1" customWidth="1"/>
    <col min="1143" max="1143" width="18.42578125" bestFit="1" customWidth="1"/>
    <col min="1144" max="1144" width="17.42578125" bestFit="1" customWidth="1"/>
    <col min="1145" max="1145" width="18.42578125" bestFit="1" customWidth="1"/>
    <col min="1146" max="1146" width="19.28515625" bestFit="1" customWidth="1"/>
    <col min="1147" max="1147" width="22.7109375" bestFit="1" customWidth="1"/>
    <col min="1148" max="1148" width="26" bestFit="1" customWidth="1"/>
    <col min="1149" max="1149" width="19" bestFit="1" customWidth="1"/>
    <col min="1150" max="1150" width="16.85546875" bestFit="1" customWidth="1"/>
    <col min="1151" max="1151" width="19" bestFit="1" customWidth="1"/>
    <col min="1152" max="1152" width="19.42578125" bestFit="1" customWidth="1"/>
    <col min="1153" max="1153" width="19" bestFit="1" customWidth="1"/>
    <col min="1154" max="1154" width="19.7109375" bestFit="1" customWidth="1"/>
    <col min="1155" max="1155" width="18.85546875" bestFit="1" customWidth="1"/>
    <col min="1156" max="1156" width="22.140625" bestFit="1" customWidth="1"/>
    <col min="1157" max="1157" width="19" bestFit="1" customWidth="1"/>
    <col min="1158" max="1158" width="20.28515625" bestFit="1" customWidth="1"/>
    <col min="1159" max="1159" width="19.5703125" bestFit="1" customWidth="1"/>
    <col min="1160" max="1160" width="15.140625" bestFit="1" customWidth="1"/>
    <col min="1161" max="1161" width="19" bestFit="1" customWidth="1"/>
    <col min="1162" max="1162" width="18.85546875" bestFit="1" customWidth="1"/>
    <col min="1163" max="1163" width="19" bestFit="1" customWidth="1"/>
    <col min="1164" max="1164" width="18" bestFit="1" customWidth="1"/>
    <col min="1165" max="1165" width="18.42578125" bestFit="1" customWidth="1"/>
    <col min="1166" max="1166" width="19.7109375" bestFit="1" customWidth="1"/>
    <col min="1167" max="1167" width="18.42578125" bestFit="1" customWidth="1"/>
    <col min="1168" max="1168" width="18.5703125" bestFit="1" customWidth="1"/>
    <col min="1169" max="1169" width="18.42578125" bestFit="1" customWidth="1"/>
    <col min="1170" max="1170" width="16.5703125" bestFit="1" customWidth="1"/>
    <col min="1171" max="1171" width="18.7109375" bestFit="1" customWidth="1"/>
    <col min="1172" max="1172" width="22" bestFit="1" customWidth="1"/>
    <col min="1173" max="1173" width="19" bestFit="1" customWidth="1"/>
    <col min="1174" max="1174" width="18.140625" bestFit="1" customWidth="1"/>
    <col min="1175" max="1175" width="18.42578125" bestFit="1" customWidth="1"/>
    <col min="1176" max="1176" width="19.140625" bestFit="1" customWidth="1"/>
    <col min="1177" max="1177" width="18.42578125" bestFit="1" customWidth="1"/>
    <col min="1178" max="1178" width="19.7109375" bestFit="1" customWidth="1"/>
    <col min="1179" max="1179" width="19.5703125" bestFit="1" customWidth="1"/>
    <col min="1180" max="1180" width="22.140625" bestFit="1" customWidth="1"/>
    <col min="1181" max="1181" width="18.42578125" bestFit="1" customWidth="1"/>
    <col min="1182" max="1182" width="14.7109375" bestFit="1" customWidth="1"/>
    <col min="1183" max="1183" width="18.42578125" bestFit="1" customWidth="1"/>
    <col min="1184" max="1184" width="14.140625" bestFit="1" customWidth="1"/>
    <col min="1185" max="1185" width="19.5703125" bestFit="1" customWidth="1"/>
    <col min="1186" max="1186" width="18.28515625" bestFit="1" customWidth="1"/>
    <col min="1187" max="1187" width="19" bestFit="1" customWidth="1"/>
    <col min="1188" max="1188" width="21.5703125" bestFit="1" customWidth="1"/>
    <col min="1189" max="1189" width="19.5703125" bestFit="1" customWidth="1"/>
    <col min="1190" max="1190" width="18.7109375" bestFit="1" customWidth="1"/>
    <col min="1191" max="1191" width="19" bestFit="1" customWidth="1"/>
    <col min="1192" max="1192" width="17.42578125" bestFit="1" customWidth="1"/>
    <col min="1193" max="1193" width="19" bestFit="1" customWidth="1"/>
    <col min="1194" max="1194" width="16.140625" bestFit="1" customWidth="1"/>
    <col min="1195" max="1195" width="19" bestFit="1" customWidth="1"/>
    <col min="1196" max="1196" width="19.140625" bestFit="1" customWidth="1"/>
    <col min="1197" max="1197" width="18.42578125" bestFit="1" customWidth="1"/>
    <col min="1198" max="1198" width="18.85546875" bestFit="1" customWidth="1"/>
    <col min="1199" max="1199" width="20.42578125" bestFit="1" customWidth="1"/>
    <col min="1200" max="1200" width="23.5703125" bestFit="1" customWidth="1"/>
    <col min="1201" max="1201" width="19.5703125" bestFit="1" customWidth="1"/>
    <col min="1202" max="1202" width="21.5703125" bestFit="1" customWidth="1"/>
    <col min="1203" max="1203" width="19.5703125" bestFit="1" customWidth="1"/>
    <col min="1204" max="1204" width="19.140625" bestFit="1" customWidth="1"/>
    <col min="1205" max="1205" width="19.5703125" bestFit="1" customWidth="1"/>
    <col min="1206" max="1206" width="17.85546875" bestFit="1" customWidth="1"/>
    <col min="1207" max="1207" width="18.42578125" bestFit="1" customWidth="1"/>
    <col min="1208" max="1208" width="19.85546875" bestFit="1" customWidth="1"/>
    <col min="1209" max="1209" width="19.5703125" bestFit="1" customWidth="1"/>
    <col min="1210" max="1210" width="16.140625" bestFit="1" customWidth="1"/>
    <col min="1211" max="1211" width="19" bestFit="1" customWidth="1"/>
    <col min="1212" max="1213" width="18.42578125" bestFit="1" customWidth="1"/>
    <col min="1214" max="1214" width="15.5703125" bestFit="1" customWidth="1"/>
    <col min="1215" max="1215" width="19.5703125" bestFit="1" customWidth="1"/>
    <col min="1216" max="1216" width="19.42578125" bestFit="1" customWidth="1"/>
    <col min="1217" max="1217" width="19" bestFit="1" customWidth="1"/>
    <col min="1218" max="1218" width="19.5703125" bestFit="1" customWidth="1"/>
    <col min="1219" max="1219" width="18.42578125" bestFit="1" customWidth="1"/>
    <col min="1220" max="1220" width="21.42578125" bestFit="1" customWidth="1"/>
    <col min="1221" max="1221" width="19.5703125" bestFit="1" customWidth="1"/>
    <col min="1222" max="1222" width="15.42578125" bestFit="1" customWidth="1"/>
    <col min="1223" max="1223" width="18.42578125" bestFit="1" customWidth="1"/>
    <col min="1224" max="1224" width="19.28515625" bestFit="1" customWidth="1"/>
    <col min="1225" max="1225" width="18.42578125" bestFit="1" customWidth="1"/>
    <col min="1226" max="1226" width="17.28515625" bestFit="1" customWidth="1"/>
    <col min="1227" max="1227" width="19" bestFit="1" customWidth="1"/>
    <col min="1228" max="1228" width="16.42578125" bestFit="1" customWidth="1"/>
    <col min="1229" max="1229" width="19" bestFit="1" customWidth="1"/>
    <col min="1230" max="1230" width="16.42578125" bestFit="1" customWidth="1"/>
    <col min="1231" max="1231" width="19" bestFit="1" customWidth="1"/>
    <col min="1232" max="1232" width="16.42578125" bestFit="1" customWidth="1"/>
    <col min="1233" max="1233" width="19" bestFit="1" customWidth="1"/>
    <col min="1234" max="1234" width="21.140625" bestFit="1" customWidth="1"/>
    <col min="1235" max="1235" width="19" bestFit="1" customWidth="1"/>
    <col min="1236" max="1236" width="18.28515625" bestFit="1" customWidth="1"/>
    <col min="1237" max="1237" width="19.5703125" bestFit="1" customWidth="1"/>
    <col min="1238" max="1238" width="16.7109375" bestFit="1" customWidth="1"/>
    <col min="1239" max="1239" width="21.28515625" bestFit="1" customWidth="1"/>
    <col min="1240" max="1240" width="24.42578125" bestFit="1" customWidth="1"/>
    <col min="1241" max="1241" width="18.42578125" bestFit="1" customWidth="1"/>
    <col min="1242" max="1242" width="19.7109375" bestFit="1" customWidth="1"/>
    <col min="1243" max="1243" width="19.5703125" bestFit="1" customWidth="1"/>
    <col min="1244" max="1244" width="20.7109375" bestFit="1" customWidth="1"/>
    <col min="1245" max="1245" width="19.42578125" bestFit="1" customWidth="1"/>
    <col min="1246" max="1246" width="22.5703125" bestFit="1" customWidth="1"/>
    <col min="1247" max="1247" width="19.5703125" bestFit="1" customWidth="1"/>
    <col min="1248" max="1248" width="21.7109375" bestFit="1" customWidth="1"/>
    <col min="1249" max="1249" width="19" bestFit="1" customWidth="1"/>
    <col min="1250" max="1250" width="16.42578125" bestFit="1" customWidth="1"/>
    <col min="1251" max="1251" width="19.5703125" bestFit="1" customWidth="1"/>
    <col min="1252" max="1252" width="19.28515625" bestFit="1" customWidth="1"/>
    <col min="1253" max="1253" width="18.42578125" bestFit="1" customWidth="1"/>
    <col min="1254" max="1254" width="16.7109375" bestFit="1" customWidth="1"/>
    <col min="1255" max="1255" width="18.42578125" bestFit="1" customWidth="1"/>
    <col min="1256" max="1256" width="18.140625" bestFit="1" customWidth="1"/>
    <col min="1257" max="1257" width="19.5703125" bestFit="1" customWidth="1"/>
    <col min="1258" max="1258" width="21.7109375" bestFit="1" customWidth="1"/>
    <col min="1259" max="1259" width="19.5703125" bestFit="1" customWidth="1"/>
    <col min="1260" max="1260" width="21.85546875" bestFit="1" customWidth="1"/>
    <col min="1261" max="1261" width="22.7109375" bestFit="1" customWidth="1"/>
    <col min="1262" max="1262" width="26" bestFit="1" customWidth="1"/>
    <col min="1263" max="1263" width="19.5703125" bestFit="1" customWidth="1"/>
    <col min="1264" max="1264" width="18.42578125" bestFit="1" customWidth="1"/>
    <col min="1265" max="1265" width="19.5703125" bestFit="1" customWidth="1"/>
    <col min="1266" max="1266" width="19.42578125" bestFit="1" customWidth="1"/>
    <col min="1267" max="1267" width="19.7109375" bestFit="1" customWidth="1"/>
    <col min="1268" max="1268" width="22.85546875" bestFit="1" customWidth="1"/>
    <col min="1269" max="1269" width="19" bestFit="1" customWidth="1"/>
    <col min="1270" max="1270" width="21.140625" bestFit="1" customWidth="1"/>
    <col min="1271" max="1271" width="18.42578125" bestFit="1" customWidth="1"/>
    <col min="1272" max="1272" width="20.5703125" bestFit="1" customWidth="1"/>
    <col min="1273" max="1273" width="19" bestFit="1" customWidth="1"/>
    <col min="1274" max="1274" width="19.5703125" bestFit="1" customWidth="1"/>
    <col min="1275" max="1275" width="19.85546875" bestFit="1" customWidth="1"/>
    <col min="1276" max="1276" width="23" bestFit="1" customWidth="1"/>
    <col min="1277" max="1277" width="19.5703125" bestFit="1" customWidth="1"/>
    <col min="1278" max="1278" width="19.85546875" bestFit="1" customWidth="1"/>
    <col min="1279" max="1279" width="19" bestFit="1" customWidth="1"/>
    <col min="1280" max="1280" width="18.5703125" bestFit="1" customWidth="1"/>
    <col min="1281" max="1281" width="18.42578125" bestFit="1" customWidth="1"/>
    <col min="1282" max="1282" width="19.28515625" bestFit="1" customWidth="1"/>
    <col min="1283" max="1283" width="19" bestFit="1" customWidth="1"/>
    <col min="1284" max="1284" width="18.85546875" bestFit="1" customWidth="1"/>
    <col min="1285" max="1285" width="19.5703125" bestFit="1" customWidth="1"/>
    <col min="1286" max="1286" width="16.7109375" bestFit="1" customWidth="1"/>
    <col min="1287" max="1287" width="22" bestFit="1" customWidth="1"/>
    <col min="1288" max="1288" width="25.140625" bestFit="1" customWidth="1"/>
    <col min="1289" max="1289" width="19" bestFit="1" customWidth="1"/>
    <col min="1290" max="1290" width="18" bestFit="1" customWidth="1"/>
    <col min="1291" max="1291" width="21.5703125" bestFit="1" customWidth="1"/>
    <col min="1292" max="1292" width="24.7109375" bestFit="1" customWidth="1"/>
    <col min="1293" max="1293" width="20.5703125" bestFit="1" customWidth="1"/>
    <col min="1294" max="1294" width="23.7109375" bestFit="1" customWidth="1"/>
    <col min="1295" max="1295" width="19" bestFit="1" customWidth="1"/>
    <col min="1296" max="1296" width="18" bestFit="1" customWidth="1"/>
    <col min="1297" max="1297" width="19.5703125" bestFit="1" customWidth="1"/>
    <col min="1298" max="1298" width="22" bestFit="1" customWidth="1"/>
    <col min="1299" max="1299" width="20.28515625" bestFit="1" customWidth="1"/>
    <col min="1300" max="1300" width="23.42578125" bestFit="1" customWidth="1"/>
    <col min="1301" max="1301" width="18.42578125" bestFit="1" customWidth="1"/>
    <col min="1302" max="1302" width="19.42578125" bestFit="1" customWidth="1"/>
    <col min="1303" max="1303" width="19.5703125" bestFit="1" customWidth="1"/>
    <col min="1304" max="1304" width="20" bestFit="1" customWidth="1"/>
    <col min="1305" max="1305" width="19" bestFit="1" customWidth="1"/>
    <col min="1306" max="1306" width="21.42578125" bestFit="1" customWidth="1"/>
    <col min="1307" max="1307" width="19" bestFit="1" customWidth="1"/>
    <col min="1308" max="1308" width="19.7109375" bestFit="1" customWidth="1"/>
    <col min="1309" max="1309" width="19" bestFit="1" customWidth="1"/>
    <col min="1310" max="1310" width="17.42578125" bestFit="1" customWidth="1"/>
    <col min="1311" max="1311" width="26" bestFit="1" customWidth="1"/>
    <col min="1312" max="1312" width="29.140625" bestFit="1" customWidth="1"/>
    <col min="1313" max="1313" width="18.42578125" bestFit="1" customWidth="1"/>
    <col min="1314" max="1314" width="21.140625" bestFit="1" customWidth="1"/>
    <col min="1315" max="1315" width="19.5703125" bestFit="1" customWidth="1"/>
    <col min="1316" max="1316" width="17.7109375" bestFit="1" customWidth="1"/>
    <col min="1317" max="1317" width="19.5703125" bestFit="1" customWidth="1"/>
    <col min="1318" max="1318" width="19.42578125" bestFit="1" customWidth="1"/>
    <col min="1319" max="1319" width="18.42578125" bestFit="1" customWidth="1"/>
    <col min="1320" max="1320" width="18.7109375" bestFit="1" customWidth="1"/>
    <col min="1321" max="1321" width="19.5703125" bestFit="1" customWidth="1"/>
    <col min="1322" max="1322" width="20.7109375" bestFit="1" customWidth="1"/>
    <col min="1323" max="1323" width="19" bestFit="1" customWidth="1"/>
    <col min="1324" max="1324" width="21.85546875" bestFit="1" customWidth="1"/>
    <col min="1325" max="1325" width="18.42578125" bestFit="1" customWidth="1"/>
    <col min="1326" max="1326" width="19.7109375" bestFit="1" customWidth="1"/>
    <col min="1327" max="1327" width="19.5703125" bestFit="1" customWidth="1"/>
    <col min="1328" max="1328" width="19" bestFit="1" customWidth="1"/>
    <col min="1329" max="1329" width="19.7109375" bestFit="1" customWidth="1"/>
    <col min="1330" max="1330" width="22.85546875" bestFit="1" customWidth="1"/>
    <col min="1331" max="1331" width="19.5703125" bestFit="1" customWidth="1"/>
    <col min="1332" max="1332" width="20.85546875" bestFit="1" customWidth="1"/>
    <col min="1333" max="1333" width="18.42578125" bestFit="1" customWidth="1"/>
    <col min="1334" max="1334" width="18.28515625" bestFit="1" customWidth="1"/>
    <col min="1335" max="1335" width="19.5703125" bestFit="1" customWidth="1"/>
    <col min="1336" max="1336" width="20.7109375" bestFit="1" customWidth="1"/>
    <col min="1337" max="1337" width="18.5703125" bestFit="1" customWidth="1"/>
    <col min="1338" max="1338" width="21.85546875" bestFit="1" customWidth="1"/>
    <col min="1339" max="1339" width="19.85546875" bestFit="1" customWidth="1"/>
    <col min="1340" max="1340" width="23" bestFit="1" customWidth="1"/>
    <col min="1341" max="1341" width="19.7109375" bestFit="1" customWidth="1"/>
    <col min="1342" max="1342" width="22.85546875" bestFit="1" customWidth="1"/>
    <col min="1343" max="1343" width="19.5703125" bestFit="1" customWidth="1"/>
    <col min="1344" max="1344" width="18.28515625" bestFit="1" customWidth="1"/>
    <col min="1345" max="1345" width="19" bestFit="1" customWidth="1"/>
    <col min="1346" max="1346" width="21.140625" bestFit="1" customWidth="1"/>
    <col min="1347" max="1347" width="19.5703125" bestFit="1" customWidth="1"/>
    <col min="1348" max="1348" width="19.85546875" bestFit="1" customWidth="1"/>
    <col min="1349" max="1349" width="19" bestFit="1" customWidth="1"/>
    <col min="1350" max="1350" width="22" bestFit="1" customWidth="1"/>
    <col min="1351" max="1351" width="19.5703125" bestFit="1" customWidth="1"/>
    <col min="1352" max="1352" width="18.28515625" bestFit="1" customWidth="1"/>
    <col min="1353" max="1353" width="19.5703125" bestFit="1" customWidth="1"/>
    <col min="1354" max="1354" width="22" bestFit="1" customWidth="1"/>
    <col min="1355" max="1355" width="19.5703125" bestFit="1" customWidth="1"/>
    <col min="1356" max="1356" width="21.42578125" bestFit="1" customWidth="1"/>
    <col min="1357" max="1357" width="18.42578125" bestFit="1" customWidth="1"/>
    <col min="1358" max="1358" width="20.42578125" bestFit="1" customWidth="1"/>
    <col min="1359" max="1359" width="19.5703125" bestFit="1" customWidth="1"/>
    <col min="1360" max="1360" width="20.5703125" bestFit="1" customWidth="1"/>
    <col min="1361" max="1361" width="19.85546875" bestFit="1" customWidth="1"/>
    <col min="1362" max="1362" width="23" bestFit="1" customWidth="1"/>
    <col min="1363" max="1363" width="19.5703125" bestFit="1" customWidth="1"/>
    <col min="1364" max="1364" width="17.5703125" bestFit="1" customWidth="1"/>
    <col min="1365" max="1365" width="18.42578125" bestFit="1" customWidth="1"/>
    <col min="1366" max="1366" width="20.85546875" bestFit="1" customWidth="1"/>
    <col min="1367" max="1367" width="19" bestFit="1" customWidth="1"/>
    <col min="1368" max="1368" width="18.42578125" bestFit="1" customWidth="1"/>
    <col min="1369" max="1369" width="19.5703125" bestFit="1" customWidth="1"/>
    <col min="1370" max="1370" width="22.7109375" bestFit="1" customWidth="1"/>
    <col min="1371" max="1371" width="19" bestFit="1" customWidth="1"/>
    <col min="1372" max="1372" width="20" bestFit="1" customWidth="1"/>
    <col min="1373" max="1373" width="19" bestFit="1" customWidth="1"/>
    <col min="1374" max="1374" width="21.85546875" bestFit="1" customWidth="1"/>
    <col min="1375" max="1375" width="18.42578125" bestFit="1" customWidth="1"/>
    <col min="1376" max="1377" width="19" bestFit="1" customWidth="1"/>
    <col min="1378" max="1378" width="18.85546875" bestFit="1" customWidth="1"/>
    <col min="1379" max="1379" width="19.5703125" bestFit="1" customWidth="1"/>
    <col min="1380" max="1380" width="15.85546875" bestFit="1" customWidth="1"/>
    <col min="1381" max="1381" width="23.28515625" bestFit="1" customWidth="1"/>
    <col min="1382" max="1382" width="26.42578125" bestFit="1" customWidth="1"/>
    <col min="1383" max="1383" width="19.5703125" bestFit="1" customWidth="1"/>
    <col min="1384" max="1385" width="21.42578125" bestFit="1" customWidth="1"/>
    <col min="1386" max="1386" width="24.5703125" bestFit="1" customWidth="1"/>
    <col min="1387" max="1387" width="18.42578125" bestFit="1" customWidth="1"/>
    <col min="1388" max="1388" width="19.140625" bestFit="1" customWidth="1"/>
    <col min="1389" max="1389" width="19.5703125" bestFit="1" customWidth="1"/>
    <col min="1390" max="1390" width="20.7109375" bestFit="1" customWidth="1"/>
    <col min="1391" max="1391" width="18.42578125" bestFit="1" customWidth="1"/>
    <col min="1392" max="1392" width="18.85546875" bestFit="1" customWidth="1"/>
    <col min="1393" max="1393" width="19.5703125" bestFit="1" customWidth="1"/>
    <col min="1394" max="1394" width="20" bestFit="1" customWidth="1"/>
    <col min="1395" max="1395" width="19.5703125" bestFit="1" customWidth="1"/>
    <col min="1396" max="1396" width="17.7109375" bestFit="1" customWidth="1"/>
    <col min="1397" max="1399" width="19" bestFit="1" customWidth="1"/>
    <col min="1400" max="1400" width="22" bestFit="1" customWidth="1"/>
    <col min="1401" max="1401" width="19" bestFit="1" customWidth="1"/>
    <col min="1402" max="1402" width="21" bestFit="1" customWidth="1"/>
    <col min="1403" max="1403" width="19.5703125" bestFit="1" customWidth="1"/>
    <col min="1404" max="1404" width="20.7109375" bestFit="1" customWidth="1"/>
    <col min="1405" max="1405" width="19" bestFit="1" customWidth="1"/>
    <col min="1406" max="1406" width="19.140625" bestFit="1" customWidth="1"/>
    <col min="1407" max="1407" width="21.140625" bestFit="1" customWidth="1"/>
    <col min="1408" max="1408" width="24.28515625" bestFit="1" customWidth="1"/>
    <col min="1409" max="1409" width="19.5703125" bestFit="1" customWidth="1"/>
    <col min="1410" max="1410" width="21.5703125" bestFit="1" customWidth="1"/>
    <col min="1411" max="1411" width="19" bestFit="1" customWidth="1"/>
    <col min="1412" max="1412" width="20.140625" bestFit="1" customWidth="1"/>
    <col min="1413" max="1413" width="19.5703125" bestFit="1" customWidth="1"/>
    <col min="1414" max="1414" width="16" bestFit="1" customWidth="1"/>
    <col min="1415" max="1415" width="19" bestFit="1" customWidth="1"/>
    <col min="1416" max="1416" width="15.85546875" bestFit="1" customWidth="1"/>
    <col min="1417" max="1417" width="18.42578125" bestFit="1" customWidth="1"/>
    <col min="1418" max="1418" width="17.5703125" bestFit="1" customWidth="1"/>
    <col min="1419" max="1419" width="18.42578125" bestFit="1" customWidth="1"/>
    <col min="1420" max="1420" width="18.140625" bestFit="1" customWidth="1"/>
    <col min="1421" max="1421" width="19.5703125" bestFit="1" customWidth="1"/>
    <col min="1422" max="1422" width="22.7109375" bestFit="1" customWidth="1"/>
    <col min="1423" max="1423" width="19.5703125" bestFit="1" customWidth="1"/>
    <col min="1424" max="1424" width="18.85546875" bestFit="1" customWidth="1"/>
    <col min="1425" max="1425" width="19" bestFit="1" customWidth="1"/>
    <col min="1426" max="1426" width="19.7109375" bestFit="1" customWidth="1"/>
    <col min="1427" max="1427" width="19" bestFit="1" customWidth="1"/>
    <col min="1428" max="1428" width="18.140625" bestFit="1" customWidth="1"/>
    <col min="1429" max="1429" width="19" bestFit="1" customWidth="1"/>
    <col min="1430" max="1430" width="18.7109375" bestFit="1" customWidth="1"/>
    <col min="1431" max="1431" width="18.42578125" bestFit="1" customWidth="1"/>
    <col min="1432" max="1432" width="20.42578125" bestFit="1" customWidth="1"/>
    <col min="1433" max="1433" width="18.42578125" bestFit="1" customWidth="1"/>
    <col min="1434" max="1434" width="20.5703125" bestFit="1" customWidth="1"/>
    <col min="1435" max="1435" width="22.42578125" bestFit="1" customWidth="1"/>
    <col min="1436" max="1436" width="25.7109375" bestFit="1" customWidth="1"/>
    <col min="1437" max="1437" width="19" bestFit="1" customWidth="1"/>
    <col min="1438" max="1438" width="21.42578125" bestFit="1" customWidth="1"/>
    <col min="1439" max="1439" width="21" bestFit="1" customWidth="1"/>
    <col min="1440" max="1440" width="24.140625" bestFit="1" customWidth="1"/>
    <col min="1441" max="1441" width="19" bestFit="1" customWidth="1"/>
    <col min="1442" max="1442" width="20.7109375" bestFit="1" customWidth="1"/>
    <col min="1443" max="1443" width="19.5703125" bestFit="1" customWidth="1"/>
    <col min="1444" max="1444" width="21.5703125" bestFit="1" customWidth="1"/>
    <col min="1445" max="1445" width="20.140625" bestFit="1" customWidth="1"/>
    <col min="1446" max="1446" width="23.28515625" bestFit="1" customWidth="1"/>
    <col min="1447" max="1447" width="18.42578125" bestFit="1" customWidth="1"/>
    <col min="1448" max="1448" width="20.140625" bestFit="1" customWidth="1"/>
    <col min="1449" max="1449" width="19.5703125" bestFit="1" customWidth="1"/>
    <col min="1450" max="1450" width="20" bestFit="1" customWidth="1"/>
    <col min="1451" max="1451" width="19" bestFit="1" customWidth="1"/>
    <col min="1452" max="1452" width="16.42578125" bestFit="1" customWidth="1"/>
    <col min="1453" max="1453" width="18.42578125" bestFit="1" customWidth="1"/>
    <col min="1454" max="1454" width="20.140625" bestFit="1" customWidth="1"/>
    <col min="1455" max="1455" width="19" bestFit="1" customWidth="1"/>
    <col min="1456" max="1456" width="19.42578125" bestFit="1" customWidth="1"/>
    <col min="1457" max="1457" width="19" bestFit="1" customWidth="1"/>
    <col min="1458" max="1458" width="19.85546875" bestFit="1" customWidth="1"/>
    <col min="1459" max="1459" width="19.5703125" bestFit="1" customWidth="1"/>
    <col min="1460" max="1460" width="19.140625" bestFit="1" customWidth="1"/>
    <col min="1461" max="1461" width="19" bestFit="1" customWidth="1"/>
    <col min="1462" max="1462" width="18" bestFit="1" customWidth="1"/>
    <col min="1463" max="1463" width="19" bestFit="1" customWidth="1"/>
    <col min="1464" max="1464" width="19.7109375" bestFit="1" customWidth="1"/>
    <col min="1465" max="1465" width="19" bestFit="1" customWidth="1"/>
    <col min="1466" max="1466" width="19.85546875" bestFit="1" customWidth="1"/>
    <col min="1467" max="1467" width="18.42578125" bestFit="1" customWidth="1"/>
    <col min="1468" max="1468" width="19.28515625" bestFit="1" customWidth="1"/>
    <col min="1469" max="1469" width="19" bestFit="1" customWidth="1"/>
    <col min="1470" max="1470" width="20.28515625" bestFit="1" customWidth="1"/>
    <col min="1471" max="1472" width="19" bestFit="1" customWidth="1"/>
    <col min="1473" max="1473" width="19.5703125" bestFit="1" customWidth="1"/>
    <col min="1474" max="1474" width="22.42578125" bestFit="1" customWidth="1"/>
    <col min="1475" max="1475" width="19.5703125" bestFit="1" customWidth="1"/>
    <col min="1476" max="1476" width="20" bestFit="1" customWidth="1"/>
    <col min="1477" max="1477" width="19" bestFit="1" customWidth="1"/>
    <col min="1478" max="1478" width="21.85546875" bestFit="1" customWidth="1"/>
    <col min="1479" max="1479" width="21" bestFit="1" customWidth="1"/>
    <col min="1480" max="1480" width="24.140625" bestFit="1" customWidth="1"/>
    <col min="1481" max="1481" width="19.5703125" bestFit="1" customWidth="1"/>
    <col min="1482" max="1482" width="19.7109375" bestFit="1" customWidth="1"/>
    <col min="1483" max="1483" width="19" bestFit="1" customWidth="1"/>
    <col min="1484" max="1484" width="17.5703125" bestFit="1" customWidth="1"/>
    <col min="1485" max="1485" width="18.42578125" bestFit="1" customWidth="1"/>
    <col min="1486" max="1486" width="19" bestFit="1" customWidth="1"/>
    <col min="1487" max="1487" width="19.5703125" bestFit="1" customWidth="1"/>
    <col min="1488" max="1488" width="16.28515625" bestFit="1" customWidth="1"/>
    <col min="1489" max="1489" width="19" bestFit="1" customWidth="1"/>
    <col min="1490" max="1490" width="20.28515625" bestFit="1" customWidth="1"/>
    <col min="1491" max="1491" width="19" bestFit="1" customWidth="1"/>
    <col min="1492" max="1492" width="16.5703125" bestFit="1" customWidth="1"/>
    <col min="1493" max="1493" width="19.5703125" bestFit="1" customWidth="1"/>
    <col min="1494" max="1494" width="16.85546875" bestFit="1" customWidth="1"/>
    <col min="1495" max="1495" width="19.5703125" bestFit="1" customWidth="1"/>
    <col min="1496" max="1496" width="21.5703125" bestFit="1" customWidth="1"/>
    <col min="1497" max="1497" width="18.42578125" bestFit="1" customWidth="1"/>
    <col min="1498" max="1498" width="16.85546875" bestFit="1" customWidth="1"/>
    <col min="1499" max="1499" width="19" bestFit="1" customWidth="1"/>
    <col min="1500" max="1500" width="16.28515625" bestFit="1" customWidth="1"/>
    <col min="1501" max="1501" width="19.5703125" bestFit="1" customWidth="1"/>
    <col min="1502" max="1502" width="22.140625" bestFit="1" customWidth="1"/>
    <col min="1503" max="1503" width="19" bestFit="1" customWidth="1"/>
    <col min="1504" max="1504" width="21.42578125" bestFit="1" customWidth="1"/>
    <col min="1505" max="1505" width="19" bestFit="1" customWidth="1"/>
    <col min="1506" max="1506" width="16.85546875" bestFit="1" customWidth="1"/>
    <col min="1507" max="1507" width="19.5703125" bestFit="1" customWidth="1"/>
    <col min="1508" max="1508" width="16.7109375" bestFit="1" customWidth="1"/>
    <col min="1509" max="1509" width="19.5703125" bestFit="1" customWidth="1"/>
    <col min="1510" max="1510" width="20.85546875" bestFit="1" customWidth="1"/>
    <col min="1511" max="1511" width="19" bestFit="1" customWidth="1"/>
    <col min="1512" max="1512" width="20.85546875" bestFit="1" customWidth="1"/>
    <col min="1513" max="1513" width="19.5703125" bestFit="1" customWidth="1"/>
    <col min="1514" max="1514" width="19.42578125" bestFit="1" customWidth="1"/>
    <col min="1515" max="1515" width="19.5703125" bestFit="1" customWidth="1"/>
    <col min="1516" max="1516" width="18.5703125" bestFit="1" customWidth="1"/>
    <col min="1517" max="1517" width="18.42578125" bestFit="1" customWidth="1"/>
    <col min="1518" max="1518" width="18.7109375" bestFit="1" customWidth="1"/>
    <col min="1519" max="1519" width="19.5703125" bestFit="1" customWidth="1"/>
    <col min="1520" max="1520" width="20.5703125" bestFit="1" customWidth="1"/>
    <col min="1521" max="1521" width="18.42578125" bestFit="1" customWidth="1"/>
    <col min="1522" max="1522" width="18" bestFit="1" customWidth="1"/>
    <col min="1523" max="1523" width="19.5703125" bestFit="1" customWidth="1"/>
    <col min="1524" max="1524" width="20" bestFit="1" customWidth="1"/>
    <col min="1525" max="1525" width="18.42578125" bestFit="1" customWidth="1"/>
    <col min="1526" max="1526" width="20.5703125" bestFit="1" customWidth="1"/>
    <col min="1527" max="1527" width="19" bestFit="1" customWidth="1"/>
    <col min="1528" max="1528" width="20.28515625" bestFit="1" customWidth="1"/>
    <col min="1529" max="1529" width="19.5703125" bestFit="1" customWidth="1"/>
    <col min="1530" max="1530" width="20.28515625" bestFit="1" customWidth="1"/>
    <col min="1531" max="1531" width="18.42578125" bestFit="1" customWidth="1"/>
    <col min="1532" max="1532" width="14.5703125" bestFit="1" customWidth="1"/>
    <col min="1533" max="1533" width="20.85546875" bestFit="1" customWidth="1"/>
    <col min="1534" max="1534" width="24" bestFit="1" customWidth="1"/>
    <col min="1535" max="1535" width="19" bestFit="1" customWidth="1"/>
    <col min="1536" max="1536" width="20" bestFit="1" customWidth="1"/>
    <col min="1537" max="1537" width="19" bestFit="1" customWidth="1"/>
    <col min="1538" max="1538" width="17.42578125" bestFit="1" customWidth="1"/>
    <col min="1539" max="1539" width="19.5703125" bestFit="1" customWidth="1"/>
    <col min="1540" max="1540" width="16.5703125" bestFit="1" customWidth="1"/>
    <col min="1541" max="1541" width="19.5703125" bestFit="1" customWidth="1"/>
    <col min="1542" max="1542" width="19" bestFit="1" customWidth="1"/>
    <col min="1543" max="1543" width="20" bestFit="1" customWidth="1"/>
    <col min="1544" max="1544" width="23.140625" bestFit="1" customWidth="1"/>
    <col min="1545" max="1545" width="19" bestFit="1" customWidth="1"/>
    <col min="1546" max="1546" width="21.85546875" bestFit="1" customWidth="1"/>
    <col min="1547" max="1547" width="19.5703125" bestFit="1" customWidth="1"/>
    <col min="1548" max="1548" width="21.7109375" bestFit="1" customWidth="1"/>
    <col min="1549" max="1549" width="19" bestFit="1" customWidth="1"/>
    <col min="1550" max="1550" width="18.140625" bestFit="1" customWidth="1"/>
    <col min="1551" max="1551" width="19.5703125" bestFit="1" customWidth="1"/>
    <col min="1552" max="1552" width="21" bestFit="1" customWidth="1"/>
    <col min="1553" max="1553" width="18.42578125" bestFit="1" customWidth="1"/>
    <col min="1554" max="1554" width="16.5703125" bestFit="1" customWidth="1"/>
    <col min="1555" max="1555" width="19" bestFit="1" customWidth="1"/>
    <col min="1556" max="1557" width="19.28515625" bestFit="1" customWidth="1"/>
    <col min="1558" max="1558" width="22.42578125" bestFit="1" customWidth="1"/>
    <col min="1559" max="1559" width="18.42578125" bestFit="1" customWidth="1"/>
    <col min="1560" max="1560" width="20.42578125" bestFit="1" customWidth="1"/>
    <col min="1561" max="1561" width="21.42578125" bestFit="1" customWidth="1"/>
    <col min="1562" max="1562" width="24.5703125" bestFit="1" customWidth="1"/>
    <col min="1563" max="1563" width="19" bestFit="1" customWidth="1"/>
    <col min="1564" max="1564" width="17.7109375" bestFit="1" customWidth="1"/>
    <col min="1565" max="1565" width="19.5703125" bestFit="1" customWidth="1"/>
    <col min="1566" max="1566" width="19.42578125" bestFit="1" customWidth="1"/>
    <col min="1567" max="1567" width="19" bestFit="1" customWidth="1"/>
    <col min="1568" max="1568" width="18.28515625" bestFit="1" customWidth="1"/>
    <col min="1569" max="1569" width="19" bestFit="1" customWidth="1"/>
    <col min="1570" max="1570" width="16.28515625" bestFit="1" customWidth="1"/>
    <col min="1571" max="1571" width="19.5703125" bestFit="1" customWidth="1"/>
    <col min="1572" max="1572" width="19.140625" bestFit="1" customWidth="1"/>
    <col min="1573" max="1573" width="19" bestFit="1" customWidth="1"/>
    <col min="1574" max="1574" width="16.7109375" bestFit="1" customWidth="1"/>
    <col min="1575" max="1575" width="19.5703125" bestFit="1" customWidth="1"/>
    <col min="1576" max="1576" width="20" bestFit="1" customWidth="1"/>
    <col min="1577" max="1577" width="19" bestFit="1" customWidth="1"/>
    <col min="1578" max="1578" width="19.85546875" bestFit="1" customWidth="1"/>
    <col min="1579" max="1579" width="19" bestFit="1" customWidth="1"/>
    <col min="1580" max="1580" width="17.5703125" bestFit="1" customWidth="1"/>
    <col min="1581" max="1581" width="19.5703125" bestFit="1" customWidth="1"/>
    <col min="1582" max="1582" width="17.42578125" bestFit="1" customWidth="1"/>
    <col min="1583" max="1583" width="19" bestFit="1" customWidth="1"/>
    <col min="1584" max="1585" width="18.42578125" bestFit="1" customWidth="1"/>
    <col min="1586" max="1586" width="18.5703125" bestFit="1" customWidth="1"/>
    <col min="1587" max="1587" width="19.5703125" bestFit="1" customWidth="1"/>
    <col min="1588" max="1588" width="17.42578125" bestFit="1" customWidth="1"/>
    <col min="1589" max="1589" width="19.5703125" bestFit="1" customWidth="1"/>
    <col min="1590" max="1590" width="18.85546875" bestFit="1" customWidth="1"/>
    <col min="1591" max="1591" width="18.42578125" bestFit="1" customWidth="1"/>
    <col min="1592" max="1592" width="16.85546875" bestFit="1" customWidth="1"/>
    <col min="1593" max="1593" width="18.42578125" bestFit="1" customWidth="1"/>
    <col min="1594" max="1594" width="16.85546875" bestFit="1" customWidth="1"/>
    <col min="1595" max="1595" width="19.5703125" bestFit="1" customWidth="1"/>
    <col min="1596" max="1596" width="21.42578125" bestFit="1" customWidth="1"/>
    <col min="1597" max="1597" width="18.42578125" bestFit="1" customWidth="1"/>
    <col min="1598" max="1598" width="18.5703125" bestFit="1" customWidth="1"/>
    <col min="1599" max="1599" width="19.5703125" bestFit="1" customWidth="1"/>
    <col min="1600" max="1600" width="18.28515625" bestFit="1" customWidth="1"/>
    <col min="1601" max="1601" width="18.42578125" bestFit="1" customWidth="1"/>
    <col min="1602" max="1602" width="16.28515625" bestFit="1" customWidth="1"/>
    <col min="1603" max="1603" width="19" bestFit="1" customWidth="1"/>
    <col min="1604" max="1604" width="18.42578125" bestFit="1" customWidth="1"/>
    <col min="1605" max="1605" width="19.5703125" bestFit="1" customWidth="1"/>
    <col min="1606" max="1606" width="21.85546875" bestFit="1" customWidth="1"/>
    <col min="1607" max="1607" width="19.5703125" bestFit="1" customWidth="1"/>
    <col min="1608" max="1608" width="22.42578125" bestFit="1" customWidth="1"/>
    <col min="1609" max="1609" width="18.42578125" bestFit="1" customWidth="1"/>
    <col min="1610" max="1610" width="19.85546875" bestFit="1" customWidth="1"/>
    <col min="1611" max="1611" width="21" bestFit="1" customWidth="1"/>
    <col min="1612" max="1612" width="24.140625" bestFit="1" customWidth="1"/>
    <col min="1613" max="1613" width="19.5703125" bestFit="1" customWidth="1"/>
    <col min="1614" max="1614" width="18.7109375" bestFit="1" customWidth="1"/>
    <col min="1615" max="1615" width="19" bestFit="1" customWidth="1"/>
    <col min="1616" max="1616" width="19.5703125" bestFit="1" customWidth="1"/>
    <col min="1617" max="1617" width="19" bestFit="1" customWidth="1"/>
    <col min="1618" max="1618" width="21.85546875" bestFit="1" customWidth="1"/>
    <col min="1619" max="1619" width="19.5703125" bestFit="1" customWidth="1"/>
    <col min="1620" max="1620" width="22.7109375" bestFit="1" customWidth="1"/>
    <col min="1621" max="1621" width="18.42578125" bestFit="1" customWidth="1"/>
    <col min="1622" max="1622" width="21" bestFit="1" customWidth="1"/>
    <col min="1623" max="1625" width="18.42578125" bestFit="1" customWidth="1"/>
    <col min="1626" max="1626" width="15.7109375" bestFit="1" customWidth="1"/>
    <col min="1627" max="1627" width="19.5703125" bestFit="1" customWidth="1"/>
    <col min="1628" max="1628" width="20.7109375" bestFit="1" customWidth="1"/>
    <col min="1629" max="1629" width="19.5703125" bestFit="1" customWidth="1"/>
    <col min="1630" max="1630" width="20" bestFit="1" customWidth="1"/>
    <col min="1631" max="1631" width="18.42578125" bestFit="1" customWidth="1"/>
    <col min="1632" max="1632" width="19.7109375" bestFit="1" customWidth="1"/>
    <col min="1633" max="1633" width="19" bestFit="1" customWidth="1"/>
    <col min="1634" max="1634" width="19.140625" bestFit="1" customWidth="1"/>
    <col min="1635" max="1635" width="19" bestFit="1" customWidth="1"/>
    <col min="1636" max="1636" width="16.5703125" bestFit="1" customWidth="1"/>
    <col min="1637" max="1637" width="19.5703125" bestFit="1" customWidth="1"/>
    <col min="1638" max="1638" width="18.85546875" bestFit="1" customWidth="1"/>
    <col min="1639" max="1639" width="18.42578125" bestFit="1" customWidth="1"/>
    <col min="1640" max="1640" width="18" bestFit="1" customWidth="1"/>
    <col min="1641" max="1641" width="19" bestFit="1" customWidth="1"/>
    <col min="1642" max="1642" width="20.7109375" bestFit="1" customWidth="1"/>
    <col min="1643" max="1644" width="19.5703125" bestFit="1" customWidth="1"/>
    <col min="1645" max="1645" width="18.42578125" bestFit="1" customWidth="1"/>
    <col min="1646" max="1647" width="19.5703125" bestFit="1" customWidth="1"/>
    <col min="1648" max="1648" width="17.42578125" bestFit="1" customWidth="1"/>
    <col min="1649" max="1649" width="19.5703125" bestFit="1" customWidth="1"/>
    <col min="1650" max="1650" width="17.7109375" bestFit="1" customWidth="1"/>
    <col min="1651" max="1651" width="19" bestFit="1" customWidth="1"/>
    <col min="1652" max="1652" width="18.140625" bestFit="1" customWidth="1"/>
    <col min="1653" max="1653" width="19.5703125" bestFit="1" customWidth="1"/>
    <col min="1654" max="1654" width="19.85546875" bestFit="1" customWidth="1"/>
    <col min="1655" max="1655" width="18.42578125" bestFit="1" customWidth="1"/>
    <col min="1656" max="1656" width="17.28515625" bestFit="1" customWidth="1"/>
    <col min="1657" max="1657" width="19" bestFit="1" customWidth="1"/>
    <col min="1658" max="1658" width="21.5703125" bestFit="1" customWidth="1"/>
    <col min="1659" max="1659" width="19.5703125" bestFit="1" customWidth="1"/>
    <col min="1660" max="1660" width="20.140625" bestFit="1" customWidth="1"/>
    <col min="1661" max="1661" width="19" bestFit="1" customWidth="1"/>
    <col min="1662" max="1662" width="15.7109375" bestFit="1" customWidth="1"/>
    <col min="1663" max="1663" width="19.5703125" bestFit="1" customWidth="1"/>
    <col min="1664" max="1664" width="17.7109375" bestFit="1" customWidth="1"/>
    <col min="1665" max="1665" width="20.7109375" bestFit="1" customWidth="1"/>
    <col min="1666" max="1666" width="23.85546875" bestFit="1" customWidth="1"/>
    <col min="1667" max="1667" width="19.5703125" bestFit="1" customWidth="1"/>
    <col min="1668" max="1668" width="18.7109375" bestFit="1" customWidth="1"/>
    <col min="1669" max="1671" width="19" bestFit="1" customWidth="1"/>
    <col min="1672" max="1672" width="20.85546875" bestFit="1" customWidth="1"/>
    <col min="1673" max="1673" width="19.5703125" bestFit="1" customWidth="1"/>
    <col min="1674" max="1674" width="20.140625" bestFit="1" customWidth="1"/>
    <col min="1675" max="1675" width="18.42578125" bestFit="1" customWidth="1"/>
    <col min="1676" max="1676" width="19.5703125" bestFit="1" customWidth="1"/>
    <col min="1677" max="1677" width="18.42578125" bestFit="1" customWidth="1"/>
    <col min="1678" max="1678" width="21.7109375" bestFit="1" customWidth="1"/>
    <col min="1679" max="1679" width="19" bestFit="1" customWidth="1"/>
    <col min="1680" max="1680" width="16" bestFit="1" customWidth="1"/>
    <col min="1681" max="1681" width="19.5703125" bestFit="1" customWidth="1"/>
    <col min="1682" max="1682" width="22.28515625" bestFit="1" customWidth="1"/>
    <col min="1683" max="1683" width="19.42578125" bestFit="1" customWidth="1"/>
    <col min="1684" max="1684" width="22.5703125" bestFit="1" customWidth="1"/>
    <col min="1685" max="1685" width="19.140625" bestFit="1" customWidth="1"/>
    <col min="1686" max="1686" width="22.28515625" bestFit="1" customWidth="1"/>
    <col min="1687" max="1687" width="19.5703125" bestFit="1" customWidth="1"/>
    <col min="1688" max="1688" width="19.85546875" bestFit="1" customWidth="1"/>
    <col min="1689" max="1689" width="19.5703125" bestFit="1" customWidth="1"/>
    <col min="1690" max="1690" width="15.85546875" bestFit="1" customWidth="1"/>
    <col min="1691" max="1691" width="19.5703125" bestFit="1" customWidth="1"/>
    <col min="1692" max="1692" width="21.140625" bestFit="1" customWidth="1"/>
    <col min="1693" max="1693" width="19" bestFit="1" customWidth="1"/>
    <col min="1694" max="1694" width="21.140625" bestFit="1" customWidth="1"/>
    <col min="1695" max="1695" width="19.5703125" bestFit="1" customWidth="1"/>
    <col min="1696" max="1696" width="21.7109375" bestFit="1" customWidth="1"/>
    <col min="1697" max="1697" width="19.5703125" bestFit="1" customWidth="1"/>
    <col min="1698" max="1698" width="16.85546875" bestFit="1" customWidth="1"/>
    <col min="1699" max="1699" width="19.5703125" bestFit="1" customWidth="1"/>
    <col min="1700" max="1700" width="20.5703125" bestFit="1" customWidth="1"/>
    <col min="1701" max="1701" width="19.5703125" bestFit="1" customWidth="1"/>
    <col min="1702" max="1702" width="22.28515625" bestFit="1" customWidth="1"/>
    <col min="1703" max="1703" width="19" bestFit="1" customWidth="1"/>
    <col min="1704" max="1704" width="15.28515625" bestFit="1" customWidth="1"/>
    <col min="1705" max="1705" width="20" bestFit="1" customWidth="1"/>
    <col min="1706" max="1706" width="23.140625" bestFit="1" customWidth="1"/>
    <col min="1707" max="1707" width="19" bestFit="1" customWidth="1"/>
    <col min="1708" max="1708" width="20.5703125" bestFit="1" customWidth="1"/>
    <col min="1709" max="1709" width="19.5703125" bestFit="1" customWidth="1"/>
    <col min="1710" max="1710" width="19.7109375" bestFit="1" customWidth="1"/>
    <col min="1711" max="1711" width="18.42578125" bestFit="1" customWidth="1"/>
    <col min="1712" max="1712" width="19.140625" bestFit="1" customWidth="1"/>
    <col min="1713" max="1713" width="18.42578125" bestFit="1" customWidth="1"/>
    <col min="1714" max="1714" width="19.140625" bestFit="1" customWidth="1"/>
    <col min="1715" max="1715" width="19.5703125" bestFit="1" customWidth="1"/>
    <col min="1716" max="1716" width="18.85546875" bestFit="1" customWidth="1"/>
    <col min="1717" max="1717" width="18.42578125" bestFit="1" customWidth="1"/>
    <col min="1718" max="1718" width="21.5703125" bestFit="1" customWidth="1"/>
    <col min="1719" max="1719" width="18.42578125" bestFit="1" customWidth="1"/>
    <col min="1720" max="1720" width="21.140625" bestFit="1" customWidth="1"/>
    <col min="1721" max="1721" width="19.7109375" bestFit="1" customWidth="1"/>
    <col min="1722" max="1722" width="22.85546875" bestFit="1" customWidth="1"/>
    <col min="1723" max="1723" width="19" bestFit="1" customWidth="1"/>
    <col min="1724" max="1724" width="21.7109375" bestFit="1" customWidth="1"/>
    <col min="1725" max="1725" width="19.5703125" bestFit="1" customWidth="1"/>
    <col min="1726" max="1726" width="18.28515625" bestFit="1" customWidth="1"/>
    <col min="1727" max="1727" width="19" bestFit="1" customWidth="1"/>
    <col min="1728" max="1728" width="20.5703125" bestFit="1" customWidth="1"/>
    <col min="1729" max="1729" width="19.5703125" bestFit="1" customWidth="1"/>
    <col min="1730" max="1730" width="21.85546875" bestFit="1" customWidth="1"/>
    <col min="1731" max="1731" width="24.7109375" bestFit="1" customWidth="1"/>
    <col min="1732" max="1732" width="27.85546875" bestFit="1" customWidth="1"/>
    <col min="1733" max="1733" width="19.5703125" bestFit="1" customWidth="1"/>
    <col min="1734" max="1734" width="18.42578125" bestFit="1" customWidth="1"/>
    <col min="1735" max="1735" width="19.5703125" bestFit="1" customWidth="1"/>
    <col min="1736" max="1736" width="16.140625" bestFit="1" customWidth="1"/>
    <col min="1737" max="1737" width="21" bestFit="1" customWidth="1"/>
    <col min="1738" max="1738" width="24.140625" bestFit="1" customWidth="1"/>
    <col min="1739" max="1739" width="19" bestFit="1" customWidth="1"/>
    <col min="1740" max="1740" width="20.28515625" bestFit="1" customWidth="1"/>
    <col min="1741" max="1741" width="21.7109375" bestFit="1" customWidth="1"/>
    <col min="1742" max="1742" width="24.85546875" bestFit="1" customWidth="1"/>
    <col min="1743" max="1743" width="19" bestFit="1" customWidth="1"/>
    <col min="1744" max="1744" width="19.42578125" bestFit="1" customWidth="1"/>
    <col min="1745" max="1745" width="19.5703125" bestFit="1" customWidth="1"/>
    <col min="1746" max="1746" width="18.28515625" bestFit="1" customWidth="1"/>
    <col min="1747" max="1747" width="19.5703125" bestFit="1" customWidth="1"/>
    <col min="1748" max="1748" width="18.85546875" bestFit="1" customWidth="1"/>
    <col min="1749" max="1749" width="18.42578125" bestFit="1" customWidth="1"/>
    <col min="1750" max="1750" width="19.140625" bestFit="1" customWidth="1"/>
    <col min="1751" max="1751" width="19.5703125" bestFit="1" customWidth="1"/>
    <col min="1752" max="1752" width="22.5703125" bestFit="1" customWidth="1"/>
    <col min="1753" max="1753" width="19" bestFit="1" customWidth="1"/>
    <col min="1754" max="1754" width="17.28515625" bestFit="1" customWidth="1"/>
    <col min="1755" max="1755" width="19.5703125" bestFit="1" customWidth="1"/>
    <col min="1756" max="1756" width="16.5703125" bestFit="1" customWidth="1"/>
    <col min="1757" max="1757" width="19" bestFit="1" customWidth="1"/>
    <col min="1758" max="1758" width="17.5703125" bestFit="1" customWidth="1"/>
    <col min="1759" max="1759" width="20.85546875" bestFit="1" customWidth="1"/>
    <col min="1760" max="1760" width="24" bestFit="1" customWidth="1"/>
    <col min="1761" max="1761" width="21" bestFit="1" customWidth="1"/>
    <col min="1762" max="1762" width="24.140625" bestFit="1" customWidth="1"/>
    <col min="1763" max="1763" width="19.5703125" bestFit="1" customWidth="1"/>
    <col min="1764" max="1764" width="22.7109375" bestFit="1" customWidth="1"/>
    <col min="1765" max="1765" width="19" bestFit="1" customWidth="1"/>
    <col min="1766" max="1766" width="20.7109375" bestFit="1" customWidth="1"/>
    <col min="1767" max="1767" width="19.5703125" bestFit="1" customWidth="1"/>
    <col min="1768" max="1768" width="20.7109375" bestFit="1" customWidth="1"/>
    <col min="1769" max="1769" width="19" bestFit="1" customWidth="1"/>
    <col min="1770" max="1770" width="20.42578125" bestFit="1" customWidth="1"/>
    <col min="1771" max="1771" width="19.5703125" bestFit="1" customWidth="1"/>
    <col min="1772" max="1772" width="19.85546875" bestFit="1" customWidth="1"/>
    <col min="1773" max="1773" width="18.42578125" bestFit="1" customWidth="1"/>
    <col min="1774" max="1774" width="19" bestFit="1" customWidth="1"/>
    <col min="1775" max="1775" width="20.7109375" bestFit="1" customWidth="1"/>
    <col min="1776" max="1776" width="23.85546875" bestFit="1" customWidth="1"/>
    <col min="1777" max="1777" width="19.5703125" bestFit="1" customWidth="1"/>
    <col min="1778" max="1778" width="19.140625" bestFit="1" customWidth="1"/>
    <col min="1779" max="1780" width="18.42578125" bestFit="1" customWidth="1"/>
    <col min="1781" max="1781" width="19.5703125" bestFit="1" customWidth="1"/>
    <col min="1782" max="1782" width="17.28515625" bestFit="1" customWidth="1"/>
    <col min="1783" max="1783" width="19.5703125" bestFit="1" customWidth="1"/>
    <col min="1784" max="1784" width="18.5703125" bestFit="1" customWidth="1"/>
    <col min="1785" max="1785" width="19.5703125" bestFit="1" customWidth="1"/>
    <col min="1786" max="1786" width="22" bestFit="1" customWidth="1"/>
    <col min="1787" max="1787" width="19" bestFit="1" customWidth="1"/>
    <col min="1788" max="1788" width="15.85546875" bestFit="1" customWidth="1"/>
    <col min="1789" max="1789" width="19.140625" bestFit="1" customWidth="1"/>
    <col min="1790" max="1790" width="22.28515625" bestFit="1" customWidth="1"/>
    <col min="1791" max="1791" width="19.5703125" bestFit="1" customWidth="1"/>
    <col min="1792" max="1792" width="17.85546875" bestFit="1" customWidth="1"/>
    <col min="1793" max="1793" width="19.5703125" bestFit="1" customWidth="1"/>
    <col min="1794" max="1794" width="16.28515625" bestFit="1" customWidth="1"/>
    <col min="1795" max="1795" width="18.42578125" bestFit="1" customWidth="1"/>
    <col min="1796" max="1796" width="14.5703125" bestFit="1" customWidth="1"/>
    <col min="1797" max="1797" width="19" bestFit="1" customWidth="1"/>
    <col min="1798" max="1798" width="18" bestFit="1" customWidth="1"/>
    <col min="1799" max="1799" width="19.5703125" bestFit="1" customWidth="1"/>
    <col min="1800" max="1800" width="18.5703125" bestFit="1" customWidth="1"/>
    <col min="1801" max="1801" width="19" bestFit="1" customWidth="1"/>
    <col min="1802" max="1802" width="16.28515625" bestFit="1" customWidth="1"/>
    <col min="1803" max="1803" width="19" bestFit="1" customWidth="1"/>
    <col min="1804" max="1804" width="19.5703125" bestFit="1" customWidth="1"/>
    <col min="1805" max="1805" width="20.85546875" bestFit="1" customWidth="1"/>
    <col min="1806" max="1806" width="24" bestFit="1" customWidth="1"/>
    <col min="1807" max="1807" width="19.5703125" bestFit="1" customWidth="1"/>
    <col min="1808" max="1808" width="17.85546875" bestFit="1" customWidth="1"/>
    <col min="1809" max="1809" width="18.42578125" bestFit="1" customWidth="1"/>
    <col min="1810" max="1810" width="17.28515625" bestFit="1" customWidth="1"/>
    <col min="1811" max="1811" width="19.5703125" bestFit="1" customWidth="1"/>
    <col min="1812" max="1812" width="18.7109375" bestFit="1" customWidth="1"/>
    <col min="1813" max="1813" width="18.85546875" bestFit="1" customWidth="1"/>
    <col min="1814" max="1814" width="22.140625" bestFit="1" customWidth="1"/>
    <col min="1815" max="1815" width="19" bestFit="1" customWidth="1"/>
    <col min="1816" max="1816" width="21.7109375" bestFit="1" customWidth="1"/>
    <col min="1817" max="1817" width="18.42578125" bestFit="1" customWidth="1"/>
    <col min="1818" max="1818" width="21.5703125" bestFit="1" customWidth="1"/>
    <col min="1819" max="1819" width="18.42578125" bestFit="1" customWidth="1"/>
    <col min="1820" max="1820" width="20.5703125" bestFit="1" customWidth="1"/>
    <col min="1821" max="1821" width="19.5703125" bestFit="1" customWidth="1"/>
    <col min="1822" max="1822" width="14.85546875" bestFit="1" customWidth="1"/>
    <col min="1823" max="1823" width="18.42578125" bestFit="1" customWidth="1"/>
    <col min="1824" max="1824" width="15.5703125" bestFit="1" customWidth="1"/>
    <col min="1825" max="1825" width="18.42578125" bestFit="1" customWidth="1"/>
    <col min="1826" max="1826" width="15.140625" bestFit="1" customWidth="1"/>
    <col min="1827" max="1827" width="19" bestFit="1" customWidth="1"/>
    <col min="1828" max="1828" width="16.5703125" bestFit="1" customWidth="1"/>
    <col min="1829" max="1829" width="18.42578125" bestFit="1" customWidth="1"/>
    <col min="1830" max="1830" width="20.28515625" bestFit="1" customWidth="1"/>
    <col min="1831" max="1831" width="18.42578125" bestFit="1" customWidth="1"/>
    <col min="1832" max="1832" width="18.7109375" bestFit="1" customWidth="1"/>
    <col min="1833" max="1833" width="19" bestFit="1" customWidth="1"/>
    <col min="1834" max="1834" width="18.5703125" bestFit="1" customWidth="1"/>
    <col min="1835" max="1835" width="18.7109375" bestFit="1" customWidth="1"/>
    <col min="1836" max="1836" width="22" bestFit="1" customWidth="1"/>
    <col min="1837" max="1837" width="19.5703125" bestFit="1" customWidth="1"/>
    <col min="1838" max="1838" width="17.85546875" bestFit="1" customWidth="1"/>
    <col min="1839" max="1839" width="19.5703125" bestFit="1" customWidth="1"/>
    <col min="1840" max="1840" width="17" bestFit="1" customWidth="1"/>
    <col min="1841" max="1841" width="19" bestFit="1" customWidth="1"/>
    <col min="1842" max="1842" width="18.7109375" bestFit="1" customWidth="1"/>
    <col min="1843" max="1843" width="19" bestFit="1" customWidth="1"/>
    <col min="1844" max="1844" width="19.42578125" bestFit="1" customWidth="1"/>
    <col min="1845" max="1845" width="18.42578125" bestFit="1" customWidth="1"/>
    <col min="1846" max="1846" width="17.85546875" bestFit="1" customWidth="1"/>
    <col min="1847" max="1847" width="19.5703125" bestFit="1" customWidth="1"/>
    <col min="1848" max="1848" width="18.28515625" bestFit="1" customWidth="1"/>
    <col min="1849" max="1849" width="19.140625" bestFit="1" customWidth="1"/>
    <col min="1850" max="1850" width="22.28515625" bestFit="1" customWidth="1"/>
    <col min="1851" max="1851" width="19.5703125" bestFit="1" customWidth="1"/>
    <col min="1852" max="1852" width="17.28515625" bestFit="1" customWidth="1"/>
    <col min="1853" max="1853" width="19.5703125" bestFit="1" customWidth="1"/>
    <col min="1854" max="1854" width="18.28515625" bestFit="1" customWidth="1"/>
    <col min="1855" max="1855" width="19" bestFit="1" customWidth="1"/>
    <col min="1856" max="1856" width="16.85546875" bestFit="1" customWidth="1"/>
    <col min="1857" max="1857" width="19" bestFit="1" customWidth="1"/>
    <col min="1858" max="1858" width="14.28515625" bestFit="1" customWidth="1"/>
    <col min="1859" max="1859" width="19" bestFit="1" customWidth="1"/>
    <col min="1860" max="1860" width="18" bestFit="1" customWidth="1"/>
    <col min="1861" max="1861" width="18.42578125" bestFit="1" customWidth="1"/>
    <col min="1862" max="1862" width="19" bestFit="1" customWidth="1"/>
    <col min="1863" max="1863" width="19.5703125" bestFit="1" customWidth="1"/>
    <col min="1864" max="1864" width="20.5703125" bestFit="1" customWidth="1"/>
    <col min="1865" max="1865" width="19" bestFit="1" customWidth="1"/>
    <col min="1866" max="1866" width="20.5703125" bestFit="1" customWidth="1"/>
    <col min="1867" max="1867" width="21.140625" bestFit="1" customWidth="1"/>
    <col min="1868" max="1868" width="24.28515625" bestFit="1" customWidth="1"/>
    <col min="1869" max="1869" width="19" bestFit="1" customWidth="1"/>
    <col min="1870" max="1870" width="20" bestFit="1" customWidth="1"/>
    <col min="1871" max="1871" width="18.42578125" bestFit="1" customWidth="1"/>
    <col min="1872" max="1872" width="19.28515625" bestFit="1" customWidth="1"/>
    <col min="1873" max="1873" width="18.42578125" bestFit="1" customWidth="1"/>
    <col min="1874" max="1874" width="21.5703125" bestFit="1" customWidth="1"/>
    <col min="1875" max="1875" width="19" bestFit="1" customWidth="1"/>
    <col min="1876" max="1876" width="19.85546875" bestFit="1" customWidth="1"/>
    <col min="1877" max="1877" width="19.5703125" bestFit="1" customWidth="1"/>
    <col min="1878" max="1878" width="22.5703125" bestFit="1" customWidth="1"/>
    <col min="1879" max="1879" width="19.5703125" bestFit="1" customWidth="1"/>
    <col min="1880" max="1880" width="22.7109375" bestFit="1" customWidth="1"/>
    <col min="1881" max="1881" width="18.42578125" bestFit="1" customWidth="1"/>
    <col min="1882" max="1882" width="17.85546875" bestFit="1" customWidth="1"/>
    <col min="1883" max="1883" width="18.42578125" bestFit="1" customWidth="1"/>
    <col min="1884" max="1884" width="21.7109375" bestFit="1" customWidth="1"/>
    <col min="1885" max="1885" width="19" bestFit="1" customWidth="1"/>
    <col min="1886" max="1886" width="20" bestFit="1" customWidth="1"/>
    <col min="1887" max="1887" width="18.42578125" bestFit="1" customWidth="1"/>
    <col min="1888" max="1888" width="20.7109375" bestFit="1" customWidth="1"/>
    <col min="1889" max="1889" width="19.5703125" bestFit="1" customWidth="1"/>
    <col min="1890" max="1890" width="16" bestFit="1" customWidth="1"/>
    <col min="1891" max="1891" width="19" bestFit="1" customWidth="1"/>
    <col min="1892" max="1892" width="15.42578125" bestFit="1" customWidth="1"/>
    <col min="1893" max="1893" width="19" bestFit="1" customWidth="1"/>
    <col min="1894" max="1894" width="21.5703125" bestFit="1" customWidth="1"/>
    <col min="1895" max="1895" width="19.5703125" bestFit="1" customWidth="1"/>
    <col min="1896" max="1896" width="21.5703125" bestFit="1" customWidth="1"/>
    <col min="1897" max="1897" width="19" bestFit="1" customWidth="1"/>
    <col min="1898" max="1898" width="15.42578125" bestFit="1" customWidth="1"/>
    <col min="1899" max="1899" width="19" bestFit="1" customWidth="1"/>
    <col min="1900" max="1900" width="18.28515625" bestFit="1" customWidth="1"/>
    <col min="1901" max="1901" width="19.5703125" bestFit="1" customWidth="1"/>
    <col min="1902" max="1902" width="19.140625" bestFit="1" customWidth="1"/>
    <col min="1903" max="1903" width="18.42578125" bestFit="1" customWidth="1"/>
    <col min="1904" max="1904" width="19" bestFit="1" customWidth="1"/>
    <col min="1905" max="1905" width="20.7109375" bestFit="1" customWidth="1"/>
    <col min="1906" max="1906" width="23.85546875" bestFit="1" customWidth="1"/>
    <col min="1907" max="1907" width="20" bestFit="1" customWidth="1"/>
    <col min="1908" max="1908" width="23.140625" bestFit="1" customWidth="1"/>
    <col min="1909" max="1909" width="19.7109375" bestFit="1" customWidth="1"/>
    <col min="1910" max="1910" width="22.85546875" bestFit="1" customWidth="1"/>
    <col min="1911" max="1911" width="19.5703125" bestFit="1" customWidth="1"/>
    <col min="1912" max="1912" width="16" bestFit="1" customWidth="1"/>
    <col min="1913" max="1913" width="19" bestFit="1" customWidth="1"/>
    <col min="1914" max="1914" width="19.85546875" bestFit="1" customWidth="1"/>
    <col min="1915" max="1915" width="18.42578125" bestFit="1" customWidth="1"/>
    <col min="1916" max="1916" width="17" bestFit="1" customWidth="1"/>
    <col min="1917" max="1917" width="19" bestFit="1" customWidth="1"/>
    <col min="1918" max="1918" width="14.85546875" bestFit="1" customWidth="1"/>
    <col min="1919" max="1919" width="18.42578125" bestFit="1" customWidth="1"/>
    <col min="1920" max="1920" width="18.7109375" bestFit="1" customWidth="1"/>
    <col min="1921" max="1921" width="22" bestFit="1" customWidth="1"/>
    <col min="1922" max="1922" width="25.140625" bestFit="1" customWidth="1"/>
    <col min="1923" max="1923" width="18.42578125" bestFit="1" customWidth="1"/>
    <col min="1924" max="1924" width="19.28515625" bestFit="1" customWidth="1"/>
    <col min="1925" max="1925" width="18.42578125" bestFit="1" customWidth="1"/>
    <col min="1926" max="1926" width="21.42578125" bestFit="1" customWidth="1"/>
    <col min="1927" max="1927" width="19.85546875" bestFit="1" customWidth="1"/>
    <col min="1928" max="1928" width="23" bestFit="1" customWidth="1"/>
    <col min="1929" max="1929" width="19" bestFit="1" customWidth="1"/>
    <col min="1930" max="1930" width="19.140625" bestFit="1" customWidth="1"/>
    <col min="1931" max="1931" width="18.42578125" bestFit="1" customWidth="1"/>
    <col min="1932" max="1932" width="17.7109375" bestFit="1" customWidth="1"/>
    <col min="1933" max="1933" width="18.42578125" bestFit="1" customWidth="1"/>
    <col min="1934" max="1934" width="17.28515625" bestFit="1" customWidth="1"/>
    <col min="1935" max="1935" width="19" bestFit="1" customWidth="1"/>
    <col min="1936" max="1936" width="18" bestFit="1" customWidth="1"/>
    <col min="1937" max="1937" width="19" bestFit="1" customWidth="1"/>
    <col min="1938" max="1938" width="17.42578125" bestFit="1" customWidth="1"/>
    <col min="1939" max="1939" width="18.42578125" bestFit="1" customWidth="1"/>
    <col min="1940" max="1940" width="21" bestFit="1" customWidth="1"/>
    <col min="1941" max="1941" width="19.28515625" bestFit="1" customWidth="1"/>
    <col min="1942" max="1942" width="22.42578125" bestFit="1" customWidth="1"/>
    <col min="1943" max="1943" width="19" bestFit="1" customWidth="1"/>
    <col min="1944" max="1944" width="19.7109375" bestFit="1" customWidth="1"/>
    <col min="1945" max="1945" width="19.5703125" bestFit="1" customWidth="1"/>
    <col min="1946" max="1946" width="20.42578125" bestFit="1" customWidth="1"/>
    <col min="1947" max="1947" width="18.7109375" bestFit="1" customWidth="1"/>
    <col min="1948" max="1948" width="22" bestFit="1" customWidth="1"/>
    <col min="1949" max="1949" width="19" bestFit="1" customWidth="1"/>
    <col min="1950" max="1950" width="20" bestFit="1" customWidth="1"/>
    <col min="1951" max="1951" width="18.42578125" bestFit="1" customWidth="1"/>
    <col min="1952" max="1952" width="20.28515625" bestFit="1" customWidth="1"/>
    <col min="1953" max="1955" width="19.5703125" bestFit="1" customWidth="1"/>
    <col min="1956" max="1956" width="22.5703125" bestFit="1" customWidth="1"/>
    <col min="1957" max="1957" width="18.42578125" bestFit="1" customWidth="1"/>
    <col min="1958" max="1958" width="17.5703125" bestFit="1" customWidth="1"/>
    <col min="1959" max="1959" width="19.5703125" bestFit="1" customWidth="1"/>
    <col min="1960" max="1960" width="20" bestFit="1" customWidth="1"/>
    <col min="1961" max="1961" width="21.42578125" bestFit="1" customWidth="1"/>
    <col min="1962" max="1962" width="24.5703125" bestFit="1" customWidth="1"/>
    <col min="1963" max="1963" width="21.42578125" bestFit="1" customWidth="1"/>
    <col min="1964" max="1964" width="24.5703125" bestFit="1" customWidth="1"/>
    <col min="1965" max="1965" width="19" bestFit="1" customWidth="1"/>
    <col min="1966" max="1966" width="19.85546875" bestFit="1" customWidth="1"/>
    <col min="1967" max="1967" width="18.42578125" bestFit="1" customWidth="1"/>
    <col min="1968" max="1968" width="18.7109375" bestFit="1" customWidth="1"/>
    <col min="1969" max="1969" width="19.5703125" bestFit="1" customWidth="1"/>
    <col min="1970" max="1970" width="18.42578125" bestFit="1" customWidth="1"/>
    <col min="1971" max="1971" width="19" bestFit="1" customWidth="1"/>
    <col min="1972" max="1972" width="19.42578125" bestFit="1" customWidth="1"/>
    <col min="1973" max="1973" width="19" bestFit="1" customWidth="1"/>
    <col min="1974" max="1974" width="21.5703125" bestFit="1" customWidth="1"/>
    <col min="1975" max="1975" width="18.42578125" bestFit="1" customWidth="1"/>
    <col min="1976" max="1976" width="21.42578125" bestFit="1" customWidth="1"/>
    <col min="1977" max="1977" width="19" bestFit="1" customWidth="1"/>
    <col min="1978" max="1978" width="20.140625" bestFit="1" customWidth="1"/>
    <col min="1979" max="1979" width="19.5703125" bestFit="1" customWidth="1"/>
    <col min="1980" max="1980" width="16.5703125" bestFit="1" customWidth="1"/>
    <col min="1981" max="1982" width="19.5703125" bestFit="1" customWidth="1"/>
    <col min="1983" max="1983" width="18.42578125" bestFit="1" customWidth="1"/>
    <col min="1984" max="1984" width="19.85546875" bestFit="1" customWidth="1"/>
    <col min="1985" max="1985" width="19" bestFit="1" customWidth="1"/>
    <col min="1986" max="1986" width="16" bestFit="1" customWidth="1"/>
    <col min="1987" max="1987" width="19.5703125" bestFit="1" customWidth="1"/>
    <col min="1988" max="1988" width="20.140625" bestFit="1" customWidth="1"/>
    <col min="1989" max="1989" width="18.42578125" bestFit="1" customWidth="1"/>
    <col min="1990" max="1990" width="20.140625" bestFit="1" customWidth="1"/>
    <col min="1991" max="1991" width="18.42578125" bestFit="1" customWidth="1"/>
    <col min="1992" max="1992" width="21.5703125" bestFit="1" customWidth="1"/>
    <col min="1993" max="1993" width="19" bestFit="1" customWidth="1"/>
    <col min="1994" max="1994" width="21" bestFit="1" customWidth="1"/>
    <col min="1995" max="1995" width="18.5703125" bestFit="1" customWidth="1"/>
    <col min="1996" max="1996" width="21.85546875" bestFit="1" customWidth="1"/>
    <col min="1997" max="1999" width="19.5703125" bestFit="1" customWidth="1"/>
    <col min="2000" max="2000" width="16.7109375" bestFit="1" customWidth="1"/>
    <col min="2002" max="2002" width="12.140625" bestFit="1" customWidth="1"/>
    <col min="2003" max="2003" width="11.28515625" bestFit="1" customWidth="1"/>
  </cols>
  <sheetData>
    <row r="1" spans="1:6" x14ac:dyDescent="0.25">
      <c r="A1" t="s">
        <v>22400</v>
      </c>
      <c r="B1" t="s">
        <v>22401</v>
      </c>
      <c r="F1" s="90"/>
    </row>
    <row r="2" spans="1:6" x14ac:dyDescent="0.25">
      <c r="A2" t="s">
        <v>22402</v>
      </c>
      <c r="B2" t="s">
        <v>7</v>
      </c>
      <c r="C2" t="s">
        <v>29</v>
      </c>
      <c r="D2" t="s">
        <v>10</v>
      </c>
      <c r="E2" t="s">
        <v>22403</v>
      </c>
    </row>
    <row r="3" spans="1:6" x14ac:dyDescent="0.25">
      <c r="A3" s="91" t="s">
        <v>22404</v>
      </c>
      <c r="C3">
        <v>799312</v>
      </c>
      <c r="E3">
        <v>799312</v>
      </c>
    </row>
    <row r="4" spans="1:6" x14ac:dyDescent="0.25">
      <c r="A4" s="91" t="s">
        <v>22405</v>
      </c>
      <c r="C4">
        <v>495156</v>
      </c>
      <c r="E4">
        <v>495156</v>
      </c>
    </row>
    <row r="5" spans="1:6" x14ac:dyDescent="0.25">
      <c r="A5" s="91" t="s">
        <v>22406</v>
      </c>
      <c r="D5">
        <v>691255</v>
      </c>
      <c r="E5">
        <v>691255</v>
      </c>
    </row>
    <row r="6" spans="1:6" x14ac:dyDescent="0.25">
      <c r="A6" s="91" t="s">
        <v>22407</v>
      </c>
      <c r="B6">
        <v>638085</v>
      </c>
      <c r="E6">
        <v>638085</v>
      </c>
    </row>
    <row r="7" spans="1:6" x14ac:dyDescent="0.25">
      <c r="A7" s="91" t="s">
        <v>22408</v>
      </c>
      <c r="B7">
        <v>358744</v>
      </c>
      <c r="E7">
        <v>358744</v>
      </c>
    </row>
    <row r="8" spans="1:6" x14ac:dyDescent="0.25">
      <c r="A8" s="91" t="s">
        <v>22409</v>
      </c>
      <c r="D8">
        <v>770020</v>
      </c>
      <c r="E8">
        <v>770020</v>
      </c>
    </row>
    <row r="9" spans="1:6" x14ac:dyDescent="0.25">
      <c r="A9" s="91" t="s">
        <v>22410</v>
      </c>
      <c r="B9">
        <v>451004</v>
      </c>
      <c r="E9">
        <v>451004</v>
      </c>
    </row>
    <row r="10" spans="1:6" x14ac:dyDescent="0.25">
      <c r="A10" s="91" t="s">
        <v>22411</v>
      </c>
      <c r="C10">
        <v>522770</v>
      </c>
      <c r="E10">
        <v>522770</v>
      </c>
    </row>
    <row r="11" spans="1:6" x14ac:dyDescent="0.25">
      <c r="A11" s="91" t="s">
        <v>22412</v>
      </c>
      <c r="D11">
        <v>826741</v>
      </c>
      <c r="E11">
        <v>826741</v>
      </c>
    </row>
    <row r="12" spans="1:6" x14ac:dyDescent="0.25">
      <c r="A12" s="91" t="s">
        <v>22413</v>
      </c>
      <c r="D12">
        <v>705078</v>
      </c>
      <c r="E12">
        <v>705078</v>
      </c>
    </row>
    <row r="13" spans="1:6" x14ac:dyDescent="0.25">
      <c r="A13" s="91" t="s">
        <v>22414</v>
      </c>
      <c r="D13">
        <v>592375</v>
      </c>
      <c r="E13">
        <v>592375</v>
      </c>
    </row>
    <row r="14" spans="1:6" x14ac:dyDescent="0.25">
      <c r="A14" s="91" t="s">
        <v>22415</v>
      </c>
      <c r="D14">
        <v>694951</v>
      </c>
      <c r="E14">
        <v>694951</v>
      </c>
    </row>
    <row r="15" spans="1:6" x14ac:dyDescent="0.25">
      <c r="A15" s="91" t="s">
        <v>22416</v>
      </c>
      <c r="D15">
        <v>777666</v>
      </c>
      <c r="E15">
        <v>777666</v>
      </c>
    </row>
    <row r="16" spans="1:6" x14ac:dyDescent="0.25">
      <c r="A16" s="91" t="s">
        <v>22417</v>
      </c>
      <c r="D16">
        <v>668998</v>
      </c>
      <c r="E16">
        <v>668998</v>
      </c>
    </row>
    <row r="17" spans="1:5" x14ac:dyDescent="0.25">
      <c r="A17" s="91" t="s">
        <v>22418</v>
      </c>
      <c r="B17">
        <v>471173</v>
      </c>
      <c r="E17">
        <v>471173</v>
      </c>
    </row>
    <row r="18" spans="1:5" x14ac:dyDescent="0.25">
      <c r="A18" s="91" t="s">
        <v>22419</v>
      </c>
      <c r="B18">
        <v>769447</v>
      </c>
      <c r="E18">
        <v>769447</v>
      </c>
    </row>
    <row r="19" spans="1:5" x14ac:dyDescent="0.25">
      <c r="A19" s="91" t="s">
        <v>22397</v>
      </c>
      <c r="B19">
        <v>959690</v>
      </c>
      <c r="E19">
        <v>959690</v>
      </c>
    </row>
    <row r="20" spans="1:5" x14ac:dyDescent="0.25">
      <c r="A20" s="91" t="s">
        <v>22420</v>
      </c>
      <c r="B20">
        <v>656054</v>
      </c>
      <c r="E20">
        <v>656054</v>
      </c>
    </row>
    <row r="21" spans="1:5" x14ac:dyDescent="0.25">
      <c r="A21" s="91" t="s">
        <v>22421</v>
      </c>
      <c r="D21">
        <v>825594</v>
      </c>
      <c r="E21">
        <v>825594</v>
      </c>
    </row>
    <row r="22" spans="1:5" x14ac:dyDescent="0.25">
      <c r="A22" s="91" t="s">
        <v>22422</v>
      </c>
      <c r="C22">
        <v>607215</v>
      </c>
      <c r="E22">
        <v>607215</v>
      </c>
    </row>
    <row r="23" spans="1:5" x14ac:dyDescent="0.25">
      <c r="A23" s="91" t="s">
        <v>22423</v>
      </c>
      <c r="D23">
        <v>516813</v>
      </c>
      <c r="E23">
        <v>516813</v>
      </c>
    </row>
    <row r="24" spans="1:5" x14ac:dyDescent="0.25">
      <c r="A24" s="91" t="s">
        <v>22424</v>
      </c>
      <c r="B24">
        <v>922938</v>
      </c>
      <c r="E24">
        <v>922938</v>
      </c>
    </row>
    <row r="25" spans="1:5" x14ac:dyDescent="0.25">
      <c r="A25" s="91" t="s">
        <v>22425</v>
      </c>
      <c r="D25">
        <v>616018</v>
      </c>
      <c r="E25">
        <v>616018</v>
      </c>
    </row>
    <row r="26" spans="1:5" x14ac:dyDescent="0.25">
      <c r="A26" s="91" t="s">
        <v>22426</v>
      </c>
      <c r="D26">
        <v>622265</v>
      </c>
      <c r="E26">
        <v>622265</v>
      </c>
    </row>
    <row r="27" spans="1:5" x14ac:dyDescent="0.25">
      <c r="A27" s="91" t="s">
        <v>22427</v>
      </c>
      <c r="C27">
        <v>735042</v>
      </c>
      <c r="E27">
        <v>735042</v>
      </c>
    </row>
    <row r="28" spans="1:5" x14ac:dyDescent="0.25">
      <c r="A28" s="91" t="s">
        <v>22428</v>
      </c>
      <c r="D28">
        <v>774576</v>
      </c>
      <c r="E28">
        <v>774576</v>
      </c>
    </row>
    <row r="29" spans="1:5" x14ac:dyDescent="0.25">
      <c r="A29" s="91" t="s">
        <v>22429</v>
      </c>
      <c r="C29">
        <v>891412</v>
      </c>
      <c r="E29">
        <v>891412</v>
      </c>
    </row>
    <row r="30" spans="1:5" x14ac:dyDescent="0.25">
      <c r="A30" s="91" t="s">
        <v>22430</v>
      </c>
      <c r="B30">
        <v>436976</v>
      </c>
      <c r="E30">
        <v>436976</v>
      </c>
    </row>
    <row r="31" spans="1:5" x14ac:dyDescent="0.25">
      <c r="A31" s="91" t="s">
        <v>22431</v>
      </c>
      <c r="B31">
        <v>654637</v>
      </c>
      <c r="E31">
        <v>654637</v>
      </c>
    </row>
    <row r="32" spans="1:5" x14ac:dyDescent="0.25">
      <c r="A32" s="91" t="s">
        <v>22432</v>
      </c>
      <c r="B32">
        <v>921445</v>
      </c>
      <c r="E32">
        <v>921445</v>
      </c>
    </row>
    <row r="33" spans="1:5" x14ac:dyDescent="0.25">
      <c r="A33" s="91" t="s">
        <v>22433</v>
      </c>
      <c r="C33">
        <v>655607</v>
      </c>
      <c r="E33">
        <v>655607</v>
      </c>
    </row>
    <row r="34" spans="1:5" x14ac:dyDescent="0.25">
      <c r="A34" s="91" t="s">
        <v>22434</v>
      </c>
      <c r="D34">
        <v>1143315</v>
      </c>
      <c r="E34">
        <v>1143315</v>
      </c>
    </row>
    <row r="35" spans="1:5" x14ac:dyDescent="0.25">
      <c r="A35" s="91" t="s">
        <v>22435</v>
      </c>
      <c r="C35">
        <v>839903</v>
      </c>
      <c r="E35">
        <v>839903</v>
      </c>
    </row>
    <row r="36" spans="1:5" x14ac:dyDescent="0.25">
      <c r="A36" s="91" t="s">
        <v>22436</v>
      </c>
      <c r="D36">
        <v>488220</v>
      </c>
      <c r="E36">
        <v>488220</v>
      </c>
    </row>
    <row r="37" spans="1:5" x14ac:dyDescent="0.25">
      <c r="A37" s="91" t="s">
        <v>22437</v>
      </c>
      <c r="B37">
        <v>742123</v>
      </c>
      <c r="E37">
        <v>742123</v>
      </c>
    </row>
    <row r="38" spans="1:5" x14ac:dyDescent="0.25">
      <c r="A38" s="91" t="s">
        <v>22438</v>
      </c>
      <c r="D38">
        <v>895664</v>
      </c>
      <c r="E38">
        <v>895664</v>
      </c>
    </row>
    <row r="39" spans="1:5" x14ac:dyDescent="0.25">
      <c r="A39" s="91" t="s">
        <v>22439</v>
      </c>
      <c r="C39">
        <v>787252</v>
      </c>
      <c r="E39">
        <v>787252</v>
      </c>
    </row>
    <row r="40" spans="1:5" x14ac:dyDescent="0.25">
      <c r="A40" s="91" t="s">
        <v>22440</v>
      </c>
      <c r="D40">
        <v>753098</v>
      </c>
      <c r="E40">
        <v>753098</v>
      </c>
    </row>
    <row r="41" spans="1:5" x14ac:dyDescent="0.25">
      <c r="A41" s="91" t="s">
        <v>22441</v>
      </c>
      <c r="B41">
        <v>730595</v>
      </c>
      <c r="E41">
        <v>730595</v>
      </c>
    </row>
    <row r="42" spans="1:5" x14ac:dyDescent="0.25">
      <c r="A42" s="91" t="s">
        <v>22442</v>
      </c>
      <c r="D42">
        <v>713679</v>
      </c>
      <c r="E42">
        <v>713679</v>
      </c>
    </row>
    <row r="43" spans="1:5" x14ac:dyDescent="0.25">
      <c r="A43" s="91" t="s">
        <v>22443</v>
      </c>
      <c r="B43">
        <v>742207</v>
      </c>
      <c r="E43">
        <v>742207</v>
      </c>
    </row>
    <row r="44" spans="1:5" x14ac:dyDescent="0.25">
      <c r="A44" s="91" t="s">
        <v>22444</v>
      </c>
      <c r="B44">
        <v>713140</v>
      </c>
      <c r="E44">
        <v>713140</v>
      </c>
    </row>
    <row r="45" spans="1:5" x14ac:dyDescent="0.25">
      <c r="A45" s="91" t="s">
        <v>22445</v>
      </c>
      <c r="D45">
        <v>865380</v>
      </c>
      <c r="E45">
        <v>865380</v>
      </c>
    </row>
    <row r="46" spans="1:5" x14ac:dyDescent="0.25">
      <c r="A46" s="91" t="s">
        <v>22446</v>
      </c>
      <c r="C46">
        <v>438197</v>
      </c>
      <c r="E46">
        <v>438197</v>
      </c>
    </row>
    <row r="47" spans="1:5" x14ac:dyDescent="0.25">
      <c r="A47" s="91" t="s">
        <v>22447</v>
      </c>
      <c r="B47">
        <v>734794</v>
      </c>
      <c r="E47">
        <v>734794</v>
      </c>
    </row>
    <row r="48" spans="1:5" x14ac:dyDescent="0.25">
      <c r="A48" s="91" t="s">
        <v>22448</v>
      </c>
      <c r="D48">
        <v>805015</v>
      </c>
      <c r="E48">
        <v>805015</v>
      </c>
    </row>
    <row r="49" spans="1:5" x14ac:dyDescent="0.25">
      <c r="A49" s="91" t="s">
        <v>22449</v>
      </c>
      <c r="C49">
        <v>760093</v>
      </c>
      <c r="E49">
        <v>760093</v>
      </c>
    </row>
    <row r="50" spans="1:5" x14ac:dyDescent="0.25">
      <c r="A50" s="91" t="s">
        <v>22450</v>
      </c>
      <c r="D50">
        <v>697983</v>
      </c>
      <c r="E50">
        <v>697983</v>
      </c>
    </row>
    <row r="51" spans="1:5" x14ac:dyDescent="0.25">
      <c r="A51" s="91" t="s">
        <v>22451</v>
      </c>
      <c r="C51">
        <v>762478</v>
      </c>
      <c r="E51">
        <v>762478</v>
      </c>
    </row>
    <row r="52" spans="1:5" x14ac:dyDescent="0.25">
      <c r="A52" s="91" t="s">
        <v>22452</v>
      </c>
      <c r="B52">
        <v>585405</v>
      </c>
      <c r="E52">
        <v>585405</v>
      </c>
    </row>
    <row r="53" spans="1:5" x14ac:dyDescent="0.25">
      <c r="A53" s="91" t="s">
        <v>22453</v>
      </c>
      <c r="D53">
        <v>573420</v>
      </c>
      <c r="E53">
        <v>573420</v>
      </c>
    </row>
    <row r="54" spans="1:5" x14ac:dyDescent="0.25">
      <c r="A54" s="91" t="s">
        <v>22454</v>
      </c>
      <c r="D54">
        <v>681974</v>
      </c>
      <c r="E54">
        <v>681974</v>
      </c>
    </row>
    <row r="55" spans="1:5" x14ac:dyDescent="0.25">
      <c r="A55" s="91" t="s">
        <v>22455</v>
      </c>
      <c r="B55">
        <v>528218</v>
      </c>
      <c r="E55">
        <v>528218</v>
      </c>
    </row>
    <row r="56" spans="1:5" x14ac:dyDescent="0.25">
      <c r="A56" s="91" t="s">
        <v>22456</v>
      </c>
      <c r="C56">
        <v>993865</v>
      </c>
      <c r="E56">
        <v>993865</v>
      </c>
    </row>
    <row r="57" spans="1:5" x14ac:dyDescent="0.25">
      <c r="A57" s="91" t="s">
        <v>22457</v>
      </c>
      <c r="C57">
        <v>826675</v>
      </c>
      <c r="E57">
        <v>826675</v>
      </c>
    </row>
    <row r="58" spans="1:5" x14ac:dyDescent="0.25">
      <c r="A58" s="91" t="s">
        <v>22458</v>
      </c>
      <c r="B58">
        <v>691612</v>
      </c>
      <c r="E58">
        <v>691612</v>
      </c>
    </row>
    <row r="59" spans="1:5" x14ac:dyDescent="0.25">
      <c r="A59" s="91" t="s">
        <v>22459</v>
      </c>
      <c r="D59">
        <v>483274</v>
      </c>
      <c r="E59">
        <v>483274</v>
      </c>
    </row>
    <row r="60" spans="1:5" x14ac:dyDescent="0.25">
      <c r="A60" s="91" t="s">
        <v>22460</v>
      </c>
      <c r="D60">
        <v>1096136</v>
      </c>
      <c r="E60">
        <v>1096136</v>
      </c>
    </row>
    <row r="61" spans="1:5" x14ac:dyDescent="0.25">
      <c r="A61" s="91" t="s">
        <v>22461</v>
      </c>
      <c r="B61">
        <v>518943</v>
      </c>
      <c r="E61">
        <v>518943</v>
      </c>
    </row>
    <row r="62" spans="1:5" x14ac:dyDescent="0.25">
      <c r="A62" s="91" t="s">
        <v>22462</v>
      </c>
      <c r="B62">
        <v>632643</v>
      </c>
      <c r="E62">
        <v>632643</v>
      </c>
    </row>
    <row r="63" spans="1:5" x14ac:dyDescent="0.25">
      <c r="A63" s="91" t="s">
        <v>22463</v>
      </c>
      <c r="D63">
        <v>540083</v>
      </c>
      <c r="E63">
        <v>540083</v>
      </c>
    </row>
    <row r="64" spans="1:5" x14ac:dyDescent="0.25">
      <c r="A64" s="91" t="s">
        <v>22464</v>
      </c>
      <c r="B64">
        <v>567584</v>
      </c>
      <c r="E64">
        <v>567584</v>
      </c>
    </row>
    <row r="65" spans="1:5" x14ac:dyDescent="0.25">
      <c r="A65" s="91" t="s">
        <v>22465</v>
      </c>
      <c r="C65">
        <v>914088</v>
      </c>
      <c r="E65">
        <v>914088</v>
      </c>
    </row>
    <row r="66" spans="1:5" x14ac:dyDescent="0.25">
      <c r="A66" s="91" t="s">
        <v>22466</v>
      </c>
      <c r="C66">
        <v>841032</v>
      </c>
      <c r="E66">
        <v>841032</v>
      </c>
    </row>
    <row r="67" spans="1:5" x14ac:dyDescent="0.25">
      <c r="A67" s="91" t="s">
        <v>22467</v>
      </c>
      <c r="D67">
        <v>828299</v>
      </c>
      <c r="E67">
        <v>828299</v>
      </c>
    </row>
    <row r="68" spans="1:5" x14ac:dyDescent="0.25">
      <c r="A68" s="91" t="s">
        <v>22468</v>
      </c>
      <c r="C68">
        <v>600509</v>
      </c>
      <c r="E68">
        <v>600509</v>
      </c>
    </row>
    <row r="69" spans="1:5" x14ac:dyDescent="0.25">
      <c r="A69" s="91" t="s">
        <v>22469</v>
      </c>
      <c r="C69">
        <v>601796</v>
      </c>
      <c r="E69">
        <v>601796</v>
      </c>
    </row>
    <row r="70" spans="1:5" x14ac:dyDescent="0.25">
      <c r="A70" s="91" t="s">
        <v>22470</v>
      </c>
      <c r="C70">
        <v>342782</v>
      </c>
      <c r="E70">
        <v>342782</v>
      </c>
    </row>
    <row r="71" spans="1:5" x14ac:dyDescent="0.25">
      <c r="A71" s="91" t="s">
        <v>22471</v>
      </c>
      <c r="D71">
        <v>459709</v>
      </c>
      <c r="E71">
        <v>459709</v>
      </c>
    </row>
    <row r="72" spans="1:5" x14ac:dyDescent="0.25">
      <c r="A72" s="91" t="s">
        <v>22472</v>
      </c>
      <c r="B72">
        <v>952586</v>
      </c>
      <c r="E72">
        <v>952586</v>
      </c>
    </row>
    <row r="73" spans="1:5" x14ac:dyDescent="0.25">
      <c r="A73" s="91" t="s">
        <v>22473</v>
      </c>
      <c r="D73">
        <v>1065238</v>
      </c>
      <c r="E73">
        <v>1065238</v>
      </c>
    </row>
    <row r="74" spans="1:5" x14ac:dyDescent="0.25">
      <c r="A74" s="91" t="s">
        <v>22474</v>
      </c>
      <c r="C74">
        <v>723173</v>
      </c>
      <c r="E74">
        <v>723173</v>
      </c>
    </row>
    <row r="75" spans="1:5" x14ac:dyDescent="0.25">
      <c r="A75" s="91" t="s">
        <v>22475</v>
      </c>
      <c r="C75">
        <v>487994</v>
      </c>
      <c r="E75">
        <v>487994</v>
      </c>
    </row>
    <row r="76" spans="1:5" x14ac:dyDescent="0.25">
      <c r="A76" s="91" t="s">
        <v>22476</v>
      </c>
      <c r="D76">
        <v>779353</v>
      </c>
      <c r="E76">
        <v>779353</v>
      </c>
    </row>
    <row r="77" spans="1:5" x14ac:dyDescent="0.25">
      <c r="A77" s="91" t="s">
        <v>22477</v>
      </c>
      <c r="B77">
        <v>613556</v>
      </c>
      <c r="E77">
        <v>613556</v>
      </c>
    </row>
    <row r="78" spans="1:5" x14ac:dyDescent="0.25">
      <c r="A78" s="91" t="s">
        <v>22478</v>
      </c>
      <c r="B78">
        <v>837529</v>
      </c>
      <c r="E78">
        <v>837529</v>
      </c>
    </row>
    <row r="79" spans="1:5" x14ac:dyDescent="0.25">
      <c r="A79" s="91" t="s">
        <v>22479</v>
      </c>
      <c r="B79">
        <v>695501</v>
      </c>
      <c r="E79">
        <v>695501</v>
      </c>
    </row>
    <row r="80" spans="1:5" x14ac:dyDescent="0.25">
      <c r="A80" s="91" t="s">
        <v>22480</v>
      </c>
      <c r="C80">
        <v>794819</v>
      </c>
      <c r="E80">
        <v>794819</v>
      </c>
    </row>
    <row r="81" spans="1:5" x14ac:dyDescent="0.25">
      <c r="A81" s="91" t="s">
        <v>22365</v>
      </c>
      <c r="B81">
        <v>792386</v>
      </c>
      <c r="E81">
        <v>792386</v>
      </c>
    </row>
    <row r="82" spans="1:5" x14ac:dyDescent="0.25">
      <c r="A82" s="91" t="s">
        <v>22481</v>
      </c>
      <c r="C82">
        <v>604575</v>
      </c>
      <c r="E82">
        <v>604575</v>
      </c>
    </row>
    <row r="83" spans="1:5" x14ac:dyDescent="0.25">
      <c r="A83" s="91" t="s">
        <v>22482</v>
      </c>
      <c r="D83">
        <v>303175</v>
      </c>
      <c r="E83">
        <v>303175</v>
      </c>
    </row>
    <row r="84" spans="1:5" x14ac:dyDescent="0.25">
      <c r="A84" s="91" t="s">
        <v>22483</v>
      </c>
      <c r="D84">
        <v>520983</v>
      </c>
      <c r="E84">
        <v>520983</v>
      </c>
    </row>
    <row r="85" spans="1:5" x14ac:dyDescent="0.25">
      <c r="A85" s="91" t="s">
        <v>22484</v>
      </c>
      <c r="C85">
        <v>871918</v>
      </c>
      <c r="E85">
        <v>871918</v>
      </c>
    </row>
    <row r="86" spans="1:5" x14ac:dyDescent="0.25">
      <c r="A86" s="91" t="s">
        <v>22485</v>
      </c>
      <c r="C86">
        <v>607881</v>
      </c>
      <c r="E86">
        <v>607881</v>
      </c>
    </row>
    <row r="87" spans="1:5" x14ac:dyDescent="0.25">
      <c r="A87" s="91" t="s">
        <v>22486</v>
      </c>
      <c r="C87">
        <v>518120</v>
      </c>
      <c r="E87">
        <v>518120</v>
      </c>
    </row>
    <row r="88" spans="1:5" x14ac:dyDescent="0.25">
      <c r="A88" s="91" t="s">
        <v>22487</v>
      </c>
      <c r="C88">
        <v>920165</v>
      </c>
      <c r="E88">
        <v>920165</v>
      </c>
    </row>
    <row r="89" spans="1:5" x14ac:dyDescent="0.25">
      <c r="A89" s="91" t="s">
        <v>22488</v>
      </c>
      <c r="D89">
        <v>869554</v>
      </c>
      <c r="E89">
        <v>869554</v>
      </c>
    </row>
    <row r="90" spans="1:5" x14ac:dyDescent="0.25">
      <c r="A90" s="91" t="s">
        <v>22489</v>
      </c>
      <c r="C90">
        <v>602312</v>
      </c>
      <c r="E90">
        <v>602312</v>
      </c>
    </row>
    <row r="91" spans="1:5" x14ac:dyDescent="0.25">
      <c r="A91" s="91" t="s">
        <v>22490</v>
      </c>
      <c r="C91">
        <v>605237</v>
      </c>
      <c r="E91">
        <v>605237</v>
      </c>
    </row>
    <row r="92" spans="1:5" x14ac:dyDescent="0.25">
      <c r="A92" s="91" t="s">
        <v>22491</v>
      </c>
      <c r="B92">
        <v>563706</v>
      </c>
      <c r="E92">
        <v>563706</v>
      </c>
    </row>
    <row r="93" spans="1:5" x14ac:dyDescent="0.25">
      <c r="A93" s="91" t="s">
        <v>22492</v>
      </c>
      <c r="C93">
        <v>932920</v>
      </c>
      <c r="E93">
        <v>932920</v>
      </c>
    </row>
    <row r="94" spans="1:5" x14ac:dyDescent="0.25">
      <c r="A94" s="91" t="s">
        <v>22493</v>
      </c>
      <c r="B94">
        <v>730353</v>
      </c>
      <c r="E94">
        <v>730353</v>
      </c>
    </row>
    <row r="95" spans="1:5" x14ac:dyDescent="0.25">
      <c r="A95" s="91" t="s">
        <v>22494</v>
      </c>
      <c r="D95">
        <v>1172724</v>
      </c>
      <c r="E95">
        <v>1172724</v>
      </c>
    </row>
    <row r="96" spans="1:5" x14ac:dyDescent="0.25">
      <c r="A96" s="91" t="s">
        <v>22495</v>
      </c>
      <c r="D96">
        <v>930406</v>
      </c>
      <c r="E96">
        <v>930406</v>
      </c>
    </row>
    <row r="97" spans="1:5" x14ac:dyDescent="0.25">
      <c r="A97" s="91" t="s">
        <v>22496</v>
      </c>
      <c r="B97">
        <v>937682</v>
      </c>
      <c r="E97">
        <v>937682</v>
      </c>
    </row>
    <row r="98" spans="1:5" x14ac:dyDescent="0.25">
      <c r="A98" s="91" t="s">
        <v>22497</v>
      </c>
      <c r="C98">
        <v>867952</v>
      </c>
      <c r="E98">
        <v>867952</v>
      </c>
    </row>
    <row r="99" spans="1:5" x14ac:dyDescent="0.25">
      <c r="A99" s="91" t="s">
        <v>22498</v>
      </c>
      <c r="C99">
        <v>642536</v>
      </c>
      <c r="E99">
        <v>642536</v>
      </c>
    </row>
    <row r="100" spans="1:5" x14ac:dyDescent="0.25">
      <c r="A100" s="91" t="s">
        <v>22499</v>
      </c>
      <c r="C100">
        <v>1092533</v>
      </c>
      <c r="E100">
        <v>1092533</v>
      </c>
    </row>
    <row r="101" spans="1:5" x14ac:dyDescent="0.25">
      <c r="A101" s="91" t="s">
        <v>22500</v>
      </c>
      <c r="B101">
        <v>637085</v>
      </c>
      <c r="E101">
        <v>637085</v>
      </c>
    </row>
    <row r="102" spans="1:5" x14ac:dyDescent="0.25">
      <c r="A102" s="91" t="s">
        <v>22501</v>
      </c>
      <c r="C102">
        <v>778958</v>
      </c>
      <c r="E102">
        <v>778958</v>
      </c>
    </row>
    <row r="103" spans="1:5" x14ac:dyDescent="0.25">
      <c r="A103" s="91" t="s">
        <v>22502</v>
      </c>
      <c r="D103">
        <v>954130</v>
      </c>
      <c r="E103">
        <v>954130</v>
      </c>
    </row>
    <row r="104" spans="1:5" x14ac:dyDescent="0.25">
      <c r="A104" s="91" t="s">
        <v>22503</v>
      </c>
      <c r="B104">
        <v>1025894</v>
      </c>
      <c r="E104">
        <v>1025894</v>
      </c>
    </row>
    <row r="105" spans="1:5" x14ac:dyDescent="0.25">
      <c r="A105" s="91" t="s">
        <v>22504</v>
      </c>
      <c r="D105">
        <v>596012</v>
      </c>
      <c r="E105">
        <v>596012</v>
      </c>
    </row>
    <row r="106" spans="1:5" x14ac:dyDescent="0.25">
      <c r="A106" s="91" t="s">
        <v>22505</v>
      </c>
      <c r="C106">
        <v>492390</v>
      </c>
      <c r="E106">
        <v>492390</v>
      </c>
    </row>
    <row r="107" spans="1:5" x14ac:dyDescent="0.25">
      <c r="A107" s="91" t="s">
        <v>22506</v>
      </c>
      <c r="B107">
        <v>733725</v>
      </c>
      <c r="E107">
        <v>733725</v>
      </c>
    </row>
    <row r="108" spans="1:5" x14ac:dyDescent="0.25">
      <c r="A108" s="91" t="s">
        <v>22507</v>
      </c>
      <c r="C108">
        <v>804790</v>
      </c>
      <c r="E108">
        <v>804790</v>
      </c>
    </row>
    <row r="109" spans="1:5" x14ac:dyDescent="0.25">
      <c r="A109" s="91" t="s">
        <v>22508</v>
      </c>
      <c r="C109">
        <v>848914</v>
      </c>
      <c r="E109">
        <v>848914</v>
      </c>
    </row>
    <row r="110" spans="1:5" x14ac:dyDescent="0.25">
      <c r="A110" s="91" t="s">
        <v>22509</v>
      </c>
      <c r="D110">
        <v>737684</v>
      </c>
      <c r="E110">
        <v>737684</v>
      </c>
    </row>
    <row r="111" spans="1:5" x14ac:dyDescent="0.25">
      <c r="A111" s="91" t="s">
        <v>22510</v>
      </c>
      <c r="B111">
        <v>724029</v>
      </c>
      <c r="E111">
        <v>724029</v>
      </c>
    </row>
    <row r="112" spans="1:5" x14ac:dyDescent="0.25">
      <c r="A112" s="91" t="s">
        <v>22511</v>
      </c>
      <c r="C112">
        <v>580579</v>
      </c>
      <c r="E112">
        <v>580579</v>
      </c>
    </row>
    <row r="113" spans="1:5" x14ac:dyDescent="0.25">
      <c r="A113" s="91" t="s">
        <v>22512</v>
      </c>
      <c r="D113">
        <v>445257</v>
      </c>
      <c r="E113">
        <v>445257</v>
      </c>
    </row>
    <row r="114" spans="1:5" x14ac:dyDescent="0.25">
      <c r="A114" s="91" t="s">
        <v>22513</v>
      </c>
      <c r="D114">
        <v>842895</v>
      </c>
      <c r="E114">
        <v>842895</v>
      </c>
    </row>
    <row r="115" spans="1:5" x14ac:dyDescent="0.25">
      <c r="A115" s="91" t="s">
        <v>22514</v>
      </c>
      <c r="D115">
        <v>727563</v>
      </c>
      <c r="E115">
        <v>727563</v>
      </c>
    </row>
    <row r="116" spans="1:5" x14ac:dyDescent="0.25">
      <c r="A116" s="91" t="s">
        <v>22515</v>
      </c>
      <c r="C116">
        <v>594518</v>
      </c>
      <c r="E116">
        <v>594518</v>
      </c>
    </row>
    <row r="117" spans="1:5" x14ac:dyDescent="0.25">
      <c r="A117" s="91" t="s">
        <v>22516</v>
      </c>
      <c r="B117">
        <v>739737</v>
      </c>
      <c r="E117">
        <v>739737</v>
      </c>
    </row>
    <row r="118" spans="1:5" x14ac:dyDescent="0.25">
      <c r="A118" s="91" t="s">
        <v>22517</v>
      </c>
      <c r="C118">
        <v>1259829</v>
      </c>
      <c r="E118">
        <v>1259829</v>
      </c>
    </row>
    <row r="119" spans="1:5" x14ac:dyDescent="0.25">
      <c r="A119" s="91" t="s">
        <v>22518</v>
      </c>
      <c r="C119">
        <v>412896</v>
      </c>
      <c r="E119">
        <v>412896</v>
      </c>
    </row>
    <row r="120" spans="1:5" x14ac:dyDescent="0.25">
      <c r="A120" s="91" t="s">
        <v>22519</v>
      </c>
      <c r="C120">
        <v>666454</v>
      </c>
      <c r="E120">
        <v>666454</v>
      </c>
    </row>
    <row r="121" spans="1:5" x14ac:dyDescent="0.25">
      <c r="A121" s="91" t="s">
        <v>22520</v>
      </c>
      <c r="C121">
        <v>542057</v>
      </c>
      <c r="E121">
        <v>542057</v>
      </c>
    </row>
    <row r="122" spans="1:5" x14ac:dyDescent="0.25">
      <c r="A122" s="91" t="s">
        <v>22521</v>
      </c>
      <c r="D122">
        <v>929293</v>
      </c>
      <c r="E122">
        <v>929293</v>
      </c>
    </row>
    <row r="123" spans="1:5" x14ac:dyDescent="0.25">
      <c r="A123" s="91" t="s">
        <v>22522</v>
      </c>
      <c r="D123">
        <v>720527</v>
      </c>
      <c r="E123">
        <v>720527</v>
      </c>
    </row>
    <row r="124" spans="1:5" x14ac:dyDescent="0.25">
      <c r="A124" s="91" t="s">
        <v>22523</v>
      </c>
      <c r="B124">
        <v>792341</v>
      </c>
      <c r="E124">
        <v>792341</v>
      </c>
    </row>
    <row r="125" spans="1:5" x14ac:dyDescent="0.25">
      <c r="A125" s="91" t="s">
        <v>22524</v>
      </c>
      <c r="C125">
        <v>895634</v>
      </c>
      <c r="E125">
        <v>895634</v>
      </c>
    </row>
    <row r="126" spans="1:5" x14ac:dyDescent="0.25">
      <c r="A126" s="91" t="s">
        <v>22525</v>
      </c>
      <c r="B126">
        <v>751419</v>
      </c>
      <c r="E126">
        <v>751419</v>
      </c>
    </row>
    <row r="127" spans="1:5" x14ac:dyDescent="0.25">
      <c r="A127" s="91" t="s">
        <v>22526</v>
      </c>
      <c r="B127">
        <v>652389</v>
      </c>
      <c r="E127">
        <v>652389</v>
      </c>
    </row>
    <row r="128" spans="1:5" x14ac:dyDescent="0.25">
      <c r="A128" s="91" t="s">
        <v>22527</v>
      </c>
      <c r="C128">
        <v>724529</v>
      </c>
      <c r="E128">
        <v>724529</v>
      </c>
    </row>
    <row r="129" spans="1:5" x14ac:dyDescent="0.25">
      <c r="A129" s="91" t="s">
        <v>22528</v>
      </c>
      <c r="B129">
        <v>661132</v>
      </c>
      <c r="E129">
        <v>661132</v>
      </c>
    </row>
    <row r="130" spans="1:5" x14ac:dyDescent="0.25">
      <c r="A130" s="91" t="s">
        <v>22529</v>
      </c>
      <c r="C130">
        <v>602144</v>
      </c>
      <c r="E130">
        <v>602144</v>
      </c>
    </row>
    <row r="131" spans="1:5" x14ac:dyDescent="0.25">
      <c r="A131" s="91" t="s">
        <v>22530</v>
      </c>
      <c r="D131">
        <v>486361</v>
      </c>
      <c r="E131">
        <v>486361</v>
      </c>
    </row>
    <row r="132" spans="1:5" x14ac:dyDescent="0.25">
      <c r="A132" s="91" t="s">
        <v>22531</v>
      </c>
      <c r="B132">
        <v>578752</v>
      </c>
      <c r="E132">
        <v>578752</v>
      </c>
    </row>
    <row r="133" spans="1:5" x14ac:dyDescent="0.25">
      <c r="A133" s="91" t="s">
        <v>22532</v>
      </c>
      <c r="C133">
        <v>593443</v>
      </c>
      <c r="E133">
        <v>593443</v>
      </c>
    </row>
    <row r="134" spans="1:5" x14ac:dyDescent="0.25">
      <c r="A134" s="91" t="s">
        <v>22398</v>
      </c>
      <c r="B134">
        <v>919261</v>
      </c>
      <c r="E134">
        <v>919261</v>
      </c>
    </row>
    <row r="135" spans="1:5" x14ac:dyDescent="0.25">
      <c r="A135" s="91" t="s">
        <v>22533</v>
      </c>
      <c r="D135">
        <v>742017</v>
      </c>
      <c r="E135">
        <v>742017</v>
      </c>
    </row>
    <row r="136" spans="1:5" x14ac:dyDescent="0.25">
      <c r="A136" s="91" t="s">
        <v>22534</v>
      </c>
      <c r="D136">
        <v>588818</v>
      </c>
      <c r="E136">
        <v>588818</v>
      </c>
    </row>
    <row r="137" spans="1:5" x14ac:dyDescent="0.25">
      <c r="A137" s="91" t="s">
        <v>22535</v>
      </c>
      <c r="C137">
        <v>457979</v>
      </c>
      <c r="E137">
        <v>457979</v>
      </c>
    </row>
    <row r="138" spans="1:5" x14ac:dyDescent="0.25">
      <c r="A138" s="91" t="s">
        <v>22536</v>
      </c>
      <c r="B138">
        <v>732653</v>
      </c>
      <c r="E138">
        <v>732653</v>
      </c>
    </row>
    <row r="139" spans="1:5" x14ac:dyDescent="0.25">
      <c r="A139" s="91" t="s">
        <v>22537</v>
      </c>
      <c r="B139">
        <v>715285</v>
      </c>
      <c r="E139">
        <v>715285</v>
      </c>
    </row>
    <row r="140" spans="1:5" x14ac:dyDescent="0.25">
      <c r="A140" s="91" t="s">
        <v>22538</v>
      </c>
      <c r="D140">
        <v>1074426</v>
      </c>
      <c r="E140">
        <v>1074426</v>
      </c>
    </row>
    <row r="141" spans="1:5" x14ac:dyDescent="0.25">
      <c r="A141" s="91" t="s">
        <v>22539</v>
      </c>
      <c r="D141">
        <v>724454</v>
      </c>
      <c r="E141">
        <v>724454</v>
      </c>
    </row>
    <row r="142" spans="1:5" x14ac:dyDescent="0.25">
      <c r="A142" s="91" t="s">
        <v>22540</v>
      </c>
      <c r="B142">
        <v>472412</v>
      </c>
      <c r="E142">
        <v>472412</v>
      </c>
    </row>
    <row r="143" spans="1:5" x14ac:dyDescent="0.25">
      <c r="A143" s="91" t="s">
        <v>22541</v>
      </c>
      <c r="D143">
        <v>858970</v>
      </c>
      <c r="E143">
        <v>858970</v>
      </c>
    </row>
    <row r="144" spans="1:5" x14ac:dyDescent="0.25">
      <c r="A144" s="91" t="s">
        <v>22542</v>
      </c>
      <c r="B144">
        <v>820679</v>
      </c>
      <c r="E144">
        <v>820679</v>
      </c>
    </row>
    <row r="145" spans="1:5" x14ac:dyDescent="0.25">
      <c r="A145" s="91" t="s">
        <v>22543</v>
      </c>
      <c r="D145">
        <v>540781</v>
      </c>
      <c r="E145">
        <v>540781</v>
      </c>
    </row>
    <row r="146" spans="1:5" x14ac:dyDescent="0.25">
      <c r="A146" s="91" t="s">
        <v>22544</v>
      </c>
      <c r="B146">
        <v>762516</v>
      </c>
      <c r="E146">
        <v>762516</v>
      </c>
    </row>
    <row r="147" spans="1:5" x14ac:dyDescent="0.25">
      <c r="A147" s="91" t="s">
        <v>22545</v>
      </c>
      <c r="B147">
        <v>778272</v>
      </c>
      <c r="E147">
        <v>778272</v>
      </c>
    </row>
    <row r="148" spans="1:5" x14ac:dyDescent="0.25">
      <c r="A148" s="91" t="s">
        <v>22546</v>
      </c>
      <c r="D148">
        <v>833134</v>
      </c>
      <c r="E148">
        <v>833134</v>
      </c>
    </row>
    <row r="149" spans="1:5" x14ac:dyDescent="0.25">
      <c r="A149" s="91" t="s">
        <v>22547</v>
      </c>
      <c r="C149">
        <v>724036</v>
      </c>
      <c r="E149">
        <v>724036</v>
      </c>
    </row>
    <row r="150" spans="1:5" x14ac:dyDescent="0.25">
      <c r="A150" s="91" t="s">
        <v>22548</v>
      </c>
      <c r="C150">
        <v>762296</v>
      </c>
      <c r="E150">
        <v>762296</v>
      </c>
    </row>
    <row r="151" spans="1:5" x14ac:dyDescent="0.25">
      <c r="A151" s="91" t="s">
        <v>22549</v>
      </c>
      <c r="D151">
        <v>372686</v>
      </c>
      <c r="E151">
        <v>372686</v>
      </c>
    </row>
    <row r="152" spans="1:5" x14ac:dyDescent="0.25">
      <c r="A152" s="91" t="s">
        <v>22550</v>
      </c>
      <c r="D152">
        <v>664319</v>
      </c>
      <c r="E152">
        <v>664319</v>
      </c>
    </row>
    <row r="153" spans="1:5" x14ac:dyDescent="0.25">
      <c r="A153" s="91" t="s">
        <v>22551</v>
      </c>
      <c r="B153">
        <v>915219</v>
      </c>
      <c r="E153">
        <v>915219</v>
      </c>
    </row>
    <row r="154" spans="1:5" x14ac:dyDescent="0.25">
      <c r="A154" s="91" t="s">
        <v>22552</v>
      </c>
      <c r="D154">
        <v>677142</v>
      </c>
      <c r="E154">
        <v>677142</v>
      </c>
    </row>
    <row r="155" spans="1:5" x14ac:dyDescent="0.25">
      <c r="A155" s="91" t="s">
        <v>22553</v>
      </c>
      <c r="D155">
        <v>714914</v>
      </c>
      <c r="E155">
        <v>714914</v>
      </c>
    </row>
    <row r="156" spans="1:5" x14ac:dyDescent="0.25">
      <c r="A156" s="91" t="s">
        <v>22554</v>
      </c>
      <c r="C156">
        <v>755828</v>
      </c>
      <c r="E156">
        <v>755828</v>
      </c>
    </row>
    <row r="157" spans="1:5" x14ac:dyDescent="0.25">
      <c r="A157" s="91" t="s">
        <v>22555</v>
      </c>
      <c r="C157">
        <v>653236</v>
      </c>
      <c r="E157">
        <v>653236</v>
      </c>
    </row>
    <row r="158" spans="1:5" x14ac:dyDescent="0.25">
      <c r="A158" s="91" t="s">
        <v>22556</v>
      </c>
      <c r="B158">
        <v>974290</v>
      </c>
      <c r="E158">
        <v>974290</v>
      </c>
    </row>
    <row r="159" spans="1:5" x14ac:dyDescent="0.25">
      <c r="A159" s="91" t="s">
        <v>22557</v>
      </c>
      <c r="D159">
        <v>653912</v>
      </c>
      <c r="E159">
        <v>653912</v>
      </c>
    </row>
    <row r="160" spans="1:5" x14ac:dyDescent="0.25">
      <c r="A160" s="91" t="s">
        <v>22558</v>
      </c>
      <c r="D160">
        <v>760918</v>
      </c>
      <c r="E160">
        <v>760918</v>
      </c>
    </row>
    <row r="161" spans="1:5" x14ac:dyDescent="0.25">
      <c r="A161" s="91" t="s">
        <v>22559</v>
      </c>
      <c r="D161">
        <v>854591</v>
      </c>
      <c r="E161">
        <v>854591</v>
      </c>
    </row>
    <row r="162" spans="1:5" x14ac:dyDescent="0.25">
      <c r="A162" s="91" t="s">
        <v>22560</v>
      </c>
      <c r="D162">
        <v>635633</v>
      </c>
      <c r="E162">
        <v>635633</v>
      </c>
    </row>
    <row r="163" spans="1:5" x14ac:dyDescent="0.25">
      <c r="A163" s="91" t="s">
        <v>22561</v>
      </c>
      <c r="D163">
        <v>417788</v>
      </c>
      <c r="E163">
        <v>417788</v>
      </c>
    </row>
    <row r="164" spans="1:5" x14ac:dyDescent="0.25">
      <c r="A164" s="91" t="s">
        <v>22562</v>
      </c>
      <c r="D164">
        <v>817460</v>
      </c>
      <c r="E164">
        <v>817460</v>
      </c>
    </row>
    <row r="165" spans="1:5" x14ac:dyDescent="0.25">
      <c r="A165" s="91" t="s">
        <v>22563</v>
      </c>
      <c r="D165">
        <v>549442</v>
      </c>
      <c r="E165">
        <v>549442</v>
      </c>
    </row>
    <row r="166" spans="1:5" x14ac:dyDescent="0.25">
      <c r="A166" s="91" t="s">
        <v>22564</v>
      </c>
      <c r="C166">
        <v>503488</v>
      </c>
      <c r="E166">
        <v>503488</v>
      </c>
    </row>
    <row r="167" spans="1:5" x14ac:dyDescent="0.25">
      <c r="A167" s="91" t="s">
        <v>22565</v>
      </c>
      <c r="D167">
        <v>776116</v>
      </c>
      <c r="E167">
        <v>776116</v>
      </c>
    </row>
    <row r="168" spans="1:5" x14ac:dyDescent="0.25">
      <c r="A168" s="91" t="s">
        <v>22566</v>
      </c>
      <c r="B168">
        <v>459113</v>
      </c>
      <c r="E168">
        <v>459113</v>
      </c>
    </row>
    <row r="169" spans="1:5" x14ac:dyDescent="0.25">
      <c r="A169" s="91" t="s">
        <v>22567</v>
      </c>
      <c r="B169">
        <v>580253</v>
      </c>
      <c r="E169">
        <v>580253</v>
      </c>
    </row>
    <row r="170" spans="1:5" x14ac:dyDescent="0.25">
      <c r="A170" s="91" t="s">
        <v>22568</v>
      </c>
      <c r="B170">
        <v>968216</v>
      </c>
      <c r="E170">
        <v>968216</v>
      </c>
    </row>
    <row r="171" spans="1:5" x14ac:dyDescent="0.25">
      <c r="A171" s="91" t="s">
        <v>22569</v>
      </c>
      <c r="D171">
        <v>1086845</v>
      </c>
      <c r="E171">
        <v>1086845</v>
      </c>
    </row>
    <row r="172" spans="1:5" x14ac:dyDescent="0.25">
      <c r="A172" s="91" t="s">
        <v>22570</v>
      </c>
      <c r="C172">
        <v>1128878</v>
      </c>
      <c r="E172">
        <v>1128878</v>
      </c>
    </row>
    <row r="173" spans="1:5" x14ac:dyDescent="0.25">
      <c r="A173" s="91" t="s">
        <v>22571</v>
      </c>
      <c r="C173">
        <v>772208</v>
      </c>
      <c r="E173">
        <v>772208</v>
      </c>
    </row>
    <row r="174" spans="1:5" x14ac:dyDescent="0.25">
      <c r="A174" s="91" t="s">
        <v>22572</v>
      </c>
      <c r="D174">
        <v>732680</v>
      </c>
      <c r="E174">
        <v>732680</v>
      </c>
    </row>
    <row r="175" spans="1:5" x14ac:dyDescent="0.25">
      <c r="A175" s="91" t="s">
        <v>22573</v>
      </c>
      <c r="C175">
        <v>924749</v>
      </c>
      <c r="E175">
        <v>924749</v>
      </c>
    </row>
    <row r="176" spans="1:5" x14ac:dyDescent="0.25">
      <c r="A176" s="91" t="s">
        <v>22574</v>
      </c>
      <c r="B176">
        <v>581268</v>
      </c>
      <c r="E176">
        <v>581268</v>
      </c>
    </row>
    <row r="177" spans="1:5" x14ac:dyDescent="0.25">
      <c r="A177" s="91" t="s">
        <v>22575</v>
      </c>
      <c r="C177">
        <v>778322</v>
      </c>
      <c r="E177">
        <v>778322</v>
      </c>
    </row>
    <row r="178" spans="1:5" x14ac:dyDescent="0.25">
      <c r="A178" s="91" t="s">
        <v>22576</v>
      </c>
      <c r="C178">
        <v>908049</v>
      </c>
      <c r="E178">
        <v>908049</v>
      </c>
    </row>
    <row r="179" spans="1:5" x14ac:dyDescent="0.25">
      <c r="A179" s="91" t="s">
        <v>22577</v>
      </c>
      <c r="C179">
        <v>736143</v>
      </c>
      <c r="E179">
        <v>736143</v>
      </c>
    </row>
    <row r="180" spans="1:5" x14ac:dyDescent="0.25">
      <c r="A180" s="91" t="s">
        <v>22578</v>
      </c>
      <c r="C180">
        <v>1057474</v>
      </c>
      <c r="E180">
        <v>1057474</v>
      </c>
    </row>
    <row r="181" spans="1:5" x14ac:dyDescent="0.25">
      <c r="A181" s="91" t="s">
        <v>22579</v>
      </c>
      <c r="C181">
        <v>800141</v>
      </c>
      <c r="E181">
        <v>800141</v>
      </c>
    </row>
    <row r="182" spans="1:5" x14ac:dyDescent="0.25">
      <c r="A182" s="91" t="s">
        <v>22580</v>
      </c>
      <c r="B182">
        <v>914251</v>
      </c>
      <c r="E182">
        <v>914251</v>
      </c>
    </row>
    <row r="183" spans="1:5" x14ac:dyDescent="0.25">
      <c r="A183" s="91" t="s">
        <v>22581</v>
      </c>
      <c r="D183">
        <v>700449</v>
      </c>
      <c r="E183">
        <v>700449</v>
      </c>
    </row>
    <row r="184" spans="1:5" x14ac:dyDescent="0.25">
      <c r="A184" s="91" t="s">
        <v>22582</v>
      </c>
      <c r="D184">
        <v>585356</v>
      </c>
      <c r="E184">
        <v>585356</v>
      </c>
    </row>
    <row r="185" spans="1:5" x14ac:dyDescent="0.25">
      <c r="A185" s="91" t="s">
        <v>22583</v>
      </c>
      <c r="D185">
        <v>692731</v>
      </c>
      <c r="E185">
        <v>692731</v>
      </c>
    </row>
    <row r="186" spans="1:5" x14ac:dyDescent="0.25">
      <c r="A186" s="91" t="s">
        <v>22584</v>
      </c>
      <c r="B186">
        <v>789839</v>
      </c>
      <c r="E186">
        <v>789839</v>
      </c>
    </row>
    <row r="187" spans="1:5" x14ac:dyDescent="0.25">
      <c r="A187" s="91" t="s">
        <v>22585</v>
      </c>
      <c r="C187">
        <v>478069</v>
      </c>
      <c r="E187">
        <v>478069</v>
      </c>
    </row>
    <row r="188" spans="1:5" x14ac:dyDescent="0.25">
      <c r="A188" s="91" t="s">
        <v>22586</v>
      </c>
      <c r="C188">
        <v>470117</v>
      </c>
      <c r="E188">
        <v>470117</v>
      </c>
    </row>
    <row r="189" spans="1:5" x14ac:dyDescent="0.25">
      <c r="A189" s="91" t="s">
        <v>22587</v>
      </c>
      <c r="B189">
        <v>397145</v>
      </c>
      <c r="E189">
        <v>397145</v>
      </c>
    </row>
    <row r="190" spans="1:5" x14ac:dyDescent="0.25">
      <c r="A190" s="91" t="s">
        <v>22588</v>
      </c>
      <c r="D190">
        <v>540162</v>
      </c>
      <c r="E190">
        <v>540162</v>
      </c>
    </row>
    <row r="191" spans="1:5" x14ac:dyDescent="0.25">
      <c r="A191" s="91" t="s">
        <v>22589</v>
      </c>
      <c r="C191">
        <v>1055102</v>
      </c>
      <c r="E191">
        <v>1055102</v>
      </c>
    </row>
    <row r="192" spans="1:5" x14ac:dyDescent="0.25">
      <c r="A192" s="91" t="s">
        <v>22590</v>
      </c>
      <c r="B192">
        <v>373695</v>
      </c>
      <c r="E192">
        <v>373695</v>
      </c>
    </row>
    <row r="193" spans="1:5" x14ac:dyDescent="0.25">
      <c r="A193" s="91" t="s">
        <v>22591</v>
      </c>
      <c r="B193">
        <v>624674</v>
      </c>
      <c r="E193">
        <v>624674</v>
      </c>
    </row>
    <row r="194" spans="1:5" x14ac:dyDescent="0.25">
      <c r="A194" s="91" t="s">
        <v>22592</v>
      </c>
      <c r="D194">
        <v>489227</v>
      </c>
      <c r="E194">
        <v>489227</v>
      </c>
    </row>
    <row r="195" spans="1:5" x14ac:dyDescent="0.25">
      <c r="A195" s="91" t="s">
        <v>22593</v>
      </c>
      <c r="B195">
        <v>635564</v>
      </c>
      <c r="E195">
        <v>635564</v>
      </c>
    </row>
    <row r="196" spans="1:5" x14ac:dyDescent="0.25">
      <c r="A196" s="91" t="s">
        <v>22594</v>
      </c>
      <c r="D196">
        <v>400606</v>
      </c>
      <c r="E196">
        <v>400606</v>
      </c>
    </row>
    <row r="197" spans="1:5" x14ac:dyDescent="0.25">
      <c r="A197" s="91" t="s">
        <v>22595</v>
      </c>
      <c r="C197">
        <v>875887</v>
      </c>
      <c r="E197">
        <v>875887</v>
      </c>
    </row>
    <row r="198" spans="1:5" x14ac:dyDescent="0.25">
      <c r="A198" s="91" t="s">
        <v>22596</v>
      </c>
      <c r="B198">
        <v>637072</v>
      </c>
      <c r="E198">
        <v>637072</v>
      </c>
    </row>
    <row r="199" spans="1:5" x14ac:dyDescent="0.25">
      <c r="A199" s="91" t="s">
        <v>22597</v>
      </c>
      <c r="D199">
        <v>961682</v>
      </c>
      <c r="E199">
        <v>961682</v>
      </c>
    </row>
    <row r="200" spans="1:5" x14ac:dyDescent="0.25">
      <c r="A200" s="91" t="s">
        <v>22598</v>
      </c>
      <c r="D200">
        <v>597842</v>
      </c>
      <c r="E200">
        <v>597842</v>
      </c>
    </row>
    <row r="201" spans="1:5" x14ac:dyDescent="0.25">
      <c r="A201" s="91" t="s">
        <v>22599</v>
      </c>
      <c r="D201">
        <v>449442</v>
      </c>
      <c r="E201">
        <v>449442</v>
      </c>
    </row>
    <row r="202" spans="1:5" x14ac:dyDescent="0.25">
      <c r="A202" s="91" t="s">
        <v>22600</v>
      </c>
      <c r="B202">
        <v>518485</v>
      </c>
      <c r="E202">
        <v>518485</v>
      </c>
    </row>
    <row r="203" spans="1:5" x14ac:dyDescent="0.25">
      <c r="A203" s="91" t="s">
        <v>22601</v>
      </c>
      <c r="C203">
        <v>971092</v>
      </c>
      <c r="E203">
        <v>971092</v>
      </c>
    </row>
    <row r="204" spans="1:5" x14ac:dyDescent="0.25">
      <c r="A204" s="91" t="s">
        <v>22602</v>
      </c>
      <c r="B204">
        <v>495757</v>
      </c>
      <c r="E204">
        <v>495757</v>
      </c>
    </row>
    <row r="205" spans="1:5" x14ac:dyDescent="0.25">
      <c r="A205" s="91" t="s">
        <v>22603</v>
      </c>
      <c r="B205">
        <v>671936</v>
      </c>
      <c r="E205">
        <v>671936</v>
      </c>
    </row>
    <row r="206" spans="1:5" x14ac:dyDescent="0.25">
      <c r="A206" s="91" t="s">
        <v>22604</v>
      </c>
      <c r="C206">
        <v>1002125</v>
      </c>
      <c r="E206">
        <v>1002125</v>
      </c>
    </row>
    <row r="207" spans="1:5" x14ac:dyDescent="0.25">
      <c r="A207" s="91" t="s">
        <v>22605</v>
      </c>
      <c r="B207">
        <v>416927</v>
      </c>
      <c r="E207">
        <v>416927</v>
      </c>
    </row>
    <row r="208" spans="1:5" x14ac:dyDescent="0.25">
      <c r="A208" s="91" t="s">
        <v>22606</v>
      </c>
      <c r="B208">
        <v>583650</v>
      </c>
      <c r="E208">
        <v>583650</v>
      </c>
    </row>
    <row r="209" spans="1:5" x14ac:dyDescent="0.25">
      <c r="A209" s="91" t="s">
        <v>22607</v>
      </c>
      <c r="B209">
        <v>725008</v>
      </c>
      <c r="E209">
        <v>725008</v>
      </c>
    </row>
    <row r="210" spans="1:5" x14ac:dyDescent="0.25">
      <c r="A210" s="91" t="s">
        <v>22608</v>
      </c>
      <c r="D210">
        <v>961540</v>
      </c>
      <c r="E210">
        <v>961540</v>
      </c>
    </row>
    <row r="211" spans="1:5" x14ac:dyDescent="0.25">
      <c r="A211" s="91" t="s">
        <v>22609</v>
      </c>
      <c r="C211">
        <v>793429</v>
      </c>
      <c r="E211">
        <v>793429</v>
      </c>
    </row>
    <row r="212" spans="1:5" x14ac:dyDescent="0.25">
      <c r="A212" s="91" t="s">
        <v>22610</v>
      </c>
      <c r="C212">
        <v>621994</v>
      </c>
      <c r="E212">
        <v>621994</v>
      </c>
    </row>
    <row r="213" spans="1:5" x14ac:dyDescent="0.25">
      <c r="A213" s="91" t="s">
        <v>22611</v>
      </c>
      <c r="D213">
        <v>546387</v>
      </c>
      <c r="E213">
        <v>546387</v>
      </c>
    </row>
    <row r="214" spans="1:5" x14ac:dyDescent="0.25">
      <c r="A214" s="91" t="s">
        <v>22612</v>
      </c>
      <c r="D214">
        <v>540953</v>
      </c>
      <c r="E214">
        <v>540953</v>
      </c>
    </row>
    <row r="215" spans="1:5" x14ac:dyDescent="0.25">
      <c r="A215" s="91" t="s">
        <v>22613</v>
      </c>
      <c r="C215">
        <v>1127142</v>
      </c>
      <c r="E215">
        <v>1127142</v>
      </c>
    </row>
    <row r="216" spans="1:5" x14ac:dyDescent="0.25">
      <c r="A216" s="91" t="s">
        <v>22614</v>
      </c>
      <c r="B216">
        <v>860163</v>
      </c>
      <c r="E216">
        <v>860163</v>
      </c>
    </row>
    <row r="217" spans="1:5" x14ac:dyDescent="0.25">
      <c r="A217" s="91" t="s">
        <v>22615</v>
      </c>
      <c r="B217">
        <v>893148</v>
      </c>
      <c r="E217">
        <v>893148</v>
      </c>
    </row>
    <row r="218" spans="1:5" x14ac:dyDescent="0.25">
      <c r="A218" s="91" t="s">
        <v>22616</v>
      </c>
      <c r="B218">
        <v>721837</v>
      </c>
      <c r="E218">
        <v>721837</v>
      </c>
    </row>
    <row r="219" spans="1:5" x14ac:dyDescent="0.25">
      <c r="A219" s="91" t="s">
        <v>22617</v>
      </c>
      <c r="C219">
        <v>711521</v>
      </c>
      <c r="E219">
        <v>711521</v>
      </c>
    </row>
    <row r="220" spans="1:5" x14ac:dyDescent="0.25">
      <c r="A220" s="91" t="s">
        <v>22618</v>
      </c>
      <c r="C220">
        <v>844242</v>
      </c>
      <c r="E220">
        <v>844242</v>
      </c>
    </row>
    <row r="221" spans="1:5" x14ac:dyDescent="0.25">
      <c r="A221" s="91" t="s">
        <v>22619</v>
      </c>
      <c r="D221">
        <v>722703</v>
      </c>
      <c r="E221">
        <v>722703</v>
      </c>
    </row>
    <row r="222" spans="1:5" x14ac:dyDescent="0.25">
      <c r="A222" s="91" t="s">
        <v>22620</v>
      </c>
      <c r="D222">
        <v>767064</v>
      </c>
      <c r="E222">
        <v>767064</v>
      </c>
    </row>
    <row r="223" spans="1:5" x14ac:dyDescent="0.25">
      <c r="A223" s="91" t="s">
        <v>22621</v>
      </c>
      <c r="C223">
        <v>674298</v>
      </c>
      <c r="E223">
        <v>674298</v>
      </c>
    </row>
    <row r="224" spans="1:5" x14ac:dyDescent="0.25">
      <c r="A224" s="91" t="s">
        <v>22622</v>
      </c>
      <c r="C224">
        <v>780877</v>
      </c>
      <c r="E224">
        <v>780877</v>
      </c>
    </row>
    <row r="225" spans="1:5" x14ac:dyDescent="0.25">
      <c r="A225" s="91" t="s">
        <v>22623</v>
      </c>
      <c r="D225">
        <v>681893</v>
      </c>
      <c r="E225">
        <v>681893</v>
      </c>
    </row>
    <row r="226" spans="1:5" x14ac:dyDescent="0.25">
      <c r="A226" s="91" t="s">
        <v>22624</v>
      </c>
      <c r="D226">
        <v>437303</v>
      </c>
      <c r="E226">
        <v>437303</v>
      </c>
    </row>
    <row r="227" spans="1:5" x14ac:dyDescent="0.25">
      <c r="A227" s="91" t="s">
        <v>22625</v>
      </c>
      <c r="D227">
        <v>661373</v>
      </c>
      <c r="E227">
        <v>661373</v>
      </c>
    </row>
    <row r="228" spans="1:5" x14ac:dyDescent="0.25">
      <c r="A228" s="91" t="s">
        <v>22626</v>
      </c>
      <c r="B228">
        <v>458838</v>
      </c>
      <c r="E228">
        <v>458838</v>
      </c>
    </row>
    <row r="229" spans="1:5" x14ac:dyDescent="0.25">
      <c r="A229" s="91" t="s">
        <v>22627</v>
      </c>
      <c r="B229">
        <v>763688</v>
      </c>
      <c r="E229">
        <v>763688</v>
      </c>
    </row>
    <row r="230" spans="1:5" x14ac:dyDescent="0.25">
      <c r="A230" s="91" t="s">
        <v>22628</v>
      </c>
      <c r="C230">
        <v>634931</v>
      </c>
      <c r="E230">
        <v>634931</v>
      </c>
    </row>
    <row r="231" spans="1:5" x14ac:dyDescent="0.25">
      <c r="A231" s="91" t="s">
        <v>22629</v>
      </c>
      <c r="C231">
        <v>659415</v>
      </c>
      <c r="E231">
        <v>659415</v>
      </c>
    </row>
    <row r="232" spans="1:5" x14ac:dyDescent="0.25">
      <c r="A232" s="91" t="s">
        <v>22630</v>
      </c>
      <c r="B232">
        <v>718775</v>
      </c>
      <c r="E232">
        <v>718775</v>
      </c>
    </row>
    <row r="233" spans="1:5" x14ac:dyDescent="0.25">
      <c r="A233" s="91" t="s">
        <v>22631</v>
      </c>
      <c r="C233">
        <v>1006770</v>
      </c>
      <c r="E233">
        <v>1006770</v>
      </c>
    </row>
    <row r="234" spans="1:5" x14ac:dyDescent="0.25">
      <c r="A234" s="91" t="s">
        <v>22632</v>
      </c>
      <c r="B234">
        <v>596017</v>
      </c>
      <c r="E234">
        <v>596017</v>
      </c>
    </row>
    <row r="235" spans="1:5" x14ac:dyDescent="0.25">
      <c r="A235" s="91" t="s">
        <v>22633</v>
      </c>
      <c r="C235">
        <v>739115</v>
      </c>
      <c r="E235">
        <v>739115</v>
      </c>
    </row>
    <row r="236" spans="1:5" x14ac:dyDescent="0.25">
      <c r="A236" s="91" t="s">
        <v>22634</v>
      </c>
      <c r="B236">
        <v>608630</v>
      </c>
      <c r="E236">
        <v>608630</v>
      </c>
    </row>
    <row r="237" spans="1:5" x14ac:dyDescent="0.25">
      <c r="A237" s="91" t="s">
        <v>22635</v>
      </c>
      <c r="D237">
        <v>982174</v>
      </c>
      <c r="E237">
        <v>982174</v>
      </c>
    </row>
    <row r="238" spans="1:5" x14ac:dyDescent="0.25">
      <c r="A238" s="91" t="s">
        <v>22636</v>
      </c>
      <c r="C238">
        <v>569297</v>
      </c>
      <c r="E238">
        <v>569297</v>
      </c>
    </row>
    <row r="239" spans="1:5" x14ac:dyDescent="0.25">
      <c r="A239" s="91" t="s">
        <v>22637</v>
      </c>
      <c r="D239">
        <v>817155</v>
      </c>
      <c r="E239">
        <v>817155</v>
      </c>
    </row>
    <row r="240" spans="1:5" x14ac:dyDescent="0.25">
      <c r="A240" s="91" t="s">
        <v>22638</v>
      </c>
      <c r="C240">
        <v>721970</v>
      </c>
      <c r="E240">
        <v>721970</v>
      </c>
    </row>
    <row r="241" spans="1:5" x14ac:dyDescent="0.25">
      <c r="A241" s="91" t="s">
        <v>22639</v>
      </c>
      <c r="B241">
        <v>563960</v>
      </c>
      <c r="E241">
        <v>563960</v>
      </c>
    </row>
    <row r="242" spans="1:5" x14ac:dyDescent="0.25">
      <c r="A242" s="91" t="s">
        <v>22640</v>
      </c>
      <c r="D242">
        <v>437601</v>
      </c>
      <c r="E242">
        <v>437601</v>
      </c>
    </row>
    <row r="243" spans="1:5" x14ac:dyDescent="0.25">
      <c r="A243" s="91" t="s">
        <v>22641</v>
      </c>
      <c r="B243">
        <v>665862</v>
      </c>
      <c r="E243">
        <v>665862</v>
      </c>
    </row>
    <row r="244" spans="1:5" x14ac:dyDescent="0.25">
      <c r="A244" s="91" t="s">
        <v>22642</v>
      </c>
      <c r="D244">
        <v>973466</v>
      </c>
      <c r="E244">
        <v>973466</v>
      </c>
    </row>
    <row r="245" spans="1:5" x14ac:dyDescent="0.25">
      <c r="A245" s="91" t="s">
        <v>22643</v>
      </c>
      <c r="B245">
        <v>610909</v>
      </c>
      <c r="E245">
        <v>610909</v>
      </c>
    </row>
    <row r="246" spans="1:5" x14ac:dyDescent="0.25">
      <c r="A246" s="91" t="s">
        <v>22644</v>
      </c>
      <c r="C246">
        <v>640951</v>
      </c>
      <c r="E246">
        <v>640951</v>
      </c>
    </row>
    <row r="247" spans="1:5" x14ac:dyDescent="0.25">
      <c r="A247" s="91" t="s">
        <v>22645</v>
      </c>
      <c r="B247">
        <v>592368</v>
      </c>
      <c r="E247">
        <v>592368</v>
      </c>
    </row>
    <row r="248" spans="1:5" x14ac:dyDescent="0.25">
      <c r="A248" s="91" t="s">
        <v>22646</v>
      </c>
      <c r="C248">
        <v>659813</v>
      </c>
      <c r="E248">
        <v>659813</v>
      </c>
    </row>
    <row r="249" spans="1:5" x14ac:dyDescent="0.25">
      <c r="A249" s="91" t="s">
        <v>22647</v>
      </c>
      <c r="D249">
        <v>880318</v>
      </c>
      <c r="E249">
        <v>880318</v>
      </c>
    </row>
    <row r="250" spans="1:5" x14ac:dyDescent="0.25">
      <c r="A250" s="91" t="s">
        <v>22648</v>
      </c>
      <c r="D250">
        <v>721111</v>
      </c>
      <c r="E250">
        <v>721111</v>
      </c>
    </row>
    <row r="251" spans="1:5" x14ac:dyDescent="0.25">
      <c r="A251" s="91" t="s">
        <v>22649</v>
      </c>
      <c r="B251">
        <v>588871</v>
      </c>
      <c r="E251">
        <v>588871</v>
      </c>
    </row>
    <row r="252" spans="1:5" x14ac:dyDescent="0.25">
      <c r="A252" s="91" t="s">
        <v>22650</v>
      </c>
      <c r="B252">
        <v>551513</v>
      </c>
      <c r="E252">
        <v>551513</v>
      </c>
    </row>
    <row r="253" spans="1:5" x14ac:dyDescent="0.25">
      <c r="A253" s="91" t="s">
        <v>22651</v>
      </c>
      <c r="C253">
        <v>1369014</v>
      </c>
      <c r="E253">
        <v>1369014</v>
      </c>
    </row>
    <row r="254" spans="1:5" x14ac:dyDescent="0.25">
      <c r="A254" s="91" t="s">
        <v>22652</v>
      </c>
      <c r="C254">
        <v>795153</v>
      </c>
      <c r="E254">
        <v>795153</v>
      </c>
    </row>
    <row r="255" spans="1:5" x14ac:dyDescent="0.25">
      <c r="A255" s="91" t="s">
        <v>22653</v>
      </c>
      <c r="D255">
        <v>762760</v>
      </c>
      <c r="E255">
        <v>762760</v>
      </c>
    </row>
    <row r="256" spans="1:5" x14ac:dyDescent="0.25">
      <c r="A256" s="91" t="s">
        <v>22654</v>
      </c>
      <c r="D256">
        <v>719283</v>
      </c>
      <c r="E256">
        <v>719283</v>
      </c>
    </row>
    <row r="257" spans="1:5" x14ac:dyDescent="0.25">
      <c r="A257" s="91" t="s">
        <v>22655</v>
      </c>
      <c r="D257">
        <v>478308</v>
      </c>
      <c r="E257">
        <v>478308</v>
      </c>
    </row>
    <row r="258" spans="1:5" x14ac:dyDescent="0.25">
      <c r="A258" s="91" t="s">
        <v>22656</v>
      </c>
      <c r="B258">
        <v>505122</v>
      </c>
      <c r="E258">
        <v>505122</v>
      </c>
    </row>
    <row r="259" spans="1:5" x14ac:dyDescent="0.25">
      <c r="A259" s="91" t="s">
        <v>22657</v>
      </c>
      <c r="B259">
        <v>854322</v>
      </c>
      <c r="E259">
        <v>854322</v>
      </c>
    </row>
    <row r="260" spans="1:5" x14ac:dyDescent="0.25">
      <c r="A260" s="91" t="s">
        <v>22658</v>
      </c>
      <c r="C260">
        <v>689066</v>
      </c>
      <c r="E260">
        <v>689066</v>
      </c>
    </row>
    <row r="261" spans="1:5" x14ac:dyDescent="0.25">
      <c r="A261" s="91" t="s">
        <v>22659</v>
      </c>
      <c r="C261">
        <v>713761</v>
      </c>
      <c r="E261">
        <v>713761</v>
      </c>
    </row>
    <row r="262" spans="1:5" x14ac:dyDescent="0.25">
      <c r="A262" s="91" t="s">
        <v>22660</v>
      </c>
      <c r="B262">
        <v>826017</v>
      </c>
      <c r="E262">
        <v>826017</v>
      </c>
    </row>
    <row r="263" spans="1:5" x14ac:dyDescent="0.25">
      <c r="A263" s="91" t="s">
        <v>22661</v>
      </c>
      <c r="C263">
        <v>862767</v>
      </c>
      <c r="E263">
        <v>862767</v>
      </c>
    </row>
    <row r="264" spans="1:5" x14ac:dyDescent="0.25">
      <c r="A264" s="91" t="s">
        <v>22662</v>
      </c>
      <c r="C264">
        <v>995314</v>
      </c>
      <c r="E264">
        <v>995314</v>
      </c>
    </row>
    <row r="265" spans="1:5" x14ac:dyDescent="0.25">
      <c r="A265" s="91" t="s">
        <v>22663</v>
      </c>
      <c r="B265">
        <v>529642</v>
      </c>
      <c r="E265">
        <v>529642</v>
      </c>
    </row>
    <row r="266" spans="1:5" x14ac:dyDescent="0.25">
      <c r="A266" s="91" t="s">
        <v>22664</v>
      </c>
      <c r="C266">
        <v>772322</v>
      </c>
      <c r="E266">
        <v>772322</v>
      </c>
    </row>
    <row r="267" spans="1:5" x14ac:dyDescent="0.25">
      <c r="A267" s="91" t="s">
        <v>22665</v>
      </c>
      <c r="D267">
        <v>497009</v>
      </c>
      <c r="E267">
        <v>497009</v>
      </c>
    </row>
    <row r="268" spans="1:5" x14ac:dyDescent="0.25">
      <c r="A268" s="91" t="s">
        <v>22666</v>
      </c>
      <c r="C268">
        <v>933223</v>
      </c>
      <c r="E268">
        <v>933223</v>
      </c>
    </row>
    <row r="269" spans="1:5" x14ac:dyDescent="0.25">
      <c r="A269" s="91" t="s">
        <v>22667</v>
      </c>
      <c r="B269">
        <v>577677</v>
      </c>
      <c r="E269">
        <v>577677</v>
      </c>
    </row>
    <row r="270" spans="1:5" x14ac:dyDescent="0.25">
      <c r="A270" s="91" t="s">
        <v>22668</v>
      </c>
      <c r="C270">
        <v>450892</v>
      </c>
      <c r="E270">
        <v>450892</v>
      </c>
    </row>
    <row r="271" spans="1:5" x14ac:dyDescent="0.25">
      <c r="A271" s="91" t="s">
        <v>22669</v>
      </c>
      <c r="B271">
        <v>531790</v>
      </c>
      <c r="E271">
        <v>531790</v>
      </c>
    </row>
    <row r="272" spans="1:5" x14ac:dyDescent="0.25">
      <c r="A272" s="91" t="s">
        <v>22670</v>
      </c>
      <c r="D272">
        <v>745121</v>
      </c>
      <c r="E272">
        <v>745121</v>
      </c>
    </row>
    <row r="273" spans="1:5" x14ac:dyDescent="0.25">
      <c r="A273" s="91" t="s">
        <v>22671</v>
      </c>
      <c r="C273">
        <v>521382</v>
      </c>
      <c r="E273">
        <v>521382</v>
      </c>
    </row>
    <row r="274" spans="1:5" x14ac:dyDescent="0.25">
      <c r="A274" s="91" t="s">
        <v>22672</v>
      </c>
      <c r="D274">
        <v>633465</v>
      </c>
      <c r="E274">
        <v>633465</v>
      </c>
    </row>
    <row r="275" spans="1:5" x14ac:dyDescent="0.25">
      <c r="A275" s="91" t="s">
        <v>22673</v>
      </c>
      <c r="C275">
        <v>475164</v>
      </c>
      <c r="E275">
        <v>475164</v>
      </c>
    </row>
    <row r="276" spans="1:5" x14ac:dyDescent="0.25">
      <c r="A276" s="91" t="s">
        <v>22674</v>
      </c>
      <c r="C276">
        <v>550598</v>
      </c>
      <c r="E276">
        <v>550598</v>
      </c>
    </row>
    <row r="277" spans="1:5" x14ac:dyDescent="0.25">
      <c r="A277" s="91" t="s">
        <v>22675</v>
      </c>
      <c r="B277">
        <v>788945</v>
      </c>
      <c r="E277">
        <v>788945</v>
      </c>
    </row>
    <row r="278" spans="1:5" x14ac:dyDescent="0.25">
      <c r="A278" s="91" t="s">
        <v>22676</v>
      </c>
      <c r="C278">
        <v>749434</v>
      </c>
      <c r="E278">
        <v>749434</v>
      </c>
    </row>
    <row r="279" spans="1:5" x14ac:dyDescent="0.25">
      <c r="A279" s="91" t="s">
        <v>22677</v>
      </c>
      <c r="C279">
        <v>1019541</v>
      </c>
      <c r="E279">
        <v>1019541</v>
      </c>
    </row>
    <row r="280" spans="1:5" x14ac:dyDescent="0.25">
      <c r="A280" s="91" t="s">
        <v>22678</v>
      </c>
      <c r="C280">
        <v>608913</v>
      </c>
      <c r="E280">
        <v>608913</v>
      </c>
    </row>
    <row r="281" spans="1:5" x14ac:dyDescent="0.25">
      <c r="A281" s="91" t="s">
        <v>22679</v>
      </c>
      <c r="B281">
        <v>594947</v>
      </c>
      <c r="E281">
        <v>594947</v>
      </c>
    </row>
    <row r="282" spans="1:5" x14ac:dyDescent="0.25">
      <c r="A282" s="91" t="s">
        <v>22680</v>
      </c>
      <c r="C282">
        <v>646367</v>
      </c>
      <c r="E282">
        <v>646367</v>
      </c>
    </row>
    <row r="283" spans="1:5" x14ac:dyDescent="0.25">
      <c r="A283" s="91" t="s">
        <v>22681</v>
      </c>
      <c r="B283">
        <v>942255</v>
      </c>
      <c r="E283">
        <v>942255</v>
      </c>
    </row>
    <row r="284" spans="1:5" x14ac:dyDescent="0.25">
      <c r="A284" s="91" t="s">
        <v>22682</v>
      </c>
      <c r="C284">
        <v>754953</v>
      </c>
      <c r="E284">
        <v>754953</v>
      </c>
    </row>
    <row r="285" spans="1:5" x14ac:dyDescent="0.25">
      <c r="A285" s="91" t="s">
        <v>22683</v>
      </c>
      <c r="D285">
        <v>317530</v>
      </c>
      <c r="E285">
        <v>317530</v>
      </c>
    </row>
    <row r="286" spans="1:5" x14ac:dyDescent="0.25">
      <c r="A286" s="91" t="s">
        <v>22684</v>
      </c>
      <c r="D286">
        <v>827180</v>
      </c>
      <c r="E286">
        <v>827180</v>
      </c>
    </row>
    <row r="287" spans="1:5" x14ac:dyDescent="0.25">
      <c r="A287" s="91" t="s">
        <v>22685</v>
      </c>
      <c r="B287">
        <v>637903</v>
      </c>
      <c r="E287">
        <v>637903</v>
      </c>
    </row>
    <row r="288" spans="1:5" x14ac:dyDescent="0.25">
      <c r="A288" s="91" t="s">
        <v>22686</v>
      </c>
      <c r="C288">
        <v>671623</v>
      </c>
      <c r="E288">
        <v>671623</v>
      </c>
    </row>
    <row r="289" spans="1:5" x14ac:dyDescent="0.25">
      <c r="A289" s="91" t="s">
        <v>22687</v>
      </c>
      <c r="D289">
        <v>680870</v>
      </c>
      <c r="E289">
        <v>680870</v>
      </c>
    </row>
    <row r="290" spans="1:5" x14ac:dyDescent="0.25">
      <c r="A290" s="91" t="s">
        <v>22688</v>
      </c>
      <c r="B290">
        <v>543073</v>
      </c>
      <c r="E290">
        <v>543073</v>
      </c>
    </row>
    <row r="291" spans="1:5" x14ac:dyDescent="0.25">
      <c r="A291" s="91" t="s">
        <v>22689</v>
      </c>
      <c r="D291">
        <v>825058</v>
      </c>
      <c r="E291">
        <v>825058</v>
      </c>
    </row>
    <row r="292" spans="1:5" x14ac:dyDescent="0.25">
      <c r="A292" s="91" t="s">
        <v>22690</v>
      </c>
      <c r="C292">
        <v>990045</v>
      </c>
      <c r="E292">
        <v>990045</v>
      </c>
    </row>
    <row r="293" spans="1:5" x14ac:dyDescent="0.25">
      <c r="A293" s="91" t="s">
        <v>22691</v>
      </c>
      <c r="B293">
        <v>687708</v>
      </c>
      <c r="E293">
        <v>687708</v>
      </c>
    </row>
    <row r="294" spans="1:5" x14ac:dyDescent="0.25">
      <c r="A294" s="91" t="s">
        <v>22692</v>
      </c>
      <c r="C294">
        <v>766349</v>
      </c>
      <c r="E294">
        <v>766349</v>
      </c>
    </row>
    <row r="295" spans="1:5" x14ac:dyDescent="0.25">
      <c r="A295" s="91" t="s">
        <v>22693</v>
      </c>
      <c r="D295">
        <v>848660</v>
      </c>
      <c r="E295">
        <v>848660</v>
      </c>
    </row>
    <row r="296" spans="1:5" x14ac:dyDescent="0.25">
      <c r="A296" s="91" t="s">
        <v>22694</v>
      </c>
      <c r="D296">
        <v>734144</v>
      </c>
      <c r="E296">
        <v>734144</v>
      </c>
    </row>
    <row r="297" spans="1:5" x14ac:dyDescent="0.25">
      <c r="A297" s="91" t="s">
        <v>22695</v>
      </c>
      <c r="B297">
        <v>496536</v>
      </c>
      <c r="E297">
        <v>496536</v>
      </c>
    </row>
    <row r="298" spans="1:5" x14ac:dyDescent="0.25">
      <c r="A298" s="91" t="s">
        <v>22696</v>
      </c>
      <c r="D298">
        <v>860270</v>
      </c>
      <c r="E298">
        <v>860270</v>
      </c>
    </row>
    <row r="299" spans="1:5" x14ac:dyDescent="0.25">
      <c r="A299" s="91" t="s">
        <v>22697</v>
      </c>
      <c r="B299">
        <v>281806</v>
      </c>
      <c r="E299">
        <v>281806</v>
      </c>
    </row>
    <row r="300" spans="1:5" x14ac:dyDescent="0.25">
      <c r="A300" s="91" t="s">
        <v>22698</v>
      </c>
      <c r="C300">
        <v>774805</v>
      </c>
      <c r="E300">
        <v>774805</v>
      </c>
    </row>
    <row r="301" spans="1:5" x14ac:dyDescent="0.25">
      <c r="A301" s="91" t="s">
        <v>22699</v>
      </c>
      <c r="C301">
        <v>382630</v>
      </c>
      <c r="E301">
        <v>382630</v>
      </c>
    </row>
    <row r="302" spans="1:5" x14ac:dyDescent="0.25">
      <c r="A302" s="91" t="s">
        <v>22700</v>
      </c>
      <c r="B302">
        <v>625865</v>
      </c>
      <c r="E302">
        <v>625865</v>
      </c>
    </row>
    <row r="303" spans="1:5" x14ac:dyDescent="0.25">
      <c r="A303" s="91" t="s">
        <v>22701</v>
      </c>
      <c r="D303">
        <v>614970</v>
      </c>
      <c r="E303">
        <v>614970</v>
      </c>
    </row>
    <row r="304" spans="1:5" x14ac:dyDescent="0.25">
      <c r="A304" s="91" t="s">
        <v>22702</v>
      </c>
      <c r="B304">
        <v>798230</v>
      </c>
      <c r="E304">
        <v>798230</v>
      </c>
    </row>
    <row r="305" spans="1:5" x14ac:dyDescent="0.25">
      <c r="A305" s="91" t="s">
        <v>22703</v>
      </c>
      <c r="B305">
        <v>579015</v>
      </c>
      <c r="E305">
        <v>579015</v>
      </c>
    </row>
    <row r="306" spans="1:5" x14ac:dyDescent="0.25">
      <c r="A306" s="91" t="s">
        <v>22704</v>
      </c>
      <c r="C306">
        <v>855507</v>
      </c>
      <c r="E306">
        <v>855507</v>
      </c>
    </row>
    <row r="307" spans="1:5" x14ac:dyDescent="0.25">
      <c r="A307" s="91" t="s">
        <v>22705</v>
      </c>
      <c r="C307">
        <v>793311</v>
      </c>
      <c r="E307">
        <v>793311</v>
      </c>
    </row>
    <row r="308" spans="1:5" x14ac:dyDescent="0.25">
      <c r="A308" s="91" t="s">
        <v>22706</v>
      </c>
      <c r="D308">
        <v>662428</v>
      </c>
      <c r="E308">
        <v>662428</v>
      </c>
    </row>
    <row r="309" spans="1:5" x14ac:dyDescent="0.25">
      <c r="A309" s="91" t="s">
        <v>22707</v>
      </c>
      <c r="C309">
        <v>847244</v>
      </c>
      <c r="E309">
        <v>847244</v>
      </c>
    </row>
    <row r="310" spans="1:5" x14ac:dyDescent="0.25">
      <c r="A310" s="91" t="s">
        <v>22708</v>
      </c>
      <c r="D310">
        <v>516313</v>
      </c>
      <c r="E310">
        <v>516313</v>
      </c>
    </row>
    <row r="311" spans="1:5" x14ac:dyDescent="0.25">
      <c r="A311" s="91" t="s">
        <v>22709</v>
      </c>
      <c r="D311">
        <v>968439</v>
      </c>
      <c r="E311">
        <v>968439</v>
      </c>
    </row>
    <row r="312" spans="1:5" x14ac:dyDescent="0.25">
      <c r="A312" s="91" t="s">
        <v>22710</v>
      </c>
      <c r="D312">
        <v>664840</v>
      </c>
      <c r="E312">
        <v>664840</v>
      </c>
    </row>
    <row r="313" spans="1:5" x14ac:dyDescent="0.25">
      <c r="A313" s="91" t="s">
        <v>22711</v>
      </c>
      <c r="C313">
        <v>652900</v>
      </c>
      <c r="E313">
        <v>652900</v>
      </c>
    </row>
    <row r="314" spans="1:5" x14ac:dyDescent="0.25">
      <c r="A314" s="91" t="s">
        <v>22712</v>
      </c>
      <c r="D314">
        <v>574225</v>
      </c>
      <c r="E314">
        <v>574225</v>
      </c>
    </row>
    <row r="315" spans="1:5" x14ac:dyDescent="0.25">
      <c r="A315" s="91" t="s">
        <v>22713</v>
      </c>
      <c r="D315">
        <v>850684</v>
      </c>
      <c r="E315">
        <v>850684</v>
      </c>
    </row>
    <row r="316" spans="1:5" x14ac:dyDescent="0.25">
      <c r="A316" s="91" t="s">
        <v>22714</v>
      </c>
      <c r="C316">
        <v>831538</v>
      </c>
      <c r="E316">
        <v>831538</v>
      </c>
    </row>
    <row r="317" spans="1:5" x14ac:dyDescent="0.25">
      <c r="A317" s="91" t="s">
        <v>22715</v>
      </c>
      <c r="B317">
        <v>330864</v>
      </c>
      <c r="E317">
        <v>330864</v>
      </c>
    </row>
    <row r="318" spans="1:5" x14ac:dyDescent="0.25">
      <c r="A318" s="91" t="s">
        <v>22716</v>
      </c>
      <c r="D318">
        <v>454708</v>
      </c>
      <c r="E318">
        <v>454708</v>
      </c>
    </row>
    <row r="319" spans="1:5" x14ac:dyDescent="0.25">
      <c r="A319" s="91" t="s">
        <v>22717</v>
      </c>
      <c r="B319">
        <v>646430</v>
      </c>
      <c r="E319">
        <v>646430</v>
      </c>
    </row>
    <row r="320" spans="1:5" x14ac:dyDescent="0.25">
      <c r="A320" s="91" t="s">
        <v>22718</v>
      </c>
      <c r="C320">
        <v>645529</v>
      </c>
      <c r="E320">
        <v>645529</v>
      </c>
    </row>
    <row r="321" spans="1:5" x14ac:dyDescent="0.25">
      <c r="A321" s="91" t="s">
        <v>22719</v>
      </c>
      <c r="C321">
        <v>784517</v>
      </c>
      <c r="E321">
        <v>784517</v>
      </c>
    </row>
    <row r="322" spans="1:5" x14ac:dyDescent="0.25">
      <c r="A322" s="91" t="s">
        <v>22720</v>
      </c>
      <c r="B322">
        <v>624821</v>
      </c>
      <c r="E322">
        <v>624821</v>
      </c>
    </row>
    <row r="323" spans="1:5" x14ac:dyDescent="0.25">
      <c r="A323" s="91" t="s">
        <v>22721</v>
      </c>
      <c r="C323">
        <v>523072</v>
      </c>
      <c r="E323">
        <v>523072</v>
      </c>
    </row>
    <row r="324" spans="1:5" x14ac:dyDescent="0.25">
      <c r="A324" s="91" t="s">
        <v>22722</v>
      </c>
      <c r="B324">
        <v>729765</v>
      </c>
      <c r="E324">
        <v>729765</v>
      </c>
    </row>
    <row r="325" spans="1:5" x14ac:dyDescent="0.25">
      <c r="A325" s="91" t="s">
        <v>22723</v>
      </c>
      <c r="B325">
        <v>414450</v>
      </c>
      <c r="E325">
        <v>414450</v>
      </c>
    </row>
    <row r="326" spans="1:5" x14ac:dyDescent="0.25">
      <c r="A326" s="91" t="s">
        <v>22724</v>
      </c>
      <c r="C326">
        <v>575546</v>
      </c>
      <c r="E326">
        <v>575546</v>
      </c>
    </row>
    <row r="327" spans="1:5" x14ac:dyDescent="0.25">
      <c r="A327" s="91" t="s">
        <v>22725</v>
      </c>
      <c r="B327">
        <v>810883</v>
      </c>
      <c r="E327">
        <v>810883</v>
      </c>
    </row>
    <row r="328" spans="1:5" x14ac:dyDescent="0.25">
      <c r="A328" s="91" t="s">
        <v>22726</v>
      </c>
      <c r="C328">
        <v>558872</v>
      </c>
      <c r="E328">
        <v>558872</v>
      </c>
    </row>
    <row r="329" spans="1:5" x14ac:dyDescent="0.25">
      <c r="A329" s="91" t="s">
        <v>22727</v>
      </c>
      <c r="C329">
        <v>573666</v>
      </c>
      <c r="E329">
        <v>573666</v>
      </c>
    </row>
    <row r="330" spans="1:5" x14ac:dyDescent="0.25">
      <c r="A330" s="91" t="s">
        <v>22728</v>
      </c>
      <c r="B330">
        <v>690078</v>
      </c>
      <c r="E330">
        <v>690078</v>
      </c>
    </row>
    <row r="331" spans="1:5" x14ac:dyDescent="0.25">
      <c r="A331" s="91" t="s">
        <v>22729</v>
      </c>
      <c r="B331">
        <v>727326</v>
      </c>
      <c r="E331">
        <v>727326</v>
      </c>
    </row>
    <row r="332" spans="1:5" x14ac:dyDescent="0.25">
      <c r="A332" s="91" t="s">
        <v>22730</v>
      </c>
      <c r="C332">
        <v>698195</v>
      </c>
      <c r="E332">
        <v>698195</v>
      </c>
    </row>
    <row r="333" spans="1:5" x14ac:dyDescent="0.25">
      <c r="A333" s="91" t="s">
        <v>22731</v>
      </c>
      <c r="B333">
        <v>589906</v>
      </c>
      <c r="E333">
        <v>589906</v>
      </c>
    </row>
    <row r="334" spans="1:5" x14ac:dyDescent="0.25">
      <c r="A334" s="91" t="s">
        <v>22732</v>
      </c>
      <c r="D334">
        <v>1153023</v>
      </c>
      <c r="E334">
        <v>1153023</v>
      </c>
    </row>
    <row r="335" spans="1:5" x14ac:dyDescent="0.25">
      <c r="A335" s="91" t="s">
        <v>22733</v>
      </c>
      <c r="D335">
        <v>744781</v>
      </c>
      <c r="E335">
        <v>744781</v>
      </c>
    </row>
    <row r="336" spans="1:5" x14ac:dyDescent="0.25">
      <c r="A336" s="91" t="s">
        <v>22734</v>
      </c>
      <c r="C336">
        <v>580079</v>
      </c>
      <c r="E336">
        <v>580079</v>
      </c>
    </row>
    <row r="337" spans="1:5" x14ac:dyDescent="0.25">
      <c r="A337" s="91" t="s">
        <v>22735</v>
      </c>
      <c r="B337">
        <v>788591</v>
      </c>
      <c r="E337">
        <v>788591</v>
      </c>
    </row>
    <row r="338" spans="1:5" x14ac:dyDescent="0.25">
      <c r="A338" s="91" t="s">
        <v>22736</v>
      </c>
      <c r="D338">
        <v>711984</v>
      </c>
      <c r="E338">
        <v>711984</v>
      </c>
    </row>
    <row r="339" spans="1:5" x14ac:dyDescent="0.25">
      <c r="A339" s="91" t="s">
        <v>22737</v>
      </c>
      <c r="B339">
        <v>696346</v>
      </c>
      <c r="E339">
        <v>696346</v>
      </c>
    </row>
    <row r="340" spans="1:5" x14ac:dyDescent="0.25">
      <c r="A340" s="91" t="s">
        <v>22738</v>
      </c>
      <c r="B340">
        <v>607396</v>
      </c>
      <c r="E340">
        <v>607396</v>
      </c>
    </row>
    <row r="341" spans="1:5" x14ac:dyDescent="0.25">
      <c r="A341" s="91" t="s">
        <v>22739</v>
      </c>
      <c r="B341">
        <v>328657</v>
      </c>
      <c r="E341">
        <v>328657</v>
      </c>
    </row>
    <row r="342" spans="1:5" x14ac:dyDescent="0.25">
      <c r="A342" s="91" t="s">
        <v>22740</v>
      </c>
      <c r="C342">
        <v>951577</v>
      </c>
      <c r="E342">
        <v>951577</v>
      </c>
    </row>
    <row r="343" spans="1:5" x14ac:dyDescent="0.25">
      <c r="A343" s="91" t="s">
        <v>22741</v>
      </c>
      <c r="C343">
        <v>936364</v>
      </c>
      <c r="E343">
        <v>936364</v>
      </c>
    </row>
    <row r="344" spans="1:5" x14ac:dyDescent="0.25">
      <c r="A344" s="91" t="s">
        <v>22742</v>
      </c>
      <c r="D344">
        <v>739933</v>
      </c>
      <c r="E344">
        <v>739933</v>
      </c>
    </row>
    <row r="345" spans="1:5" x14ac:dyDescent="0.25">
      <c r="A345" s="91" t="s">
        <v>22743</v>
      </c>
      <c r="D345">
        <v>605464</v>
      </c>
      <c r="E345">
        <v>605464</v>
      </c>
    </row>
    <row r="346" spans="1:5" x14ac:dyDescent="0.25">
      <c r="A346" s="91" t="s">
        <v>22744</v>
      </c>
      <c r="C346">
        <v>704698</v>
      </c>
      <c r="E346">
        <v>704698</v>
      </c>
    </row>
    <row r="347" spans="1:5" x14ac:dyDescent="0.25">
      <c r="A347" s="91" t="s">
        <v>22745</v>
      </c>
      <c r="C347">
        <v>747967</v>
      </c>
      <c r="E347">
        <v>747967</v>
      </c>
    </row>
    <row r="348" spans="1:5" x14ac:dyDescent="0.25">
      <c r="A348" s="91" t="s">
        <v>22746</v>
      </c>
      <c r="B348">
        <v>823922</v>
      </c>
      <c r="E348">
        <v>823922</v>
      </c>
    </row>
    <row r="349" spans="1:5" x14ac:dyDescent="0.25">
      <c r="A349" s="91" t="s">
        <v>22747</v>
      </c>
      <c r="C349">
        <v>397375</v>
      </c>
      <c r="E349">
        <v>397375</v>
      </c>
    </row>
    <row r="350" spans="1:5" x14ac:dyDescent="0.25">
      <c r="A350" s="91" t="s">
        <v>22748</v>
      </c>
      <c r="C350">
        <v>621576</v>
      </c>
      <c r="E350">
        <v>621576</v>
      </c>
    </row>
    <row r="351" spans="1:5" x14ac:dyDescent="0.25">
      <c r="A351" s="91" t="s">
        <v>22749</v>
      </c>
      <c r="D351">
        <v>489050</v>
      </c>
      <c r="E351">
        <v>489050</v>
      </c>
    </row>
    <row r="352" spans="1:5" x14ac:dyDescent="0.25">
      <c r="A352" s="91" t="s">
        <v>22750</v>
      </c>
      <c r="B352">
        <v>603952</v>
      </c>
      <c r="E352">
        <v>603952</v>
      </c>
    </row>
    <row r="353" spans="1:5" x14ac:dyDescent="0.25">
      <c r="A353" s="91" t="s">
        <v>22751</v>
      </c>
      <c r="C353">
        <v>456453</v>
      </c>
      <c r="E353">
        <v>456453</v>
      </c>
    </row>
    <row r="354" spans="1:5" x14ac:dyDescent="0.25">
      <c r="A354" s="91" t="s">
        <v>22752</v>
      </c>
      <c r="B354">
        <v>479942</v>
      </c>
      <c r="E354">
        <v>479942</v>
      </c>
    </row>
    <row r="355" spans="1:5" x14ac:dyDescent="0.25">
      <c r="A355" s="91" t="s">
        <v>22753</v>
      </c>
      <c r="B355">
        <v>1196909</v>
      </c>
      <c r="E355">
        <v>1196909</v>
      </c>
    </row>
    <row r="356" spans="1:5" x14ac:dyDescent="0.25">
      <c r="A356" s="91" t="s">
        <v>22754</v>
      </c>
      <c r="D356">
        <v>948935</v>
      </c>
      <c r="E356">
        <v>948935</v>
      </c>
    </row>
    <row r="357" spans="1:5" x14ac:dyDescent="0.25">
      <c r="A357" s="91" t="s">
        <v>22755</v>
      </c>
      <c r="C357">
        <v>830970</v>
      </c>
      <c r="E357">
        <v>830970</v>
      </c>
    </row>
    <row r="358" spans="1:5" x14ac:dyDescent="0.25">
      <c r="A358" s="91" t="s">
        <v>22756</v>
      </c>
      <c r="C358">
        <v>642239</v>
      </c>
      <c r="E358">
        <v>642239</v>
      </c>
    </row>
    <row r="359" spans="1:5" x14ac:dyDescent="0.25">
      <c r="A359" s="91" t="s">
        <v>22757</v>
      </c>
      <c r="B359">
        <v>545501</v>
      </c>
      <c r="E359">
        <v>545501</v>
      </c>
    </row>
    <row r="360" spans="1:5" x14ac:dyDescent="0.25">
      <c r="A360" s="91" t="s">
        <v>22758</v>
      </c>
      <c r="B360">
        <v>894395</v>
      </c>
      <c r="E360">
        <v>894395</v>
      </c>
    </row>
    <row r="361" spans="1:5" x14ac:dyDescent="0.25">
      <c r="A361" s="91" t="s">
        <v>22759</v>
      </c>
      <c r="B361">
        <v>577150</v>
      </c>
      <c r="E361">
        <v>577150</v>
      </c>
    </row>
    <row r="362" spans="1:5" x14ac:dyDescent="0.25">
      <c r="A362" s="91" t="s">
        <v>22760</v>
      </c>
      <c r="C362">
        <v>878793</v>
      </c>
      <c r="E362">
        <v>878793</v>
      </c>
    </row>
    <row r="363" spans="1:5" x14ac:dyDescent="0.25">
      <c r="A363" s="91" t="s">
        <v>22761</v>
      </c>
      <c r="B363">
        <v>814665</v>
      </c>
      <c r="E363">
        <v>814665</v>
      </c>
    </row>
    <row r="364" spans="1:5" x14ac:dyDescent="0.25">
      <c r="A364" s="91" t="s">
        <v>22762</v>
      </c>
      <c r="C364">
        <v>499440</v>
      </c>
      <c r="E364">
        <v>499440</v>
      </c>
    </row>
    <row r="365" spans="1:5" x14ac:dyDescent="0.25">
      <c r="A365" s="91" t="s">
        <v>22763</v>
      </c>
      <c r="D365">
        <v>785519</v>
      </c>
      <c r="E365">
        <v>785519</v>
      </c>
    </row>
    <row r="366" spans="1:5" x14ac:dyDescent="0.25">
      <c r="A366" s="91" t="s">
        <v>22764</v>
      </c>
      <c r="D366">
        <v>539738</v>
      </c>
      <c r="E366">
        <v>539738</v>
      </c>
    </row>
    <row r="367" spans="1:5" x14ac:dyDescent="0.25">
      <c r="A367" s="91" t="s">
        <v>22765</v>
      </c>
      <c r="B367">
        <v>474985</v>
      </c>
      <c r="E367">
        <v>474985</v>
      </c>
    </row>
    <row r="368" spans="1:5" x14ac:dyDescent="0.25">
      <c r="A368" s="91" t="s">
        <v>22766</v>
      </c>
      <c r="C368">
        <v>787783</v>
      </c>
      <c r="E368">
        <v>787783</v>
      </c>
    </row>
    <row r="369" spans="1:5" x14ac:dyDescent="0.25">
      <c r="A369" s="91" t="s">
        <v>22767</v>
      </c>
      <c r="D369">
        <v>973243</v>
      </c>
      <c r="E369">
        <v>973243</v>
      </c>
    </row>
    <row r="370" spans="1:5" x14ac:dyDescent="0.25">
      <c r="A370" s="91" t="s">
        <v>22768</v>
      </c>
      <c r="C370">
        <v>921203</v>
      </c>
      <c r="E370">
        <v>921203</v>
      </c>
    </row>
    <row r="371" spans="1:5" x14ac:dyDescent="0.25">
      <c r="A371" s="91" t="s">
        <v>22769</v>
      </c>
      <c r="C371">
        <v>846165</v>
      </c>
      <c r="E371">
        <v>846165</v>
      </c>
    </row>
    <row r="372" spans="1:5" x14ac:dyDescent="0.25">
      <c r="A372" s="91" t="s">
        <v>22770</v>
      </c>
      <c r="D372">
        <v>767904</v>
      </c>
      <c r="E372">
        <v>767904</v>
      </c>
    </row>
    <row r="373" spans="1:5" x14ac:dyDescent="0.25">
      <c r="A373" s="91" t="s">
        <v>22771</v>
      </c>
      <c r="D373">
        <v>773763</v>
      </c>
      <c r="E373">
        <v>773763</v>
      </c>
    </row>
    <row r="374" spans="1:5" x14ac:dyDescent="0.25">
      <c r="A374" s="91" t="s">
        <v>22772</v>
      </c>
      <c r="D374">
        <v>833615</v>
      </c>
      <c r="E374">
        <v>833615</v>
      </c>
    </row>
    <row r="375" spans="1:5" x14ac:dyDescent="0.25">
      <c r="A375" s="91" t="s">
        <v>22773</v>
      </c>
      <c r="B375">
        <v>703757</v>
      </c>
      <c r="E375">
        <v>703757</v>
      </c>
    </row>
    <row r="376" spans="1:5" x14ac:dyDescent="0.25">
      <c r="A376" s="91" t="s">
        <v>22774</v>
      </c>
      <c r="D376">
        <v>864121</v>
      </c>
      <c r="E376">
        <v>864121</v>
      </c>
    </row>
    <row r="377" spans="1:5" x14ac:dyDescent="0.25">
      <c r="A377" s="91" t="s">
        <v>22775</v>
      </c>
      <c r="C377">
        <v>588509</v>
      </c>
      <c r="E377">
        <v>588509</v>
      </c>
    </row>
    <row r="378" spans="1:5" x14ac:dyDescent="0.25">
      <c r="A378" s="91" t="s">
        <v>22776</v>
      </c>
      <c r="C378">
        <v>528737</v>
      </c>
      <c r="E378">
        <v>528737</v>
      </c>
    </row>
    <row r="379" spans="1:5" x14ac:dyDescent="0.25">
      <c r="A379" s="91" t="s">
        <v>22777</v>
      </c>
      <c r="D379">
        <v>609653</v>
      </c>
      <c r="E379">
        <v>609653</v>
      </c>
    </row>
    <row r="380" spans="1:5" x14ac:dyDescent="0.25">
      <c r="A380" s="91" t="s">
        <v>22778</v>
      </c>
      <c r="B380">
        <v>876577</v>
      </c>
      <c r="E380">
        <v>876577</v>
      </c>
    </row>
    <row r="381" spans="1:5" x14ac:dyDescent="0.25">
      <c r="A381" s="91" t="s">
        <v>22779</v>
      </c>
      <c r="B381">
        <v>671362</v>
      </c>
      <c r="E381">
        <v>671362</v>
      </c>
    </row>
    <row r="382" spans="1:5" x14ac:dyDescent="0.25">
      <c r="A382" s="91" t="s">
        <v>22780</v>
      </c>
      <c r="C382">
        <v>431484</v>
      </c>
      <c r="E382">
        <v>431484</v>
      </c>
    </row>
    <row r="383" spans="1:5" x14ac:dyDescent="0.25">
      <c r="A383" s="91" t="s">
        <v>22781</v>
      </c>
      <c r="C383">
        <v>694093</v>
      </c>
      <c r="E383">
        <v>694093</v>
      </c>
    </row>
    <row r="384" spans="1:5" x14ac:dyDescent="0.25">
      <c r="A384" s="91" t="s">
        <v>22782</v>
      </c>
      <c r="D384">
        <v>421213</v>
      </c>
      <c r="E384">
        <v>421213</v>
      </c>
    </row>
    <row r="385" spans="1:5" x14ac:dyDescent="0.25">
      <c r="A385" s="91" t="s">
        <v>22783</v>
      </c>
      <c r="B385">
        <v>717908</v>
      </c>
      <c r="E385">
        <v>717908</v>
      </c>
    </row>
    <row r="386" spans="1:5" x14ac:dyDescent="0.25">
      <c r="A386" s="91" t="s">
        <v>22784</v>
      </c>
      <c r="C386">
        <v>737953</v>
      </c>
      <c r="E386">
        <v>737953</v>
      </c>
    </row>
    <row r="387" spans="1:5" x14ac:dyDescent="0.25">
      <c r="A387" s="91" t="s">
        <v>22785</v>
      </c>
      <c r="D387">
        <v>909707</v>
      </c>
      <c r="E387">
        <v>909707</v>
      </c>
    </row>
    <row r="388" spans="1:5" x14ac:dyDescent="0.25">
      <c r="A388" s="91" t="s">
        <v>22786</v>
      </c>
      <c r="D388">
        <v>425190</v>
      </c>
      <c r="E388">
        <v>425190</v>
      </c>
    </row>
    <row r="389" spans="1:5" x14ac:dyDescent="0.25">
      <c r="A389" s="91" t="s">
        <v>22787</v>
      </c>
      <c r="D389">
        <v>728077</v>
      </c>
      <c r="E389">
        <v>728077</v>
      </c>
    </row>
    <row r="390" spans="1:5" x14ac:dyDescent="0.25">
      <c r="A390" s="91" t="s">
        <v>22788</v>
      </c>
      <c r="D390">
        <v>638419</v>
      </c>
      <c r="E390">
        <v>638419</v>
      </c>
    </row>
    <row r="391" spans="1:5" x14ac:dyDescent="0.25">
      <c r="A391" s="91" t="s">
        <v>22789</v>
      </c>
      <c r="B391">
        <v>433083</v>
      </c>
      <c r="E391">
        <v>433083</v>
      </c>
    </row>
    <row r="392" spans="1:5" x14ac:dyDescent="0.25">
      <c r="A392" s="91" t="s">
        <v>22790</v>
      </c>
      <c r="B392">
        <v>445836</v>
      </c>
      <c r="E392">
        <v>445836</v>
      </c>
    </row>
    <row r="393" spans="1:5" x14ac:dyDescent="0.25">
      <c r="A393" s="91" t="s">
        <v>22791</v>
      </c>
      <c r="C393">
        <v>561077</v>
      </c>
      <c r="E393">
        <v>561077</v>
      </c>
    </row>
    <row r="394" spans="1:5" x14ac:dyDescent="0.25">
      <c r="A394" s="91" t="s">
        <v>22792</v>
      </c>
      <c r="C394">
        <v>722680</v>
      </c>
      <c r="E394">
        <v>722680</v>
      </c>
    </row>
    <row r="395" spans="1:5" x14ac:dyDescent="0.25">
      <c r="A395" s="91" t="s">
        <v>22793</v>
      </c>
      <c r="D395">
        <v>690784</v>
      </c>
      <c r="E395">
        <v>690784</v>
      </c>
    </row>
    <row r="396" spans="1:5" x14ac:dyDescent="0.25">
      <c r="A396" s="91" t="s">
        <v>22794</v>
      </c>
      <c r="B396">
        <v>886977</v>
      </c>
      <c r="E396">
        <v>886977</v>
      </c>
    </row>
    <row r="397" spans="1:5" x14ac:dyDescent="0.25">
      <c r="A397" s="91" t="s">
        <v>22795</v>
      </c>
      <c r="C397">
        <v>624543</v>
      </c>
      <c r="E397">
        <v>624543</v>
      </c>
    </row>
    <row r="398" spans="1:5" x14ac:dyDescent="0.25">
      <c r="A398" s="91" t="s">
        <v>22796</v>
      </c>
      <c r="D398">
        <v>739687</v>
      </c>
      <c r="E398">
        <v>739687</v>
      </c>
    </row>
    <row r="399" spans="1:5" x14ac:dyDescent="0.25">
      <c r="A399" s="91" t="s">
        <v>22797</v>
      </c>
      <c r="C399">
        <v>878279</v>
      </c>
      <c r="E399">
        <v>878279</v>
      </c>
    </row>
    <row r="400" spans="1:5" x14ac:dyDescent="0.25">
      <c r="A400" s="91" t="s">
        <v>22798</v>
      </c>
      <c r="B400">
        <v>574785</v>
      </c>
      <c r="E400">
        <v>574785</v>
      </c>
    </row>
    <row r="401" spans="1:5" x14ac:dyDescent="0.25">
      <c r="A401" s="91" t="s">
        <v>22799</v>
      </c>
      <c r="B401">
        <v>550691</v>
      </c>
      <c r="E401">
        <v>550691</v>
      </c>
    </row>
    <row r="402" spans="1:5" x14ac:dyDescent="0.25">
      <c r="A402" s="91" t="s">
        <v>22800</v>
      </c>
      <c r="B402">
        <v>906546</v>
      </c>
      <c r="E402">
        <v>906546</v>
      </c>
    </row>
    <row r="403" spans="1:5" x14ac:dyDescent="0.25">
      <c r="A403" s="91" t="s">
        <v>22801</v>
      </c>
      <c r="C403">
        <v>702109</v>
      </c>
      <c r="E403">
        <v>702109</v>
      </c>
    </row>
    <row r="404" spans="1:5" x14ac:dyDescent="0.25">
      <c r="A404" s="91" t="s">
        <v>22802</v>
      </c>
      <c r="D404">
        <v>669220</v>
      </c>
      <c r="E404">
        <v>669220</v>
      </c>
    </row>
    <row r="405" spans="1:5" x14ac:dyDescent="0.25">
      <c r="A405" s="91" t="s">
        <v>22803</v>
      </c>
      <c r="B405">
        <v>925114</v>
      </c>
      <c r="E405">
        <v>925114</v>
      </c>
    </row>
    <row r="406" spans="1:5" x14ac:dyDescent="0.25">
      <c r="A406" s="91" t="s">
        <v>22804</v>
      </c>
      <c r="B406">
        <v>644872</v>
      </c>
      <c r="E406">
        <v>644872</v>
      </c>
    </row>
    <row r="407" spans="1:5" x14ac:dyDescent="0.25">
      <c r="A407" s="91" t="s">
        <v>22805</v>
      </c>
      <c r="C407">
        <v>718836</v>
      </c>
      <c r="E407">
        <v>718836</v>
      </c>
    </row>
    <row r="408" spans="1:5" x14ac:dyDescent="0.25">
      <c r="A408" s="91" t="s">
        <v>22806</v>
      </c>
      <c r="C408">
        <v>458353</v>
      </c>
      <c r="E408">
        <v>458353</v>
      </c>
    </row>
    <row r="409" spans="1:5" x14ac:dyDescent="0.25">
      <c r="A409" s="91" t="s">
        <v>22807</v>
      </c>
      <c r="B409">
        <v>674452</v>
      </c>
      <c r="E409">
        <v>674452</v>
      </c>
    </row>
    <row r="410" spans="1:5" x14ac:dyDescent="0.25">
      <c r="A410" s="91" t="s">
        <v>22808</v>
      </c>
      <c r="D410">
        <v>506627</v>
      </c>
      <c r="E410">
        <v>506627</v>
      </c>
    </row>
    <row r="411" spans="1:5" x14ac:dyDescent="0.25">
      <c r="A411" s="91" t="s">
        <v>22809</v>
      </c>
      <c r="B411">
        <v>762746</v>
      </c>
      <c r="E411">
        <v>762746</v>
      </c>
    </row>
    <row r="412" spans="1:5" x14ac:dyDescent="0.25">
      <c r="A412" s="91" t="s">
        <v>22810</v>
      </c>
      <c r="B412">
        <v>822111</v>
      </c>
      <c r="E412">
        <v>822111</v>
      </c>
    </row>
    <row r="413" spans="1:5" x14ac:dyDescent="0.25">
      <c r="A413" s="91" t="s">
        <v>22811</v>
      </c>
      <c r="C413">
        <v>534301</v>
      </c>
      <c r="E413">
        <v>534301</v>
      </c>
    </row>
    <row r="414" spans="1:5" x14ac:dyDescent="0.25">
      <c r="A414" s="91" t="s">
        <v>22812</v>
      </c>
      <c r="B414">
        <v>807637</v>
      </c>
      <c r="E414">
        <v>807637</v>
      </c>
    </row>
    <row r="415" spans="1:5" x14ac:dyDescent="0.25">
      <c r="A415" s="91" t="s">
        <v>22813</v>
      </c>
      <c r="B415">
        <v>898061</v>
      </c>
      <c r="E415">
        <v>898061</v>
      </c>
    </row>
    <row r="416" spans="1:5" x14ac:dyDescent="0.25">
      <c r="A416" s="91" t="s">
        <v>22814</v>
      </c>
      <c r="D416">
        <v>875408</v>
      </c>
      <c r="E416">
        <v>875408</v>
      </c>
    </row>
    <row r="417" spans="1:5" x14ac:dyDescent="0.25">
      <c r="A417" s="91" t="s">
        <v>22815</v>
      </c>
      <c r="B417">
        <v>895817</v>
      </c>
      <c r="E417">
        <v>895817</v>
      </c>
    </row>
    <row r="418" spans="1:5" x14ac:dyDescent="0.25">
      <c r="A418" s="91" t="s">
        <v>22816</v>
      </c>
      <c r="D418">
        <v>499816</v>
      </c>
      <c r="E418">
        <v>499816</v>
      </c>
    </row>
    <row r="419" spans="1:5" x14ac:dyDescent="0.25">
      <c r="A419" s="91" t="s">
        <v>22817</v>
      </c>
      <c r="B419">
        <v>651320</v>
      </c>
      <c r="E419">
        <v>651320</v>
      </c>
    </row>
    <row r="420" spans="1:5" x14ac:dyDescent="0.25">
      <c r="A420" s="91" t="s">
        <v>22818</v>
      </c>
      <c r="C420">
        <v>1010499</v>
      </c>
      <c r="E420">
        <v>1010499</v>
      </c>
    </row>
    <row r="421" spans="1:5" x14ac:dyDescent="0.25">
      <c r="A421" s="91" t="s">
        <v>22819</v>
      </c>
      <c r="C421">
        <v>1005142</v>
      </c>
      <c r="E421">
        <v>1005142</v>
      </c>
    </row>
    <row r="422" spans="1:5" x14ac:dyDescent="0.25">
      <c r="A422" s="91" t="s">
        <v>22820</v>
      </c>
      <c r="D422">
        <v>610321</v>
      </c>
      <c r="E422">
        <v>610321</v>
      </c>
    </row>
    <row r="423" spans="1:5" x14ac:dyDescent="0.25">
      <c r="A423" s="91" t="s">
        <v>22821</v>
      </c>
      <c r="C423">
        <v>704311</v>
      </c>
      <c r="E423">
        <v>704311</v>
      </c>
    </row>
    <row r="424" spans="1:5" x14ac:dyDescent="0.25">
      <c r="A424" s="91" t="s">
        <v>22822</v>
      </c>
      <c r="D424">
        <v>757866</v>
      </c>
      <c r="E424">
        <v>757866</v>
      </c>
    </row>
    <row r="425" spans="1:5" x14ac:dyDescent="0.25">
      <c r="A425" s="91" t="s">
        <v>22823</v>
      </c>
      <c r="D425">
        <v>609192</v>
      </c>
      <c r="E425">
        <v>609192</v>
      </c>
    </row>
    <row r="426" spans="1:5" x14ac:dyDescent="0.25">
      <c r="A426" s="91" t="s">
        <v>22824</v>
      </c>
      <c r="C426">
        <v>660133</v>
      </c>
      <c r="E426">
        <v>660133</v>
      </c>
    </row>
    <row r="427" spans="1:5" x14ac:dyDescent="0.25">
      <c r="A427" s="91" t="s">
        <v>22825</v>
      </c>
      <c r="D427">
        <v>785055</v>
      </c>
      <c r="E427">
        <v>785055</v>
      </c>
    </row>
    <row r="428" spans="1:5" x14ac:dyDescent="0.25">
      <c r="A428" s="91" t="s">
        <v>22826</v>
      </c>
      <c r="C428">
        <v>481035</v>
      </c>
      <c r="E428">
        <v>481035</v>
      </c>
    </row>
    <row r="429" spans="1:5" x14ac:dyDescent="0.25">
      <c r="A429" s="91" t="s">
        <v>22827</v>
      </c>
      <c r="C429">
        <v>788197</v>
      </c>
      <c r="E429">
        <v>788197</v>
      </c>
    </row>
    <row r="430" spans="1:5" x14ac:dyDescent="0.25">
      <c r="A430" s="91" t="s">
        <v>22828</v>
      </c>
      <c r="C430">
        <v>852493</v>
      </c>
      <c r="E430">
        <v>852493</v>
      </c>
    </row>
    <row r="431" spans="1:5" x14ac:dyDescent="0.25">
      <c r="A431" s="91" t="s">
        <v>22829</v>
      </c>
      <c r="D431">
        <v>608507</v>
      </c>
      <c r="E431">
        <v>608507</v>
      </c>
    </row>
    <row r="432" spans="1:5" x14ac:dyDescent="0.25">
      <c r="A432" s="91" t="s">
        <v>22830</v>
      </c>
      <c r="B432">
        <v>596801</v>
      </c>
      <c r="E432">
        <v>596801</v>
      </c>
    </row>
    <row r="433" spans="1:5" x14ac:dyDescent="0.25">
      <c r="A433" s="91" t="s">
        <v>22831</v>
      </c>
      <c r="C433">
        <v>360151</v>
      </c>
      <c r="E433">
        <v>360151</v>
      </c>
    </row>
    <row r="434" spans="1:5" x14ac:dyDescent="0.25">
      <c r="A434" s="91" t="s">
        <v>22832</v>
      </c>
      <c r="B434">
        <v>482137</v>
      </c>
      <c r="E434">
        <v>482137</v>
      </c>
    </row>
    <row r="435" spans="1:5" x14ac:dyDescent="0.25">
      <c r="A435" s="91" t="s">
        <v>22833</v>
      </c>
      <c r="B435">
        <v>555207</v>
      </c>
      <c r="E435">
        <v>555207</v>
      </c>
    </row>
    <row r="436" spans="1:5" x14ac:dyDescent="0.25">
      <c r="A436" s="91" t="s">
        <v>22834</v>
      </c>
      <c r="B436">
        <v>599910</v>
      </c>
      <c r="E436">
        <v>599910</v>
      </c>
    </row>
    <row r="437" spans="1:5" x14ac:dyDescent="0.25">
      <c r="A437" s="91" t="s">
        <v>22835</v>
      </c>
      <c r="B437">
        <v>794444</v>
      </c>
      <c r="E437">
        <v>794444</v>
      </c>
    </row>
    <row r="438" spans="1:5" x14ac:dyDescent="0.25">
      <c r="A438" s="91" t="s">
        <v>22836</v>
      </c>
      <c r="C438">
        <v>644947</v>
      </c>
      <c r="E438">
        <v>644947</v>
      </c>
    </row>
    <row r="439" spans="1:5" x14ac:dyDescent="0.25">
      <c r="A439" s="91" t="s">
        <v>22837</v>
      </c>
      <c r="C439">
        <v>599501</v>
      </c>
      <c r="E439">
        <v>599501</v>
      </c>
    </row>
    <row r="440" spans="1:5" x14ac:dyDescent="0.25">
      <c r="A440" s="91" t="s">
        <v>22838</v>
      </c>
      <c r="D440">
        <v>615075</v>
      </c>
      <c r="E440">
        <v>615075</v>
      </c>
    </row>
    <row r="441" spans="1:5" x14ac:dyDescent="0.25">
      <c r="A441" s="91" t="s">
        <v>22839</v>
      </c>
      <c r="D441">
        <v>685881</v>
      </c>
      <c r="E441">
        <v>685881</v>
      </c>
    </row>
    <row r="442" spans="1:5" x14ac:dyDescent="0.25">
      <c r="A442" s="91" t="s">
        <v>22840</v>
      </c>
      <c r="D442">
        <v>638646</v>
      </c>
      <c r="E442">
        <v>638646</v>
      </c>
    </row>
    <row r="443" spans="1:5" x14ac:dyDescent="0.25">
      <c r="A443" s="91" t="s">
        <v>22841</v>
      </c>
      <c r="D443">
        <v>456999</v>
      </c>
      <c r="E443">
        <v>456999</v>
      </c>
    </row>
    <row r="444" spans="1:5" x14ac:dyDescent="0.25">
      <c r="A444" s="91" t="s">
        <v>22842</v>
      </c>
      <c r="D444">
        <v>791364</v>
      </c>
      <c r="E444">
        <v>791364</v>
      </c>
    </row>
    <row r="445" spans="1:5" x14ac:dyDescent="0.25">
      <c r="A445" s="91" t="s">
        <v>22843</v>
      </c>
      <c r="D445">
        <v>573607</v>
      </c>
      <c r="E445">
        <v>573607</v>
      </c>
    </row>
    <row r="446" spans="1:5" x14ac:dyDescent="0.25">
      <c r="A446" s="91" t="s">
        <v>22844</v>
      </c>
      <c r="B446">
        <v>722087</v>
      </c>
      <c r="E446">
        <v>722087</v>
      </c>
    </row>
    <row r="447" spans="1:5" x14ac:dyDescent="0.25">
      <c r="A447" s="91" t="s">
        <v>22845</v>
      </c>
      <c r="C447">
        <v>499847</v>
      </c>
      <c r="E447">
        <v>499847</v>
      </c>
    </row>
    <row r="448" spans="1:5" x14ac:dyDescent="0.25">
      <c r="A448" s="91" t="s">
        <v>22846</v>
      </c>
      <c r="D448">
        <v>457093</v>
      </c>
      <c r="E448">
        <v>457093</v>
      </c>
    </row>
    <row r="449" spans="1:5" x14ac:dyDescent="0.25">
      <c r="A449" s="91" t="s">
        <v>22847</v>
      </c>
      <c r="D449">
        <v>743306</v>
      </c>
      <c r="E449">
        <v>743306</v>
      </c>
    </row>
    <row r="450" spans="1:5" x14ac:dyDescent="0.25">
      <c r="A450" s="91" t="s">
        <v>22848</v>
      </c>
      <c r="C450">
        <v>334109</v>
      </c>
      <c r="E450">
        <v>334109</v>
      </c>
    </row>
    <row r="451" spans="1:5" x14ac:dyDescent="0.25">
      <c r="A451" s="91" t="s">
        <v>22849</v>
      </c>
      <c r="C451">
        <v>625052</v>
      </c>
      <c r="E451">
        <v>625052</v>
      </c>
    </row>
    <row r="452" spans="1:5" x14ac:dyDescent="0.25">
      <c r="A452" s="91" t="s">
        <v>22850</v>
      </c>
      <c r="B452">
        <v>676061</v>
      </c>
      <c r="E452">
        <v>676061</v>
      </c>
    </row>
    <row r="453" spans="1:5" x14ac:dyDescent="0.25">
      <c r="A453" s="91" t="s">
        <v>22851</v>
      </c>
      <c r="D453">
        <v>781397</v>
      </c>
      <c r="E453">
        <v>781397</v>
      </c>
    </row>
    <row r="454" spans="1:5" x14ac:dyDescent="0.25">
      <c r="A454" s="91" t="s">
        <v>22852</v>
      </c>
      <c r="B454">
        <v>600732</v>
      </c>
      <c r="E454">
        <v>600732</v>
      </c>
    </row>
    <row r="455" spans="1:5" x14ac:dyDescent="0.25">
      <c r="A455" s="91" t="s">
        <v>22853</v>
      </c>
      <c r="C455">
        <v>473689</v>
      </c>
      <c r="E455">
        <v>473689</v>
      </c>
    </row>
    <row r="456" spans="1:5" x14ac:dyDescent="0.25">
      <c r="A456" s="91" t="s">
        <v>22854</v>
      </c>
      <c r="B456">
        <v>898865</v>
      </c>
      <c r="E456">
        <v>898865</v>
      </c>
    </row>
    <row r="457" spans="1:5" x14ac:dyDescent="0.25">
      <c r="A457" s="91" t="s">
        <v>22855</v>
      </c>
      <c r="C457">
        <v>701835</v>
      </c>
      <c r="E457">
        <v>701835</v>
      </c>
    </row>
    <row r="458" spans="1:5" x14ac:dyDescent="0.25">
      <c r="A458" s="91" t="s">
        <v>22856</v>
      </c>
      <c r="B458">
        <v>937273</v>
      </c>
      <c r="E458">
        <v>937273</v>
      </c>
    </row>
    <row r="459" spans="1:5" x14ac:dyDescent="0.25">
      <c r="A459" s="91" t="s">
        <v>22857</v>
      </c>
      <c r="D459">
        <v>619204</v>
      </c>
      <c r="E459">
        <v>619204</v>
      </c>
    </row>
    <row r="460" spans="1:5" x14ac:dyDescent="0.25">
      <c r="A460" s="91" t="s">
        <v>22858</v>
      </c>
      <c r="C460">
        <v>621858</v>
      </c>
      <c r="E460">
        <v>621858</v>
      </c>
    </row>
    <row r="461" spans="1:5" x14ac:dyDescent="0.25">
      <c r="A461" s="91" t="s">
        <v>22859</v>
      </c>
      <c r="C461">
        <v>780782</v>
      </c>
      <c r="E461">
        <v>780782</v>
      </c>
    </row>
    <row r="462" spans="1:5" x14ac:dyDescent="0.25">
      <c r="A462" s="91" t="s">
        <v>22860</v>
      </c>
      <c r="B462">
        <v>627760</v>
      </c>
      <c r="E462">
        <v>627760</v>
      </c>
    </row>
    <row r="463" spans="1:5" x14ac:dyDescent="0.25">
      <c r="A463" s="91" t="s">
        <v>22861</v>
      </c>
      <c r="C463">
        <v>878309</v>
      </c>
      <c r="E463">
        <v>878309</v>
      </c>
    </row>
    <row r="464" spans="1:5" x14ac:dyDescent="0.25">
      <c r="A464" s="91" t="s">
        <v>22862</v>
      </c>
      <c r="D464">
        <v>900340</v>
      </c>
      <c r="E464">
        <v>900340</v>
      </c>
    </row>
    <row r="465" spans="1:5" x14ac:dyDescent="0.25">
      <c r="A465" s="91" t="s">
        <v>22863</v>
      </c>
      <c r="D465">
        <v>665332</v>
      </c>
      <c r="E465">
        <v>665332</v>
      </c>
    </row>
    <row r="466" spans="1:5" x14ac:dyDescent="0.25">
      <c r="A466" s="91" t="s">
        <v>22864</v>
      </c>
      <c r="D466">
        <v>549569</v>
      </c>
      <c r="E466">
        <v>549569</v>
      </c>
    </row>
    <row r="467" spans="1:5" x14ac:dyDescent="0.25">
      <c r="A467" s="91" t="s">
        <v>22865</v>
      </c>
      <c r="C467">
        <v>781150</v>
      </c>
      <c r="E467">
        <v>781150</v>
      </c>
    </row>
    <row r="468" spans="1:5" x14ac:dyDescent="0.25">
      <c r="A468" s="91" t="s">
        <v>22866</v>
      </c>
      <c r="D468">
        <v>851032</v>
      </c>
      <c r="E468">
        <v>851032</v>
      </c>
    </row>
    <row r="469" spans="1:5" x14ac:dyDescent="0.25">
      <c r="A469" s="91" t="s">
        <v>22867</v>
      </c>
      <c r="B469">
        <v>673026</v>
      </c>
      <c r="E469">
        <v>673026</v>
      </c>
    </row>
    <row r="470" spans="1:5" x14ac:dyDescent="0.25">
      <c r="A470" s="91" t="s">
        <v>22868</v>
      </c>
      <c r="B470">
        <v>664135</v>
      </c>
      <c r="E470">
        <v>664135</v>
      </c>
    </row>
    <row r="471" spans="1:5" x14ac:dyDescent="0.25">
      <c r="A471" s="91" t="s">
        <v>22869</v>
      </c>
      <c r="D471">
        <v>455822</v>
      </c>
      <c r="E471">
        <v>455822</v>
      </c>
    </row>
    <row r="472" spans="1:5" x14ac:dyDescent="0.25">
      <c r="A472" s="91" t="s">
        <v>22870</v>
      </c>
      <c r="D472">
        <v>696628</v>
      </c>
      <c r="E472">
        <v>696628</v>
      </c>
    </row>
    <row r="473" spans="1:5" x14ac:dyDescent="0.25">
      <c r="A473" s="91" t="s">
        <v>22871</v>
      </c>
      <c r="C473">
        <v>480741</v>
      </c>
      <c r="E473">
        <v>480741</v>
      </c>
    </row>
    <row r="474" spans="1:5" x14ac:dyDescent="0.25">
      <c r="A474" s="91" t="s">
        <v>22872</v>
      </c>
      <c r="D474">
        <v>773542</v>
      </c>
      <c r="E474">
        <v>773542</v>
      </c>
    </row>
    <row r="475" spans="1:5" x14ac:dyDescent="0.25">
      <c r="A475" s="91" t="s">
        <v>22873</v>
      </c>
      <c r="D475">
        <v>403196</v>
      </c>
      <c r="E475">
        <v>403196</v>
      </c>
    </row>
    <row r="476" spans="1:5" x14ac:dyDescent="0.25">
      <c r="A476" s="91" t="s">
        <v>22874</v>
      </c>
      <c r="C476">
        <v>868613</v>
      </c>
      <c r="E476">
        <v>868613</v>
      </c>
    </row>
    <row r="477" spans="1:5" x14ac:dyDescent="0.25">
      <c r="A477" s="91" t="s">
        <v>22875</v>
      </c>
      <c r="C477">
        <v>835084</v>
      </c>
      <c r="E477">
        <v>835084</v>
      </c>
    </row>
    <row r="478" spans="1:5" x14ac:dyDescent="0.25">
      <c r="A478" s="91" t="s">
        <v>22876</v>
      </c>
      <c r="D478">
        <v>717332</v>
      </c>
      <c r="E478">
        <v>717332</v>
      </c>
    </row>
    <row r="479" spans="1:5" x14ac:dyDescent="0.25">
      <c r="A479" s="91" t="s">
        <v>22877</v>
      </c>
      <c r="D479">
        <v>751367</v>
      </c>
      <c r="E479">
        <v>751367</v>
      </c>
    </row>
    <row r="480" spans="1:5" x14ac:dyDescent="0.25">
      <c r="A480" s="91" t="s">
        <v>22878</v>
      </c>
      <c r="B480">
        <v>516401</v>
      </c>
      <c r="E480">
        <v>516401</v>
      </c>
    </row>
    <row r="481" spans="1:5" x14ac:dyDescent="0.25">
      <c r="A481" s="91" t="s">
        <v>22879</v>
      </c>
      <c r="D481">
        <v>551370</v>
      </c>
      <c r="E481">
        <v>551370</v>
      </c>
    </row>
    <row r="482" spans="1:5" x14ac:dyDescent="0.25">
      <c r="A482" s="91" t="s">
        <v>22880</v>
      </c>
      <c r="B482">
        <v>729900</v>
      </c>
      <c r="E482">
        <v>729900</v>
      </c>
    </row>
    <row r="483" spans="1:5" x14ac:dyDescent="0.25">
      <c r="A483" s="91" t="s">
        <v>22881</v>
      </c>
      <c r="C483">
        <v>741013</v>
      </c>
      <c r="E483">
        <v>741013</v>
      </c>
    </row>
    <row r="484" spans="1:5" x14ac:dyDescent="0.25">
      <c r="A484" s="91" t="s">
        <v>22882</v>
      </c>
      <c r="B484">
        <v>468615</v>
      </c>
      <c r="E484">
        <v>468615</v>
      </c>
    </row>
    <row r="485" spans="1:5" x14ac:dyDescent="0.25">
      <c r="A485" s="91" t="s">
        <v>22883</v>
      </c>
      <c r="D485">
        <v>640400</v>
      </c>
      <c r="E485">
        <v>640400</v>
      </c>
    </row>
    <row r="486" spans="1:5" x14ac:dyDescent="0.25">
      <c r="A486" s="91" t="s">
        <v>22884</v>
      </c>
      <c r="C486">
        <v>659507</v>
      </c>
      <c r="E486">
        <v>659507</v>
      </c>
    </row>
    <row r="487" spans="1:5" x14ac:dyDescent="0.25">
      <c r="A487" s="91" t="s">
        <v>22885</v>
      </c>
      <c r="B487">
        <v>543496</v>
      </c>
      <c r="E487">
        <v>543496</v>
      </c>
    </row>
    <row r="488" spans="1:5" x14ac:dyDescent="0.25">
      <c r="A488" s="91" t="s">
        <v>22886</v>
      </c>
      <c r="D488">
        <v>729594</v>
      </c>
      <c r="E488">
        <v>729594</v>
      </c>
    </row>
    <row r="489" spans="1:5" x14ac:dyDescent="0.25">
      <c r="A489" s="91" t="s">
        <v>22887</v>
      </c>
      <c r="D489">
        <v>525024</v>
      </c>
      <c r="E489">
        <v>525024</v>
      </c>
    </row>
    <row r="490" spans="1:5" x14ac:dyDescent="0.25">
      <c r="A490" s="91" t="s">
        <v>22888</v>
      </c>
      <c r="C490">
        <v>277209</v>
      </c>
      <c r="E490">
        <v>277209</v>
      </c>
    </row>
    <row r="491" spans="1:5" x14ac:dyDescent="0.25">
      <c r="A491" s="91" t="s">
        <v>22889</v>
      </c>
      <c r="D491">
        <v>633620</v>
      </c>
      <c r="E491">
        <v>633620</v>
      </c>
    </row>
    <row r="492" spans="1:5" x14ac:dyDescent="0.25">
      <c r="A492" s="91" t="s">
        <v>22890</v>
      </c>
      <c r="D492">
        <v>633741</v>
      </c>
      <c r="E492">
        <v>633741</v>
      </c>
    </row>
    <row r="493" spans="1:5" x14ac:dyDescent="0.25">
      <c r="A493" s="91" t="s">
        <v>22891</v>
      </c>
      <c r="C493">
        <v>573111</v>
      </c>
      <c r="E493">
        <v>573111</v>
      </c>
    </row>
    <row r="494" spans="1:5" x14ac:dyDescent="0.25">
      <c r="A494" s="91" t="s">
        <v>22892</v>
      </c>
      <c r="D494">
        <v>618954</v>
      </c>
      <c r="E494">
        <v>618954</v>
      </c>
    </row>
    <row r="495" spans="1:5" x14ac:dyDescent="0.25">
      <c r="A495" s="91" t="s">
        <v>22893</v>
      </c>
      <c r="B495">
        <v>644768</v>
      </c>
      <c r="E495">
        <v>644768</v>
      </c>
    </row>
    <row r="496" spans="1:5" x14ac:dyDescent="0.25">
      <c r="A496" s="91" t="s">
        <v>22894</v>
      </c>
      <c r="D496">
        <v>463959</v>
      </c>
      <c r="E496">
        <v>463959</v>
      </c>
    </row>
    <row r="497" spans="1:5" x14ac:dyDescent="0.25">
      <c r="A497" s="91" t="s">
        <v>22895</v>
      </c>
      <c r="B497">
        <v>665204</v>
      </c>
      <c r="E497">
        <v>665204</v>
      </c>
    </row>
    <row r="498" spans="1:5" x14ac:dyDescent="0.25">
      <c r="A498" s="91" t="s">
        <v>22896</v>
      </c>
      <c r="C498">
        <v>694245</v>
      </c>
      <c r="E498">
        <v>694245</v>
      </c>
    </row>
    <row r="499" spans="1:5" x14ac:dyDescent="0.25">
      <c r="A499" s="91" t="s">
        <v>22897</v>
      </c>
      <c r="B499">
        <v>631490</v>
      </c>
      <c r="E499">
        <v>631490</v>
      </c>
    </row>
    <row r="500" spans="1:5" x14ac:dyDescent="0.25">
      <c r="A500" s="91" t="s">
        <v>22898</v>
      </c>
      <c r="C500">
        <v>593010</v>
      </c>
      <c r="E500">
        <v>593010</v>
      </c>
    </row>
    <row r="501" spans="1:5" x14ac:dyDescent="0.25">
      <c r="A501" s="91" t="s">
        <v>22899</v>
      </c>
      <c r="B501">
        <v>650996</v>
      </c>
      <c r="E501">
        <v>650996</v>
      </c>
    </row>
    <row r="502" spans="1:5" x14ac:dyDescent="0.25">
      <c r="A502" s="91" t="s">
        <v>22900</v>
      </c>
      <c r="C502">
        <v>782719</v>
      </c>
      <c r="E502">
        <v>782719</v>
      </c>
    </row>
    <row r="503" spans="1:5" x14ac:dyDescent="0.25">
      <c r="A503" s="91" t="s">
        <v>22901</v>
      </c>
      <c r="C503">
        <v>622486</v>
      </c>
      <c r="E503">
        <v>622486</v>
      </c>
    </row>
    <row r="504" spans="1:5" x14ac:dyDescent="0.25">
      <c r="A504" s="91" t="s">
        <v>22902</v>
      </c>
      <c r="D504">
        <v>543953</v>
      </c>
      <c r="E504">
        <v>543953</v>
      </c>
    </row>
    <row r="505" spans="1:5" x14ac:dyDescent="0.25">
      <c r="A505" s="91" t="s">
        <v>22903</v>
      </c>
      <c r="C505">
        <v>774746</v>
      </c>
      <c r="E505">
        <v>774746</v>
      </c>
    </row>
    <row r="506" spans="1:5" x14ac:dyDescent="0.25">
      <c r="A506" s="91" t="s">
        <v>22904</v>
      </c>
      <c r="C506">
        <v>735952</v>
      </c>
      <c r="E506">
        <v>735952</v>
      </c>
    </row>
    <row r="507" spans="1:5" x14ac:dyDescent="0.25">
      <c r="A507" s="91" t="s">
        <v>22905</v>
      </c>
      <c r="D507">
        <v>704891</v>
      </c>
      <c r="E507">
        <v>704891</v>
      </c>
    </row>
    <row r="508" spans="1:5" x14ac:dyDescent="0.25">
      <c r="A508" s="91" t="s">
        <v>22906</v>
      </c>
      <c r="D508">
        <v>586374</v>
      </c>
      <c r="E508">
        <v>586374</v>
      </c>
    </row>
    <row r="509" spans="1:5" x14ac:dyDescent="0.25">
      <c r="A509" s="91" t="s">
        <v>22907</v>
      </c>
      <c r="D509">
        <v>945309</v>
      </c>
      <c r="E509">
        <v>945309</v>
      </c>
    </row>
    <row r="510" spans="1:5" x14ac:dyDescent="0.25">
      <c r="A510" s="91" t="s">
        <v>22908</v>
      </c>
      <c r="B510">
        <v>699928</v>
      </c>
      <c r="E510">
        <v>699928</v>
      </c>
    </row>
    <row r="511" spans="1:5" x14ac:dyDescent="0.25">
      <c r="A511" s="91" t="s">
        <v>22909</v>
      </c>
      <c r="B511">
        <v>599656</v>
      </c>
      <c r="E511">
        <v>599656</v>
      </c>
    </row>
    <row r="512" spans="1:5" x14ac:dyDescent="0.25">
      <c r="A512" s="91" t="s">
        <v>22910</v>
      </c>
      <c r="C512">
        <v>570251</v>
      </c>
      <c r="E512">
        <v>570251</v>
      </c>
    </row>
    <row r="513" spans="1:5" x14ac:dyDescent="0.25">
      <c r="A513" s="91" t="s">
        <v>22911</v>
      </c>
      <c r="D513">
        <v>893432</v>
      </c>
      <c r="E513">
        <v>893432</v>
      </c>
    </row>
    <row r="514" spans="1:5" x14ac:dyDescent="0.25">
      <c r="A514" s="91" t="s">
        <v>22912</v>
      </c>
      <c r="C514">
        <v>833825</v>
      </c>
      <c r="E514">
        <v>833825</v>
      </c>
    </row>
    <row r="515" spans="1:5" x14ac:dyDescent="0.25">
      <c r="A515" s="91" t="s">
        <v>22913</v>
      </c>
      <c r="C515">
        <v>766017</v>
      </c>
      <c r="E515">
        <v>766017</v>
      </c>
    </row>
    <row r="516" spans="1:5" x14ac:dyDescent="0.25">
      <c r="A516" s="91" t="s">
        <v>22914</v>
      </c>
      <c r="D516">
        <v>595107</v>
      </c>
      <c r="E516">
        <v>595107</v>
      </c>
    </row>
    <row r="517" spans="1:5" x14ac:dyDescent="0.25">
      <c r="A517" s="91" t="s">
        <v>22915</v>
      </c>
      <c r="D517">
        <v>916079</v>
      </c>
      <c r="E517">
        <v>916079</v>
      </c>
    </row>
    <row r="518" spans="1:5" x14ac:dyDescent="0.25">
      <c r="A518" s="91" t="s">
        <v>22916</v>
      </c>
      <c r="C518">
        <v>681071</v>
      </c>
      <c r="E518">
        <v>681071</v>
      </c>
    </row>
    <row r="519" spans="1:5" x14ac:dyDescent="0.25">
      <c r="A519" s="91" t="s">
        <v>22917</v>
      </c>
      <c r="C519">
        <v>598593</v>
      </c>
      <c r="E519">
        <v>598593</v>
      </c>
    </row>
    <row r="520" spans="1:5" x14ac:dyDescent="0.25">
      <c r="A520" s="91" t="s">
        <v>22918</v>
      </c>
      <c r="C520">
        <v>831331</v>
      </c>
      <c r="E520">
        <v>831331</v>
      </c>
    </row>
    <row r="521" spans="1:5" x14ac:dyDescent="0.25">
      <c r="A521" s="91" t="s">
        <v>22919</v>
      </c>
      <c r="C521">
        <v>564088</v>
      </c>
      <c r="E521">
        <v>564088</v>
      </c>
    </row>
    <row r="522" spans="1:5" x14ac:dyDescent="0.25">
      <c r="A522" s="91" t="s">
        <v>22920</v>
      </c>
      <c r="B522">
        <v>417717</v>
      </c>
      <c r="E522">
        <v>417717</v>
      </c>
    </row>
    <row r="523" spans="1:5" x14ac:dyDescent="0.25">
      <c r="A523" s="91" t="s">
        <v>22921</v>
      </c>
      <c r="D523">
        <v>982350</v>
      </c>
      <c r="E523">
        <v>982350</v>
      </c>
    </row>
    <row r="524" spans="1:5" x14ac:dyDescent="0.25">
      <c r="A524" s="91" t="s">
        <v>22922</v>
      </c>
      <c r="B524">
        <v>637937</v>
      </c>
      <c r="E524">
        <v>637937</v>
      </c>
    </row>
    <row r="525" spans="1:5" x14ac:dyDescent="0.25">
      <c r="A525" s="91" t="s">
        <v>22923</v>
      </c>
      <c r="D525">
        <v>956782</v>
      </c>
      <c r="E525">
        <v>956782</v>
      </c>
    </row>
    <row r="526" spans="1:5" x14ac:dyDescent="0.25">
      <c r="A526" s="91" t="s">
        <v>22924</v>
      </c>
      <c r="B526">
        <v>747840</v>
      </c>
      <c r="E526">
        <v>747840</v>
      </c>
    </row>
    <row r="527" spans="1:5" x14ac:dyDescent="0.25">
      <c r="A527" s="91" t="s">
        <v>22925</v>
      </c>
      <c r="D527">
        <v>626420</v>
      </c>
      <c r="E527">
        <v>626420</v>
      </c>
    </row>
    <row r="528" spans="1:5" x14ac:dyDescent="0.25">
      <c r="A528" s="91" t="s">
        <v>22926</v>
      </c>
      <c r="D528">
        <v>462920</v>
      </c>
      <c r="E528">
        <v>462920</v>
      </c>
    </row>
    <row r="529" spans="1:5" x14ac:dyDescent="0.25">
      <c r="A529" s="91" t="s">
        <v>22927</v>
      </c>
      <c r="B529">
        <v>606785</v>
      </c>
      <c r="E529">
        <v>606785</v>
      </c>
    </row>
    <row r="530" spans="1:5" x14ac:dyDescent="0.25">
      <c r="A530" s="91" t="s">
        <v>22928</v>
      </c>
      <c r="B530">
        <v>1056123</v>
      </c>
      <c r="E530">
        <v>1056123</v>
      </c>
    </row>
    <row r="531" spans="1:5" x14ac:dyDescent="0.25">
      <c r="A531" s="91" t="s">
        <v>22929</v>
      </c>
      <c r="B531">
        <v>1029294</v>
      </c>
      <c r="E531">
        <v>1029294</v>
      </c>
    </row>
    <row r="532" spans="1:5" x14ac:dyDescent="0.25">
      <c r="A532" s="91" t="s">
        <v>22930</v>
      </c>
      <c r="C532">
        <v>575747</v>
      </c>
      <c r="E532">
        <v>575747</v>
      </c>
    </row>
    <row r="533" spans="1:5" x14ac:dyDescent="0.25">
      <c r="A533" s="91" t="s">
        <v>22931</v>
      </c>
      <c r="B533">
        <v>834217</v>
      </c>
      <c r="E533">
        <v>834217</v>
      </c>
    </row>
    <row r="534" spans="1:5" x14ac:dyDescent="0.25">
      <c r="A534" s="91" t="s">
        <v>22932</v>
      </c>
      <c r="B534">
        <v>551295</v>
      </c>
      <c r="E534">
        <v>551295</v>
      </c>
    </row>
    <row r="535" spans="1:5" x14ac:dyDescent="0.25">
      <c r="A535" s="91" t="s">
        <v>22933</v>
      </c>
      <c r="B535">
        <v>854570</v>
      </c>
      <c r="E535">
        <v>854570</v>
      </c>
    </row>
    <row r="536" spans="1:5" x14ac:dyDescent="0.25">
      <c r="A536" s="91" t="s">
        <v>22934</v>
      </c>
      <c r="B536">
        <v>711786</v>
      </c>
      <c r="E536">
        <v>711786</v>
      </c>
    </row>
    <row r="537" spans="1:5" x14ac:dyDescent="0.25">
      <c r="A537" s="91" t="s">
        <v>22935</v>
      </c>
      <c r="D537">
        <v>625859</v>
      </c>
      <c r="E537">
        <v>625859</v>
      </c>
    </row>
    <row r="538" spans="1:5" x14ac:dyDescent="0.25">
      <c r="A538" s="91" t="s">
        <v>22936</v>
      </c>
      <c r="D538">
        <v>619467</v>
      </c>
      <c r="E538">
        <v>619467</v>
      </c>
    </row>
    <row r="539" spans="1:5" x14ac:dyDescent="0.25">
      <c r="A539" s="91" t="s">
        <v>22937</v>
      </c>
      <c r="D539">
        <v>916479</v>
      </c>
      <c r="E539">
        <v>916479</v>
      </c>
    </row>
    <row r="540" spans="1:5" x14ac:dyDescent="0.25">
      <c r="A540" s="91" t="s">
        <v>22938</v>
      </c>
      <c r="D540">
        <v>1082264</v>
      </c>
      <c r="E540">
        <v>1082264</v>
      </c>
    </row>
    <row r="541" spans="1:5" x14ac:dyDescent="0.25">
      <c r="A541" s="91" t="s">
        <v>22939</v>
      </c>
      <c r="B541">
        <v>423642</v>
      </c>
      <c r="E541">
        <v>423642</v>
      </c>
    </row>
    <row r="542" spans="1:5" x14ac:dyDescent="0.25">
      <c r="A542" s="91" t="s">
        <v>22940</v>
      </c>
      <c r="D542">
        <v>955328</v>
      </c>
      <c r="E542">
        <v>955328</v>
      </c>
    </row>
    <row r="543" spans="1:5" x14ac:dyDescent="0.25">
      <c r="A543" s="91" t="s">
        <v>22941</v>
      </c>
      <c r="D543">
        <v>660983</v>
      </c>
      <c r="E543">
        <v>660983</v>
      </c>
    </row>
    <row r="544" spans="1:5" x14ac:dyDescent="0.25">
      <c r="A544" s="91" t="s">
        <v>22942</v>
      </c>
      <c r="D544">
        <v>351514</v>
      </c>
      <c r="E544">
        <v>351514</v>
      </c>
    </row>
    <row r="545" spans="1:5" x14ac:dyDescent="0.25">
      <c r="A545" s="91" t="s">
        <v>22943</v>
      </c>
      <c r="D545">
        <v>675470</v>
      </c>
      <c r="E545">
        <v>675470</v>
      </c>
    </row>
    <row r="546" spans="1:5" x14ac:dyDescent="0.25">
      <c r="A546" s="91" t="s">
        <v>22944</v>
      </c>
      <c r="C546">
        <v>554263</v>
      </c>
      <c r="E546">
        <v>554263</v>
      </c>
    </row>
    <row r="547" spans="1:5" x14ac:dyDescent="0.25">
      <c r="A547" s="91" t="s">
        <v>22945</v>
      </c>
      <c r="C547">
        <v>560614</v>
      </c>
      <c r="E547">
        <v>560614</v>
      </c>
    </row>
    <row r="548" spans="1:5" x14ac:dyDescent="0.25">
      <c r="A548" s="91" t="s">
        <v>22946</v>
      </c>
      <c r="B548">
        <v>703216</v>
      </c>
      <c r="E548">
        <v>703216</v>
      </c>
    </row>
    <row r="549" spans="1:5" x14ac:dyDescent="0.25">
      <c r="A549" s="91" t="s">
        <v>22947</v>
      </c>
      <c r="C549">
        <v>783210</v>
      </c>
      <c r="E549">
        <v>783210</v>
      </c>
    </row>
    <row r="550" spans="1:5" x14ac:dyDescent="0.25">
      <c r="A550" s="91" t="s">
        <v>22948</v>
      </c>
      <c r="C550">
        <v>690813</v>
      </c>
      <c r="E550">
        <v>690813</v>
      </c>
    </row>
    <row r="551" spans="1:5" x14ac:dyDescent="0.25">
      <c r="A551" s="91" t="s">
        <v>22949</v>
      </c>
      <c r="B551">
        <v>788832</v>
      </c>
      <c r="E551">
        <v>788832</v>
      </c>
    </row>
    <row r="552" spans="1:5" x14ac:dyDescent="0.25">
      <c r="A552" s="91" t="s">
        <v>22950</v>
      </c>
      <c r="D552">
        <v>765238</v>
      </c>
      <c r="E552">
        <v>765238</v>
      </c>
    </row>
    <row r="553" spans="1:5" x14ac:dyDescent="0.25">
      <c r="A553" s="91" t="s">
        <v>22951</v>
      </c>
      <c r="D553">
        <v>774827</v>
      </c>
      <c r="E553">
        <v>774827</v>
      </c>
    </row>
    <row r="554" spans="1:5" x14ac:dyDescent="0.25">
      <c r="A554" s="91" t="s">
        <v>22952</v>
      </c>
      <c r="B554">
        <v>716416</v>
      </c>
      <c r="E554">
        <v>716416</v>
      </c>
    </row>
    <row r="555" spans="1:5" x14ac:dyDescent="0.25">
      <c r="A555" s="91" t="s">
        <v>22953</v>
      </c>
      <c r="B555">
        <v>501329</v>
      </c>
      <c r="E555">
        <v>501329</v>
      </c>
    </row>
    <row r="556" spans="1:5" x14ac:dyDescent="0.25">
      <c r="A556" s="91" t="s">
        <v>22954</v>
      </c>
      <c r="D556">
        <v>707829</v>
      </c>
      <c r="E556">
        <v>707829</v>
      </c>
    </row>
    <row r="557" spans="1:5" x14ac:dyDescent="0.25">
      <c r="A557" s="91" t="s">
        <v>22955</v>
      </c>
      <c r="B557">
        <v>860242</v>
      </c>
      <c r="E557">
        <v>860242</v>
      </c>
    </row>
    <row r="558" spans="1:5" x14ac:dyDescent="0.25">
      <c r="A558" s="91" t="s">
        <v>22956</v>
      </c>
      <c r="C558">
        <v>944716</v>
      </c>
      <c r="E558">
        <v>944716</v>
      </c>
    </row>
    <row r="559" spans="1:5" x14ac:dyDescent="0.25">
      <c r="A559" s="91" t="s">
        <v>22957</v>
      </c>
      <c r="C559">
        <v>623497</v>
      </c>
      <c r="E559">
        <v>623497</v>
      </c>
    </row>
    <row r="560" spans="1:5" x14ac:dyDescent="0.25">
      <c r="A560" s="91" t="s">
        <v>22958</v>
      </c>
      <c r="D560">
        <v>858349</v>
      </c>
      <c r="E560">
        <v>858349</v>
      </c>
    </row>
    <row r="561" spans="1:5" x14ac:dyDescent="0.25">
      <c r="A561" s="91" t="s">
        <v>22959</v>
      </c>
      <c r="B561">
        <v>668595</v>
      </c>
      <c r="E561">
        <v>668595</v>
      </c>
    </row>
    <row r="562" spans="1:5" x14ac:dyDescent="0.25">
      <c r="A562" s="91" t="s">
        <v>22960</v>
      </c>
      <c r="B562">
        <v>765283</v>
      </c>
      <c r="E562">
        <v>765283</v>
      </c>
    </row>
    <row r="563" spans="1:5" x14ac:dyDescent="0.25">
      <c r="A563" s="91" t="s">
        <v>22961</v>
      </c>
      <c r="B563">
        <v>630390</v>
      </c>
      <c r="E563">
        <v>630390</v>
      </c>
    </row>
    <row r="564" spans="1:5" x14ac:dyDescent="0.25">
      <c r="A564" s="91" t="s">
        <v>22962</v>
      </c>
      <c r="B564">
        <v>970661</v>
      </c>
      <c r="E564">
        <v>970661</v>
      </c>
    </row>
    <row r="565" spans="1:5" x14ac:dyDescent="0.25">
      <c r="A565" s="91" t="s">
        <v>22963</v>
      </c>
      <c r="D565">
        <v>550672</v>
      </c>
      <c r="E565">
        <v>550672</v>
      </c>
    </row>
    <row r="566" spans="1:5" x14ac:dyDescent="0.25">
      <c r="A566" s="91" t="s">
        <v>22964</v>
      </c>
      <c r="C566">
        <v>658453</v>
      </c>
      <c r="E566">
        <v>658453</v>
      </c>
    </row>
    <row r="567" spans="1:5" x14ac:dyDescent="0.25">
      <c r="A567" s="91" t="s">
        <v>22965</v>
      </c>
      <c r="B567">
        <v>683641</v>
      </c>
      <c r="E567">
        <v>683641</v>
      </c>
    </row>
    <row r="568" spans="1:5" x14ac:dyDescent="0.25">
      <c r="A568" s="91" t="s">
        <v>22966</v>
      </c>
      <c r="C568">
        <v>673446</v>
      </c>
      <c r="E568">
        <v>673446</v>
      </c>
    </row>
    <row r="569" spans="1:5" x14ac:dyDescent="0.25">
      <c r="A569" s="91" t="s">
        <v>22967</v>
      </c>
      <c r="D569">
        <v>654001</v>
      </c>
      <c r="E569">
        <v>654001</v>
      </c>
    </row>
    <row r="570" spans="1:5" x14ac:dyDescent="0.25">
      <c r="A570" s="91" t="s">
        <v>22968</v>
      </c>
      <c r="C570">
        <v>612398</v>
      </c>
      <c r="E570">
        <v>612398</v>
      </c>
    </row>
    <row r="571" spans="1:5" x14ac:dyDescent="0.25">
      <c r="A571" s="91" t="s">
        <v>22969</v>
      </c>
      <c r="B571">
        <v>762004</v>
      </c>
      <c r="E571">
        <v>762004</v>
      </c>
    </row>
    <row r="572" spans="1:5" x14ac:dyDescent="0.25">
      <c r="A572" s="91" t="s">
        <v>22970</v>
      </c>
      <c r="C572">
        <v>329383</v>
      </c>
      <c r="E572">
        <v>329383</v>
      </c>
    </row>
    <row r="573" spans="1:5" x14ac:dyDescent="0.25">
      <c r="A573" s="91" t="s">
        <v>22971</v>
      </c>
      <c r="B573">
        <v>756055</v>
      </c>
      <c r="E573">
        <v>756055</v>
      </c>
    </row>
    <row r="574" spans="1:5" x14ac:dyDescent="0.25">
      <c r="A574" s="91" t="s">
        <v>22972</v>
      </c>
      <c r="B574">
        <v>1004176</v>
      </c>
      <c r="E574">
        <v>1004176</v>
      </c>
    </row>
    <row r="575" spans="1:5" x14ac:dyDescent="0.25">
      <c r="A575" s="91" t="s">
        <v>22973</v>
      </c>
      <c r="B575">
        <v>721356</v>
      </c>
      <c r="E575">
        <v>721356</v>
      </c>
    </row>
    <row r="576" spans="1:5" x14ac:dyDescent="0.25">
      <c r="A576" s="91" t="s">
        <v>22974</v>
      </c>
      <c r="B576">
        <v>712930</v>
      </c>
      <c r="E576">
        <v>712930</v>
      </c>
    </row>
    <row r="577" spans="1:5" x14ac:dyDescent="0.25">
      <c r="A577" s="91" t="s">
        <v>22975</v>
      </c>
      <c r="C577">
        <v>593430</v>
      </c>
      <c r="E577">
        <v>593430</v>
      </c>
    </row>
    <row r="578" spans="1:5" x14ac:dyDescent="0.25">
      <c r="A578" s="91" t="s">
        <v>22976</v>
      </c>
      <c r="C578">
        <v>551148</v>
      </c>
      <c r="E578">
        <v>551148</v>
      </c>
    </row>
    <row r="579" spans="1:5" x14ac:dyDescent="0.25">
      <c r="A579" s="91" t="s">
        <v>22977</v>
      </c>
      <c r="C579">
        <v>751994</v>
      </c>
      <c r="E579">
        <v>751994</v>
      </c>
    </row>
    <row r="580" spans="1:5" x14ac:dyDescent="0.25">
      <c r="A580" s="91" t="s">
        <v>22978</v>
      </c>
      <c r="B580">
        <v>552282</v>
      </c>
      <c r="E580">
        <v>552282</v>
      </c>
    </row>
    <row r="581" spans="1:5" x14ac:dyDescent="0.25">
      <c r="A581" s="91" t="s">
        <v>22979</v>
      </c>
      <c r="C581">
        <v>464896</v>
      </c>
      <c r="E581">
        <v>464896</v>
      </c>
    </row>
    <row r="582" spans="1:5" x14ac:dyDescent="0.25">
      <c r="A582" s="91" t="s">
        <v>22980</v>
      </c>
      <c r="D582">
        <v>826224</v>
      </c>
      <c r="E582">
        <v>826224</v>
      </c>
    </row>
    <row r="583" spans="1:5" x14ac:dyDescent="0.25">
      <c r="A583" s="91" t="s">
        <v>22981</v>
      </c>
      <c r="C583">
        <v>714330</v>
      </c>
      <c r="E583">
        <v>714330</v>
      </c>
    </row>
    <row r="584" spans="1:5" x14ac:dyDescent="0.25">
      <c r="A584" s="91" t="s">
        <v>22982</v>
      </c>
      <c r="C584">
        <v>734546</v>
      </c>
      <c r="E584">
        <v>734546</v>
      </c>
    </row>
    <row r="585" spans="1:5" x14ac:dyDescent="0.25">
      <c r="A585" s="91" t="s">
        <v>22983</v>
      </c>
      <c r="B585">
        <v>301335</v>
      </c>
      <c r="E585">
        <v>301335</v>
      </c>
    </row>
    <row r="586" spans="1:5" x14ac:dyDescent="0.25">
      <c r="A586" s="91" t="s">
        <v>22984</v>
      </c>
      <c r="B586">
        <v>749195</v>
      </c>
      <c r="E586">
        <v>749195</v>
      </c>
    </row>
    <row r="587" spans="1:5" x14ac:dyDescent="0.25">
      <c r="A587" s="91" t="s">
        <v>22985</v>
      </c>
      <c r="B587">
        <v>493637</v>
      </c>
      <c r="E587">
        <v>493637</v>
      </c>
    </row>
    <row r="588" spans="1:5" x14ac:dyDescent="0.25">
      <c r="A588" s="91" t="s">
        <v>22986</v>
      </c>
      <c r="B588">
        <v>380502</v>
      </c>
      <c r="E588">
        <v>380502</v>
      </c>
    </row>
    <row r="589" spans="1:5" x14ac:dyDescent="0.25">
      <c r="A589" s="91" t="s">
        <v>22987</v>
      </c>
      <c r="C589">
        <v>773302</v>
      </c>
      <c r="E589">
        <v>773302</v>
      </c>
    </row>
    <row r="590" spans="1:5" x14ac:dyDescent="0.25">
      <c r="A590" s="91" t="s">
        <v>22988</v>
      </c>
      <c r="B590">
        <v>750884</v>
      </c>
      <c r="E590">
        <v>750884</v>
      </c>
    </row>
    <row r="591" spans="1:5" x14ac:dyDescent="0.25">
      <c r="A591" s="91" t="s">
        <v>22989</v>
      </c>
      <c r="B591">
        <v>505908</v>
      </c>
      <c r="E591">
        <v>505908</v>
      </c>
    </row>
    <row r="592" spans="1:5" x14ac:dyDescent="0.25">
      <c r="A592" s="91" t="s">
        <v>22990</v>
      </c>
      <c r="D592">
        <v>584366</v>
      </c>
      <c r="E592">
        <v>584366</v>
      </c>
    </row>
    <row r="593" spans="1:5" x14ac:dyDescent="0.25">
      <c r="A593" s="91" t="s">
        <v>22991</v>
      </c>
      <c r="B593">
        <v>818109</v>
      </c>
      <c r="E593">
        <v>818109</v>
      </c>
    </row>
    <row r="594" spans="1:5" x14ac:dyDescent="0.25">
      <c r="A594" s="91" t="s">
        <v>22992</v>
      </c>
      <c r="B594">
        <v>693280</v>
      </c>
      <c r="E594">
        <v>693280</v>
      </c>
    </row>
    <row r="595" spans="1:5" x14ac:dyDescent="0.25">
      <c r="A595" s="91" t="s">
        <v>22993</v>
      </c>
      <c r="D595">
        <v>896729</v>
      </c>
      <c r="E595">
        <v>896729</v>
      </c>
    </row>
    <row r="596" spans="1:5" x14ac:dyDescent="0.25">
      <c r="A596" s="91" t="s">
        <v>22994</v>
      </c>
      <c r="C596">
        <v>662269</v>
      </c>
      <c r="E596">
        <v>662269</v>
      </c>
    </row>
    <row r="597" spans="1:5" x14ac:dyDescent="0.25">
      <c r="A597" s="91" t="s">
        <v>22995</v>
      </c>
      <c r="D597">
        <v>827946</v>
      </c>
      <c r="E597">
        <v>827946</v>
      </c>
    </row>
    <row r="598" spans="1:5" x14ac:dyDescent="0.25">
      <c r="A598" s="91" t="s">
        <v>22996</v>
      </c>
      <c r="C598">
        <v>520405</v>
      </c>
      <c r="E598">
        <v>520405</v>
      </c>
    </row>
    <row r="599" spans="1:5" x14ac:dyDescent="0.25">
      <c r="A599" s="91" t="s">
        <v>22997</v>
      </c>
      <c r="C599">
        <v>605319</v>
      </c>
      <c r="E599">
        <v>605319</v>
      </c>
    </row>
    <row r="600" spans="1:5" x14ac:dyDescent="0.25">
      <c r="A600" s="91" t="s">
        <v>22998</v>
      </c>
      <c r="C600">
        <v>892426</v>
      </c>
      <c r="E600">
        <v>892426</v>
      </c>
    </row>
    <row r="601" spans="1:5" x14ac:dyDescent="0.25">
      <c r="A601" s="91" t="s">
        <v>22999</v>
      </c>
      <c r="B601">
        <v>1001970</v>
      </c>
      <c r="E601">
        <v>1001970</v>
      </c>
    </row>
    <row r="602" spans="1:5" x14ac:dyDescent="0.25">
      <c r="A602" s="91" t="s">
        <v>23000</v>
      </c>
      <c r="B602">
        <v>640512</v>
      </c>
      <c r="E602">
        <v>640512</v>
      </c>
    </row>
    <row r="603" spans="1:5" x14ac:dyDescent="0.25">
      <c r="A603" s="91" t="s">
        <v>23001</v>
      </c>
      <c r="D603">
        <v>538916</v>
      </c>
      <c r="E603">
        <v>538916</v>
      </c>
    </row>
    <row r="604" spans="1:5" x14ac:dyDescent="0.25">
      <c r="A604" s="91" t="s">
        <v>22367</v>
      </c>
      <c r="D604">
        <v>617946</v>
      </c>
      <c r="E604">
        <v>617946</v>
      </c>
    </row>
    <row r="605" spans="1:5" x14ac:dyDescent="0.25">
      <c r="A605" s="91" t="s">
        <v>23002</v>
      </c>
      <c r="D605">
        <v>493164</v>
      </c>
      <c r="E605">
        <v>493164</v>
      </c>
    </row>
    <row r="606" spans="1:5" x14ac:dyDescent="0.25">
      <c r="A606" s="91" t="s">
        <v>23003</v>
      </c>
      <c r="B606">
        <v>831018</v>
      </c>
      <c r="E606">
        <v>831018</v>
      </c>
    </row>
    <row r="607" spans="1:5" x14ac:dyDescent="0.25">
      <c r="A607" s="91" t="s">
        <v>23004</v>
      </c>
      <c r="D607">
        <v>780989</v>
      </c>
      <c r="E607">
        <v>780989</v>
      </c>
    </row>
    <row r="608" spans="1:5" x14ac:dyDescent="0.25">
      <c r="A608" s="91" t="s">
        <v>23005</v>
      </c>
      <c r="C608">
        <v>950987</v>
      </c>
      <c r="E608">
        <v>950987</v>
      </c>
    </row>
    <row r="609" spans="1:5" x14ac:dyDescent="0.25">
      <c r="A609" s="91" t="s">
        <v>23006</v>
      </c>
      <c r="B609">
        <v>818243</v>
      </c>
      <c r="E609">
        <v>818243</v>
      </c>
    </row>
    <row r="610" spans="1:5" x14ac:dyDescent="0.25">
      <c r="A610" s="91" t="s">
        <v>23007</v>
      </c>
      <c r="D610">
        <v>805390</v>
      </c>
      <c r="E610">
        <v>805390</v>
      </c>
    </row>
    <row r="611" spans="1:5" x14ac:dyDescent="0.25">
      <c r="A611" s="91" t="s">
        <v>23008</v>
      </c>
      <c r="C611">
        <v>876325</v>
      </c>
      <c r="E611">
        <v>876325</v>
      </c>
    </row>
    <row r="612" spans="1:5" x14ac:dyDescent="0.25">
      <c r="A612" s="91" t="s">
        <v>23009</v>
      </c>
      <c r="B612">
        <v>542971</v>
      </c>
      <c r="E612">
        <v>542971</v>
      </c>
    </row>
    <row r="613" spans="1:5" x14ac:dyDescent="0.25">
      <c r="A613" s="91" t="s">
        <v>23010</v>
      </c>
      <c r="D613">
        <v>430513</v>
      </c>
      <c r="E613">
        <v>430513</v>
      </c>
    </row>
    <row r="614" spans="1:5" x14ac:dyDescent="0.25">
      <c r="A614" s="91" t="s">
        <v>23011</v>
      </c>
      <c r="B614">
        <v>835659</v>
      </c>
      <c r="E614">
        <v>835659</v>
      </c>
    </row>
    <row r="615" spans="1:5" x14ac:dyDescent="0.25">
      <c r="A615" s="91" t="s">
        <v>23012</v>
      </c>
      <c r="B615">
        <v>219869</v>
      </c>
      <c r="E615">
        <v>219869</v>
      </c>
    </row>
    <row r="616" spans="1:5" x14ac:dyDescent="0.25">
      <c r="A616" s="91" t="s">
        <v>23013</v>
      </c>
      <c r="C616">
        <v>595273</v>
      </c>
      <c r="E616">
        <v>595273</v>
      </c>
    </row>
    <row r="617" spans="1:5" x14ac:dyDescent="0.25">
      <c r="A617" s="91" t="s">
        <v>23014</v>
      </c>
      <c r="C617">
        <v>693049</v>
      </c>
      <c r="E617">
        <v>693049</v>
      </c>
    </row>
    <row r="618" spans="1:5" x14ac:dyDescent="0.25">
      <c r="A618" s="91" t="s">
        <v>23015</v>
      </c>
      <c r="C618">
        <v>440900</v>
      </c>
      <c r="E618">
        <v>440900</v>
      </c>
    </row>
    <row r="619" spans="1:5" x14ac:dyDescent="0.25">
      <c r="A619" s="91" t="s">
        <v>23016</v>
      </c>
      <c r="C619">
        <v>454991</v>
      </c>
      <c r="E619">
        <v>454991</v>
      </c>
    </row>
    <row r="620" spans="1:5" x14ac:dyDescent="0.25">
      <c r="A620" s="91" t="s">
        <v>23017</v>
      </c>
      <c r="C620">
        <v>1026059</v>
      </c>
      <c r="E620">
        <v>1026059</v>
      </c>
    </row>
    <row r="621" spans="1:5" x14ac:dyDescent="0.25">
      <c r="A621" s="91" t="s">
        <v>23018</v>
      </c>
      <c r="D621">
        <v>831136</v>
      </c>
      <c r="E621">
        <v>831136</v>
      </c>
    </row>
    <row r="622" spans="1:5" x14ac:dyDescent="0.25">
      <c r="A622" s="91" t="s">
        <v>23019</v>
      </c>
      <c r="C622">
        <v>680191</v>
      </c>
      <c r="E622">
        <v>680191</v>
      </c>
    </row>
    <row r="623" spans="1:5" x14ac:dyDescent="0.25">
      <c r="A623" s="91" t="s">
        <v>23020</v>
      </c>
      <c r="B623">
        <v>371993</v>
      </c>
      <c r="E623">
        <v>371993</v>
      </c>
    </row>
    <row r="624" spans="1:5" x14ac:dyDescent="0.25">
      <c r="A624" s="91" t="s">
        <v>23021</v>
      </c>
      <c r="D624">
        <v>961796</v>
      </c>
      <c r="E624">
        <v>961796</v>
      </c>
    </row>
    <row r="625" spans="1:5" x14ac:dyDescent="0.25">
      <c r="A625" s="91" t="s">
        <v>23022</v>
      </c>
      <c r="B625">
        <v>650341</v>
      </c>
      <c r="E625">
        <v>650341</v>
      </c>
    </row>
    <row r="626" spans="1:5" x14ac:dyDescent="0.25">
      <c r="A626" s="91" t="s">
        <v>23023</v>
      </c>
      <c r="D626">
        <v>815097</v>
      </c>
      <c r="E626">
        <v>815097</v>
      </c>
    </row>
    <row r="627" spans="1:5" x14ac:dyDescent="0.25">
      <c r="A627" s="91" t="s">
        <v>23024</v>
      </c>
      <c r="C627">
        <v>462339</v>
      </c>
      <c r="E627">
        <v>462339</v>
      </c>
    </row>
    <row r="628" spans="1:5" x14ac:dyDescent="0.25">
      <c r="A628" s="91" t="s">
        <v>23025</v>
      </c>
      <c r="D628">
        <v>947743</v>
      </c>
      <c r="E628">
        <v>947743</v>
      </c>
    </row>
    <row r="629" spans="1:5" x14ac:dyDescent="0.25">
      <c r="A629" s="91" t="s">
        <v>23026</v>
      </c>
      <c r="B629">
        <v>614002</v>
      </c>
      <c r="E629">
        <v>614002</v>
      </c>
    </row>
    <row r="630" spans="1:5" x14ac:dyDescent="0.25">
      <c r="A630" s="91" t="s">
        <v>23027</v>
      </c>
      <c r="B630">
        <v>561559</v>
      </c>
      <c r="E630">
        <v>561559</v>
      </c>
    </row>
    <row r="631" spans="1:5" x14ac:dyDescent="0.25">
      <c r="A631" s="91" t="s">
        <v>23028</v>
      </c>
      <c r="D631">
        <v>620798</v>
      </c>
      <c r="E631">
        <v>620798</v>
      </c>
    </row>
    <row r="632" spans="1:5" x14ac:dyDescent="0.25">
      <c r="A632" s="91" t="s">
        <v>23029</v>
      </c>
      <c r="D632">
        <v>688820</v>
      </c>
      <c r="E632">
        <v>688820</v>
      </c>
    </row>
    <row r="633" spans="1:5" x14ac:dyDescent="0.25">
      <c r="A633" s="91" t="s">
        <v>23030</v>
      </c>
      <c r="B633">
        <v>492886</v>
      </c>
      <c r="E633">
        <v>492886</v>
      </c>
    </row>
    <row r="634" spans="1:5" x14ac:dyDescent="0.25">
      <c r="A634" s="91" t="s">
        <v>23031</v>
      </c>
      <c r="D634">
        <v>976276</v>
      </c>
      <c r="E634">
        <v>976276</v>
      </c>
    </row>
    <row r="635" spans="1:5" x14ac:dyDescent="0.25">
      <c r="A635" s="91" t="s">
        <v>23032</v>
      </c>
      <c r="D635">
        <v>696032</v>
      </c>
      <c r="E635">
        <v>696032</v>
      </c>
    </row>
    <row r="636" spans="1:5" x14ac:dyDescent="0.25">
      <c r="A636" s="91" t="s">
        <v>23033</v>
      </c>
      <c r="D636">
        <v>1078035</v>
      </c>
      <c r="E636">
        <v>1078035</v>
      </c>
    </row>
    <row r="637" spans="1:5" x14ac:dyDescent="0.25">
      <c r="A637" s="91" t="s">
        <v>23034</v>
      </c>
      <c r="C637">
        <v>981577</v>
      </c>
      <c r="E637">
        <v>981577</v>
      </c>
    </row>
    <row r="638" spans="1:5" x14ac:dyDescent="0.25">
      <c r="A638" s="91" t="s">
        <v>23035</v>
      </c>
      <c r="B638">
        <v>641056</v>
      </c>
      <c r="E638">
        <v>641056</v>
      </c>
    </row>
    <row r="639" spans="1:5" x14ac:dyDescent="0.25">
      <c r="A639" s="91" t="s">
        <v>23036</v>
      </c>
      <c r="C639">
        <v>677823</v>
      </c>
      <c r="E639">
        <v>677823</v>
      </c>
    </row>
    <row r="640" spans="1:5" x14ac:dyDescent="0.25">
      <c r="A640" s="91" t="s">
        <v>23037</v>
      </c>
      <c r="B640">
        <v>559337</v>
      </c>
      <c r="E640">
        <v>559337</v>
      </c>
    </row>
    <row r="641" spans="1:5" x14ac:dyDescent="0.25">
      <c r="A641" s="91" t="s">
        <v>23038</v>
      </c>
      <c r="D641">
        <v>544027</v>
      </c>
      <c r="E641">
        <v>544027</v>
      </c>
    </row>
    <row r="642" spans="1:5" x14ac:dyDescent="0.25">
      <c r="A642" s="91" t="s">
        <v>23039</v>
      </c>
      <c r="C642">
        <v>637475</v>
      </c>
      <c r="E642">
        <v>637475</v>
      </c>
    </row>
    <row r="643" spans="1:5" x14ac:dyDescent="0.25">
      <c r="A643" s="91" t="s">
        <v>23040</v>
      </c>
      <c r="B643">
        <v>516004</v>
      </c>
      <c r="E643">
        <v>516004</v>
      </c>
    </row>
    <row r="644" spans="1:5" x14ac:dyDescent="0.25">
      <c r="A644" s="91" t="s">
        <v>23041</v>
      </c>
      <c r="C644">
        <v>1005303</v>
      </c>
      <c r="E644">
        <v>1005303</v>
      </c>
    </row>
    <row r="645" spans="1:5" x14ac:dyDescent="0.25">
      <c r="A645" s="91" t="s">
        <v>23042</v>
      </c>
      <c r="D645">
        <v>668997</v>
      </c>
      <c r="E645">
        <v>668997</v>
      </c>
    </row>
    <row r="646" spans="1:5" x14ac:dyDescent="0.25">
      <c r="A646" s="91" t="s">
        <v>23043</v>
      </c>
      <c r="C646">
        <v>771024</v>
      </c>
      <c r="E646">
        <v>771024</v>
      </c>
    </row>
    <row r="647" spans="1:5" x14ac:dyDescent="0.25">
      <c r="A647" s="91" t="s">
        <v>23044</v>
      </c>
      <c r="C647">
        <v>646149</v>
      </c>
      <c r="E647">
        <v>646149</v>
      </c>
    </row>
    <row r="648" spans="1:5" x14ac:dyDescent="0.25">
      <c r="A648" s="91" t="s">
        <v>23045</v>
      </c>
      <c r="D648">
        <v>659526</v>
      </c>
      <c r="E648">
        <v>659526</v>
      </c>
    </row>
    <row r="649" spans="1:5" x14ac:dyDescent="0.25">
      <c r="A649" s="91" t="s">
        <v>23046</v>
      </c>
      <c r="D649">
        <v>789567</v>
      </c>
      <c r="E649">
        <v>789567</v>
      </c>
    </row>
    <row r="650" spans="1:5" x14ac:dyDescent="0.25">
      <c r="A650" s="91" t="s">
        <v>23047</v>
      </c>
      <c r="C650">
        <v>336646</v>
      </c>
      <c r="E650">
        <v>336646</v>
      </c>
    </row>
    <row r="651" spans="1:5" x14ac:dyDescent="0.25">
      <c r="A651" s="91" t="s">
        <v>23048</v>
      </c>
      <c r="D651">
        <v>413366</v>
      </c>
      <c r="E651">
        <v>413366</v>
      </c>
    </row>
    <row r="652" spans="1:5" x14ac:dyDescent="0.25">
      <c r="A652" s="91" t="s">
        <v>23049</v>
      </c>
      <c r="B652">
        <v>664445</v>
      </c>
      <c r="E652">
        <v>664445</v>
      </c>
    </row>
    <row r="653" spans="1:5" x14ac:dyDescent="0.25">
      <c r="A653" s="91" t="s">
        <v>23050</v>
      </c>
      <c r="B653">
        <v>1100641</v>
      </c>
      <c r="E653">
        <v>1100641</v>
      </c>
    </row>
    <row r="654" spans="1:5" x14ac:dyDescent="0.25">
      <c r="A654" s="91" t="s">
        <v>23051</v>
      </c>
      <c r="D654">
        <v>648927</v>
      </c>
      <c r="E654">
        <v>648927</v>
      </c>
    </row>
    <row r="655" spans="1:5" x14ac:dyDescent="0.25">
      <c r="A655" s="91" t="s">
        <v>23052</v>
      </c>
      <c r="C655">
        <v>820444</v>
      </c>
      <c r="E655">
        <v>820444</v>
      </c>
    </row>
    <row r="656" spans="1:5" x14ac:dyDescent="0.25">
      <c r="A656" s="91" t="s">
        <v>23053</v>
      </c>
      <c r="C656">
        <v>1023789</v>
      </c>
      <c r="E656">
        <v>1023789</v>
      </c>
    </row>
    <row r="657" spans="1:5" x14ac:dyDescent="0.25">
      <c r="A657" s="91" t="s">
        <v>23054</v>
      </c>
      <c r="C657">
        <v>746779</v>
      </c>
      <c r="E657">
        <v>746779</v>
      </c>
    </row>
    <row r="658" spans="1:5" x14ac:dyDescent="0.25">
      <c r="A658" s="91" t="s">
        <v>23055</v>
      </c>
      <c r="D658">
        <v>537360</v>
      </c>
      <c r="E658">
        <v>537360</v>
      </c>
    </row>
    <row r="659" spans="1:5" x14ac:dyDescent="0.25">
      <c r="A659" s="91" t="s">
        <v>23056</v>
      </c>
      <c r="B659">
        <v>741656</v>
      </c>
      <c r="E659">
        <v>741656</v>
      </c>
    </row>
    <row r="660" spans="1:5" x14ac:dyDescent="0.25">
      <c r="A660" s="91" t="s">
        <v>23057</v>
      </c>
      <c r="D660">
        <v>610003</v>
      </c>
      <c r="E660">
        <v>610003</v>
      </c>
    </row>
    <row r="661" spans="1:5" x14ac:dyDescent="0.25">
      <c r="A661" s="91" t="s">
        <v>23058</v>
      </c>
      <c r="D661">
        <v>873913</v>
      </c>
      <c r="E661">
        <v>873913</v>
      </c>
    </row>
    <row r="662" spans="1:5" x14ac:dyDescent="0.25">
      <c r="A662" s="91" t="s">
        <v>23059</v>
      </c>
      <c r="B662">
        <v>863714</v>
      </c>
      <c r="E662">
        <v>863714</v>
      </c>
    </row>
    <row r="663" spans="1:5" x14ac:dyDescent="0.25">
      <c r="A663" s="91" t="s">
        <v>23060</v>
      </c>
      <c r="D663">
        <v>290823</v>
      </c>
      <c r="E663">
        <v>290823</v>
      </c>
    </row>
    <row r="664" spans="1:5" x14ac:dyDescent="0.25">
      <c r="A664" s="91" t="s">
        <v>23061</v>
      </c>
      <c r="C664">
        <v>737282</v>
      </c>
      <c r="E664">
        <v>737282</v>
      </c>
    </row>
    <row r="665" spans="1:5" x14ac:dyDescent="0.25">
      <c r="A665" s="91" t="s">
        <v>23062</v>
      </c>
      <c r="B665">
        <v>720615</v>
      </c>
      <c r="E665">
        <v>720615</v>
      </c>
    </row>
    <row r="666" spans="1:5" x14ac:dyDescent="0.25">
      <c r="A666" s="91" t="s">
        <v>23063</v>
      </c>
      <c r="D666">
        <v>1063967</v>
      </c>
      <c r="E666">
        <v>1063967</v>
      </c>
    </row>
    <row r="667" spans="1:5" x14ac:dyDescent="0.25">
      <c r="A667" s="91" t="s">
        <v>23064</v>
      </c>
      <c r="C667">
        <v>620204</v>
      </c>
      <c r="E667">
        <v>620204</v>
      </c>
    </row>
    <row r="668" spans="1:5" x14ac:dyDescent="0.25">
      <c r="A668" s="91" t="s">
        <v>23065</v>
      </c>
      <c r="D668">
        <v>861253</v>
      </c>
      <c r="E668">
        <v>861253</v>
      </c>
    </row>
    <row r="669" spans="1:5" x14ac:dyDescent="0.25">
      <c r="A669" s="91" t="s">
        <v>23066</v>
      </c>
      <c r="B669">
        <v>634351</v>
      </c>
      <c r="E669">
        <v>634351</v>
      </c>
    </row>
    <row r="670" spans="1:5" x14ac:dyDescent="0.25">
      <c r="A670" s="91" t="s">
        <v>23067</v>
      </c>
      <c r="D670">
        <v>634582</v>
      </c>
      <c r="E670">
        <v>634582</v>
      </c>
    </row>
    <row r="671" spans="1:5" x14ac:dyDescent="0.25">
      <c r="A671" s="91" t="s">
        <v>23068</v>
      </c>
      <c r="B671">
        <v>846426</v>
      </c>
      <c r="E671">
        <v>846426</v>
      </c>
    </row>
    <row r="672" spans="1:5" x14ac:dyDescent="0.25">
      <c r="A672" s="91" t="s">
        <v>23069</v>
      </c>
      <c r="D672">
        <v>582051</v>
      </c>
      <c r="E672">
        <v>582051</v>
      </c>
    </row>
    <row r="673" spans="1:5" x14ac:dyDescent="0.25">
      <c r="A673" s="91" t="s">
        <v>23070</v>
      </c>
      <c r="C673">
        <v>879851</v>
      </c>
      <c r="E673">
        <v>879851</v>
      </c>
    </row>
    <row r="674" spans="1:5" x14ac:dyDescent="0.25">
      <c r="A674" s="91" t="s">
        <v>23071</v>
      </c>
      <c r="D674">
        <v>416902</v>
      </c>
      <c r="E674">
        <v>416902</v>
      </c>
    </row>
    <row r="675" spans="1:5" x14ac:dyDescent="0.25">
      <c r="A675" s="91" t="s">
        <v>23072</v>
      </c>
      <c r="C675">
        <v>347519</v>
      </c>
      <c r="E675">
        <v>347519</v>
      </c>
    </row>
    <row r="676" spans="1:5" x14ac:dyDescent="0.25">
      <c r="A676" s="91" t="s">
        <v>23073</v>
      </c>
      <c r="D676">
        <v>691420</v>
      </c>
      <c r="E676">
        <v>691420</v>
      </c>
    </row>
    <row r="677" spans="1:5" x14ac:dyDescent="0.25">
      <c r="A677" s="91" t="s">
        <v>23074</v>
      </c>
      <c r="C677">
        <v>822894</v>
      </c>
      <c r="E677">
        <v>822894</v>
      </c>
    </row>
    <row r="678" spans="1:5" x14ac:dyDescent="0.25">
      <c r="A678" s="91" t="s">
        <v>23075</v>
      </c>
      <c r="D678">
        <v>745518</v>
      </c>
      <c r="E678">
        <v>745518</v>
      </c>
    </row>
    <row r="679" spans="1:5" x14ac:dyDescent="0.25">
      <c r="A679" s="91" t="s">
        <v>23076</v>
      </c>
      <c r="D679">
        <v>796327</v>
      </c>
      <c r="E679">
        <v>796327</v>
      </c>
    </row>
    <row r="680" spans="1:5" x14ac:dyDescent="0.25">
      <c r="A680" s="91" t="s">
        <v>23077</v>
      </c>
      <c r="D680">
        <v>471986</v>
      </c>
      <c r="E680">
        <v>471986</v>
      </c>
    </row>
    <row r="681" spans="1:5" x14ac:dyDescent="0.25">
      <c r="A681" s="91" t="s">
        <v>23078</v>
      </c>
      <c r="B681">
        <v>590606</v>
      </c>
      <c r="E681">
        <v>590606</v>
      </c>
    </row>
    <row r="682" spans="1:5" x14ac:dyDescent="0.25">
      <c r="A682" s="91" t="s">
        <v>23079</v>
      </c>
      <c r="D682">
        <v>948638</v>
      </c>
      <c r="E682">
        <v>948638</v>
      </c>
    </row>
    <row r="683" spans="1:5" x14ac:dyDescent="0.25">
      <c r="A683" s="91" t="s">
        <v>23080</v>
      </c>
      <c r="C683">
        <v>585898</v>
      </c>
      <c r="E683">
        <v>585898</v>
      </c>
    </row>
    <row r="684" spans="1:5" x14ac:dyDescent="0.25">
      <c r="A684" s="91" t="s">
        <v>23081</v>
      </c>
      <c r="D684">
        <v>1143449</v>
      </c>
      <c r="E684">
        <v>1143449</v>
      </c>
    </row>
    <row r="685" spans="1:5" x14ac:dyDescent="0.25">
      <c r="A685" s="91" t="s">
        <v>23082</v>
      </c>
      <c r="B685">
        <v>635587</v>
      </c>
      <c r="E685">
        <v>635587</v>
      </c>
    </row>
    <row r="686" spans="1:5" x14ac:dyDescent="0.25">
      <c r="A686" s="91" t="s">
        <v>23083</v>
      </c>
      <c r="C686">
        <v>907833</v>
      </c>
      <c r="E686">
        <v>907833</v>
      </c>
    </row>
    <row r="687" spans="1:5" x14ac:dyDescent="0.25">
      <c r="A687" s="91" t="s">
        <v>23084</v>
      </c>
      <c r="C687">
        <v>531435</v>
      </c>
      <c r="E687">
        <v>531435</v>
      </c>
    </row>
    <row r="688" spans="1:5" x14ac:dyDescent="0.25">
      <c r="A688" s="91" t="s">
        <v>23085</v>
      </c>
      <c r="C688">
        <v>568483</v>
      </c>
      <c r="E688">
        <v>568483</v>
      </c>
    </row>
    <row r="689" spans="1:5" x14ac:dyDescent="0.25">
      <c r="A689" s="91" t="s">
        <v>23086</v>
      </c>
      <c r="C689">
        <v>551413</v>
      </c>
      <c r="E689">
        <v>551413</v>
      </c>
    </row>
    <row r="690" spans="1:5" x14ac:dyDescent="0.25">
      <c r="A690" s="91" t="s">
        <v>23087</v>
      </c>
      <c r="B690">
        <v>655776</v>
      </c>
      <c r="E690">
        <v>655776</v>
      </c>
    </row>
    <row r="691" spans="1:5" x14ac:dyDescent="0.25">
      <c r="A691" s="91" t="s">
        <v>23088</v>
      </c>
      <c r="C691">
        <v>913755</v>
      </c>
      <c r="E691">
        <v>913755</v>
      </c>
    </row>
    <row r="692" spans="1:5" x14ac:dyDescent="0.25">
      <c r="A692" s="91" t="s">
        <v>23089</v>
      </c>
      <c r="D692">
        <v>439307</v>
      </c>
      <c r="E692">
        <v>439307</v>
      </c>
    </row>
    <row r="693" spans="1:5" x14ac:dyDescent="0.25">
      <c r="A693" s="91" t="s">
        <v>23090</v>
      </c>
      <c r="D693">
        <v>634736</v>
      </c>
      <c r="E693">
        <v>634736</v>
      </c>
    </row>
    <row r="694" spans="1:5" x14ac:dyDescent="0.25">
      <c r="A694" s="91" t="s">
        <v>23091</v>
      </c>
      <c r="D694">
        <v>731557</v>
      </c>
      <c r="E694">
        <v>731557</v>
      </c>
    </row>
    <row r="695" spans="1:5" x14ac:dyDescent="0.25">
      <c r="A695" s="91" t="s">
        <v>23092</v>
      </c>
      <c r="B695">
        <v>700912</v>
      </c>
      <c r="E695">
        <v>700912</v>
      </c>
    </row>
    <row r="696" spans="1:5" x14ac:dyDescent="0.25">
      <c r="A696" s="91" t="s">
        <v>23093</v>
      </c>
      <c r="B696">
        <v>570118</v>
      </c>
      <c r="E696">
        <v>570118</v>
      </c>
    </row>
    <row r="697" spans="1:5" x14ac:dyDescent="0.25">
      <c r="A697" s="91" t="s">
        <v>23094</v>
      </c>
      <c r="D697">
        <v>983343</v>
      </c>
      <c r="E697">
        <v>983343</v>
      </c>
    </row>
    <row r="698" spans="1:5" x14ac:dyDescent="0.25">
      <c r="A698" s="91" t="s">
        <v>23095</v>
      </c>
      <c r="B698">
        <v>909806</v>
      </c>
      <c r="E698">
        <v>909806</v>
      </c>
    </row>
    <row r="699" spans="1:5" x14ac:dyDescent="0.25">
      <c r="A699" s="91" t="s">
        <v>23096</v>
      </c>
      <c r="D699">
        <v>700830</v>
      </c>
      <c r="E699">
        <v>700830</v>
      </c>
    </row>
    <row r="700" spans="1:5" x14ac:dyDescent="0.25">
      <c r="A700" s="91" t="s">
        <v>23097</v>
      </c>
      <c r="D700">
        <v>637004</v>
      </c>
      <c r="E700">
        <v>637004</v>
      </c>
    </row>
    <row r="701" spans="1:5" x14ac:dyDescent="0.25">
      <c r="A701" s="91" t="s">
        <v>23098</v>
      </c>
      <c r="C701">
        <v>800249</v>
      </c>
      <c r="E701">
        <v>800249</v>
      </c>
    </row>
    <row r="702" spans="1:5" x14ac:dyDescent="0.25">
      <c r="A702" s="91" t="s">
        <v>23099</v>
      </c>
      <c r="C702">
        <v>662484</v>
      </c>
      <c r="E702">
        <v>662484</v>
      </c>
    </row>
    <row r="703" spans="1:5" x14ac:dyDescent="0.25">
      <c r="A703" s="91" t="s">
        <v>23100</v>
      </c>
      <c r="C703">
        <v>853386</v>
      </c>
      <c r="E703">
        <v>853386</v>
      </c>
    </row>
    <row r="704" spans="1:5" x14ac:dyDescent="0.25">
      <c r="A704" s="91" t="s">
        <v>23101</v>
      </c>
      <c r="D704">
        <v>816810</v>
      </c>
      <c r="E704">
        <v>816810</v>
      </c>
    </row>
    <row r="705" spans="1:5" x14ac:dyDescent="0.25">
      <c r="A705" s="91" t="s">
        <v>23102</v>
      </c>
      <c r="C705">
        <v>985355</v>
      </c>
      <c r="E705">
        <v>985355</v>
      </c>
    </row>
    <row r="706" spans="1:5" x14ac:dyDescent="0.25">
      <c r="A706" s="91" t="s">
        <v>23103</v>
      </c>
      <c r="B706">
        <v>1230202</v>
      </c>
      <c r="E706">
        <v>1230202</v>
      </c>
    </row>
    <row r="707" spans="1:5" x14ac:dyDescent="0.25">
      <c r="A707" s="91" t="s">
        <v>23104</v>
      </c>
      <c r="D707">
        <v>633853</v>
      </c>
      <c r="E707">
        <v>633853</v>
      </c>
    </row>
    <row r="708" spans="1:5" x14ac:dyDescent="0.25">
      <c r="A708" s="91" t="s">
        <v>23105</v>
      </c>
      <c r="C708">
        <v>679046</v>
      </c>
      <c r="E708">
        <v>679046</v>
      </c>
    </row>
    <row r="709" spans="1:5" x14ac:dyDescent="0.25">
      <c r="A709" s="91" t="s">
        <v>23106</v>
      </c>
      <c r="D709">
        <v>997332</v>
      </c>
      <c r="E709">
        <v>997332</v>
      </c>
    </row>
    <row r="710" spans="1:5" x14ac:dyDescent="0.25">
      <c r="A710" s="91" t="s">
        <v>23107</v>
      </c>
      <c r="C710">
        <v>732905</v>
      </c>
      <c r="E710">
        <v>732905</v>
      </c>
    </row>
    <row r="711" spans="1:5" x14ac:dyDescent="0.25">
      <c r="A711" s="91" t="s">
        <v>23108</v>
      </c>
      <c r="B711">
        <v>935138</v>
      </c>
      <c r="E711">
        <v>935138</v>
      </c>
    </row>
    <row r="712" spans="1:5" x14ac:dyDescent="0.25">
      <c r="A712" s="91" t="s">
        <v>23109</v>
      </c>
      <c r="B712">
        <v>684528</v>
      </c>
      <c r="E712">
        <v>684528</v>
      </c>
    </row>
    <row r="713" spans="1:5" x14ac:dyDescent="0.25">
      <c r="A713" s="91" t="s">
        <v>23110</v>
      </c>
      <c r="D713">
        <v>709663</v>
      </c>
      <c r="E713">
        <v>709663</v>
      </c>
    </row>
    <row r="714" spans="1:5" x14ac:dyDescent="0.25">
      <c r="A714" s="91" t="s">
        <v>23111</v>
      </c>
      <c r="D714">
        <v>921122</v>
      </c>
      <c r="E714">
        <v>921122</v>
      </c>
    </row>
    <row r="715" spans="1:5" x14ac:dyDescent="0.25">
      <c r="A715" s="91" t="s">
        <v>23112</v>
      </c>
      <c r="C715">
        <v>648709</v>
      </c>
      <c r="E715">
        <v>648709</v>
      </c>
    </row>
    <row r="716" spans="1:5" x14ac:dyDescent="0.25">
      <c r="A716" s="91" t="s">
        <v>23113</v>
      </c>
      <c r="C716">
        <v>746897</v>
      </c>
      <c r="E716">
        <v>746897</v>
      </c>
    </row>
    <row r="717" spans="1:5" x14ac:dyDescent="0.25">
      <c r="A717" s="91" t="s">
        <v>23114</v>
      </c>
      <c r="C717">
        <v>687722</v>
      </c>
      <c r="E717">
        <v>687722</v>
      </c>
    </row>
    <row r="718" spans="1:5" x14ac:dyDescent="0.25">
      <c r="A718" s="91" t="s">
        <v>23115</v>
      </c>
      <c r="B718">
        <v>283269</v>
      </c>
      <c r="E718">
        <v>283269</v>
      </c>
    </row>
    <row r="719" spans="1:5" x14ac:dyDescent="0.25">
      <c r="A719" s="91" t="s">
        <v>23116</v>
      </c>
      <c r="B719">
        <v>430049</v>
      </c>
      <c r="E719">
        <v>430049</v>
      </c>
    </row>
    <row r="720" spans="1:5" x14ac:dyDescent="0.25">
      <c r="A720" s="91" t="s">
        <v>23117</v>
      </c>
      <c r="B720">
        <v>414266</v>
      </c>
      <c r="E720">
        <v>414266</v>
      </c>
    </row>
    <row r="721" spans="1:5" x14ac:dyDescent="0.25">
      <c r="A721" s="91" t="s">
        <v>23118</v>
      </c>
      <c r="C721">
        <v>746728</v>
      </c>
      <c r="E721">
        <v>746728</v>
      </c>
    </row>
    <row r="722" spans="1:5" x14ac:dyDescent="0.25">
      <c r="A722" s="91" t="s">
        <v>23119</v>
      </c>
      <c r="C722">
        <v>535986</v>
      </c>
      <c r="E722">
        <v>535986</v>
      </c>
    </row>
    <row r="723" spans="1:5" x14ac:dyDescent="0.25">
      <c r="A723" s="91" t="s">
        <v>23120</v>
      </c>
      <c r="C723">
        <v>601444</v>
      </c>
      <c r="E723">
        <v>601444</v>
      </c>
    </row>
    <row r="724" spans="1:5" x14ac:dyDescent="0.25">
      <c r="A724" s="91" t="s">
        <v>23121</v>
      </c>
      <c r="D724">
        <v>710072</v>
      </c>
      <c r="E724">
        <v>710072</v>
      </c>
    </row>
    <row r="725" spans="1:5" x14ac:dyDescent="0.25">
      <c r="A725" s="91" t="s">
        <v>23122</v>
      </c>
      <c r="B725">
        <v>806664</v>
      </c>
      <c r="E725">
        <v>806664</v>
      </c>
    </row>
    <row r="726" spans="1:5" x14ac:dyDescent="0.25">
      <c r="A726" s="91" t="s">
        <v>23123</v>
      </c>
      <c r="B726">
        <v>805047</v>
      </c>
      <c r="E726">
        <v>805047</v>
      </c>
    </row>
    <row r="727" spans="1:5" x14ac:dyDescent="0.25">
      <c r="A727" s="91" t="s">
        <v>23124</v>
      </c>
      <c r="D727">
        <v>899816</v>
      </c>
      <c r="E727">
        <v>899816</v>
      </c>
    </row>
    <row r="728" spans="1:5" x14ac:dyDescent="0.25">
      <c r="A728" s="91" t="s">
        <v>23125</v>
      </c>
      <c r="C728">
        <v>488228</v>
      </c>
      <c r="E728">
        <v>488228</v>
      </c>
    </row>
    <row r="729" spans="1:5" x14ac:dyDescent="0.25">
      <c r="A729" s="91" t="s">
        <v>23126</v>
      </c>
      <c r="B729">
        <v>726495</v>
      </c>
      <c r="E729">
        <v>726495</v>
      </c>
    </row>
    <row r="730" spans="1:5" x14ac:dyDescent="0.25">
      <c r="A730" s="91" t="s">
        <v>23127</v>
      </c>
      <c r="C730">
        <v>847352</v>
      </c>
      <c r="E730">
        <v>847352</v>
      </c>
    </row>
    <row r="731" spans="1:5" x14ac:dyDescent="0.25">
      <c r="A731" s="91" t="s">
        <v>23128</v>
      </c>
      <c r="C731">
        <v>976706</v>
      </c>
      <c r="E731">
        <v>976706</v>
      </c>
    </row>
    <row r="732" spans="1:5" x14ac:dyDescent="0.25">
      <c r="A732" s="91" t="s">
        <v>23129</v>
      </c>
      <c r="D732">
        <v>838801</v>
      </c>
      <c r="E732">
        <v>838801</v>
      </c>
    </row>
    <row r="733" spans="1:5" x14ac:dyDescent="0.25">
      <c r="A733" s="91" t="s">
        <v>23130</v>
      </c>
      <c r="C733">
        <v>695781</v>
      </c>
      <c r="E733">
        <v>695781</v>
      </c>
    </row>
    <row r="734" spans="1:5" x14ac:dyDescent="0.25">
      <c r="A734" s="91" t="s">
        <v>23131</v>
      </c>
      <c r="C734">
        <v>676097</v>
      </c>
      <c r="E734">
        <v>676097</v>
      </c>
    </row>
    <row r="735" spans="1:5" x14ac:dyDescent="0.25">
      <c r="A735" s="91" t="s">
        <v>23132</v>
      </c>
      <c r="C735">
        <v>923269</v>
      </c>
      <c r="E735">
        <v>923269</v>
      </c>
    </row>
    <row r="736" spans="1:5" x14ac:dyDescent="0.25">
      <c r="A736" s="91" t="s">
        <v>23133</v>
      </c>
      <c r="B736">
        <v>681211</v>
      </c>
      <c r="E736">
        <v>681211</v>
      </c>
    </row>
    <row r="737" spans="1:5" x14ac:dyDescent="0.25">
      <c r="A737" s="91" t="s">
        <v>23134</v>
      </c>
      <c r="C737">
        <v>831460</v>
      </c>
      <c r="E737">
        <v>831460</v>
      </c>
    </row>
    <row r="738" spans="1:5" x14ac:dyDescent="0.25">
      <c r="A738" s="91" t="s">
        <v>23135</v>
      </c>
      <c r="C738">
        <v>716671</v>
      </c>
      <c r="E738">
        <v>716671</v>
      </c>
    </row>
    <row r="739" spans="1:5" x14ac:dyDescent="0.25">
      <c r="A739" s="91" t="s">
        <v>23136</v>
      </c>
      <c r="D739">
        <v>672476</v>
      </c>
      <c r="E739">
        <v>672476</v>
      </c>
    </row>
    <row r="740" spans="1:5" x14ac:dyDescent="0.25">
      <c r="A740" s="91" t="s">
        <v>23137</v>
      </c>
      <c r="D740">
        <v>567972</v>
      </c>
      <c r="E740">
        <v>567972</v>
      </c>
    </row>
    <row r="741" spans="1:5" x14ac:dyDescent="0.25">
      <c r="A741" s="91" t="s">
        <v>23138</v>
      </c>
      <c r="C741">
        <v>523769</v>
      </c>
      <c r="E741">
        <v>523769</v>
      </c>
    </row>
    <row r="742" spans="1:5" x14ac:dyDescent="0.25">
      <c r="A742" s="91" t="s">
        <v>23139</v>
      </c>
      <c r="D742">
        <v>621231</v>
      </c>
      <c r="E742">
        <v>621231</v>
      </c>
    </row>
    <row r="743" spans="1:5" x14ac:dyDescent="0.25">
      <c r="A743" s="91" t="s">
        <v>23140</v>
      </c>
      <c r="D743">
        <v>855810</v>
      </c>
      <c r="E743">
        <v>855810</v>
      </c>
    </row>
    <row r="744" spans="1:5" x14ac:dyDescent="0.25">
      <c r="A744" s="91" t="s">
        <v>23141</v>
      </c>
      <c r="C744">
        <v>780733</v>
      </c>
      <c r="E744">
        <v>780733</v>
      </c>
    </row>
    <row r="745" spans="1:5" x14ac:dyDescent="0.25">
      <c r="A745" s="91" t="s">
        <v>23142</v>
      </c>
      <c r="B745">
        <v>707519</v>
      </c>
      <c r="E745">
        <v>707519</v>
      </c>
    </row>
    <row r="746" spans="1:5" x14ac:dyDescent="0.25">
      <c r="A746" s="91" t="s">
        <v>23143</v>
      </c>
      <c r="D746">
        <v>511004</v>
      </c>
      <c r="E746">
        <v>511004</v>
      </c>
    </row>
    <row r="747" spans="1:5" x14ac:dyDescent="0.25">
      <c r="A747" s="91" t="s">
        <v>23144</v>
      </c>
      <c r="C747">
        <v>966079</v>
      </c>
      <c r="E747">
        <v>966079</v>
      </c>
    </row>
    <row r="748" spans="1:5" x14ac:dyDescent="0.25">
      <c r="A748" s="91" t="s">
        <v>23145</v>
      </c>
      <c r="C748">
        <v>618982</v>
      </c>
      <c r="E748">
        <v>618982</v>
      </c>
    </row>
    <row r="749" spans="1:5" x14ac:dyDescent="0.25">
      <c r="A749" s="91" t="s">
        <v>23146</v>
      </c>
      <c r="D749">
        <v>661330</v>
      </c>
      <c r="E749">
        <v>661330</v>
      </c>
    </row>
    <row r="750" spans="1:5" x14ac:dyDescent="0.25">
      <c r="A750" s="91" t="s">
        <v>23147</v>
      </c>
      <c r="D750">
        <v>764531</v>
      </c>
      <c r="E750">
        <v>764531</v>
      </c>
    </row>
    <row r="751" spans="1:5" x14ac:dyDescent="0.25">
      <c r="A751" s="91" t="s">
        <v>23148</v>
      </c>
      <c r="B751">
        <v>656820</v>
      </c>
      <c r="E751">
        <v>656820</v>
      </c>
    </row>
    <row r="752" spans="1:5" x14ac:dyDescent="0.25">
      <c r="A752" s="91" t="s">
        <v>23149</v>
      </c>
      <c r="C752">
        <v>717326</v>
      </c>
      <c r="E752">
        <v>717326</v>
      </c>
    </row>
    <row r="753" spans="1:5" x14ac:dyDescent="0.25">
      <c r="A753" s="91" t="s">
        <v>23150</v>
      </c>
      <c r="D753">
        <v>769342</v>
      </c>
      <c r="E753">
        <v>769342</v>
      </c>
    </row>
    <row r="754" spans="1:5" x14ac:dyDescent="0.25">
      <c r="A754" s="91" t="s">
        <v>23151</v>
      </c>
      <c r="C754">
        <v>876505</v>
      </c>
      <c r="E754">
        <v>876505</v>
      </c>
    </row>
    <row r="755" spans="1:5" x14ac:dyDescent="0.25">
      <c r="A755" s="91" t="s">
        <v>23152</v>
      </c>
      <c r="C755">
        <v>673714</v>
      </c>
      <c r="E755">
        <v>673714</v>
      </c>
    </row>
    <row r="756" spans="1:5" x14ac:dyDescent="0.25">
      <c r="A756" s="91" t="s">
        <v>23153</v>
      </c>
      <c r="D756">
        <v>610839</v>
      </c>
      <c r="E756">
        <v>610839</v>
      </c>
    </row>
    <row r="757" spans="1:5" x14ac:dyDescent="0.25">
      <c r="A757" s="91" t="s">
        <v>23154</v>
      </c>
      <c r="D757">
        <v>938038</v>
      </c>
      <c r="E757">
        <v>938038</v>
      </c>
    </row>
    <row r="758" spans="1:5" x14ac:dyDescent="0.25">
      <c r="A758" s="91" t="s">
        <v>23155</v>
      </c>
      <c r="C758">
        <v>792767</v>
      </c>
      <c r="E758">
        <v>792767</v>
      </c>
    </row>
    <row r="759" spans="1:5" x14ac:dyDescent="0.25">
      <c r="A759" s="91" t="s">
        <v>23156</v>
      </c>
      <c r="D759">
        <v>596790</v>
      </c>
      <c r="E759">
        <v>596790</v>
      </c>
    </row>
    <row r="760" spans="1:5" x14ac:dyDescent="0.25">
      <c r="A760" s="91" t="s">
        <v>23157</v>
      </c>
      <c r="D760">
        <v>699755</v>
      </c>
      <c r="E760">
        <v>699755</v>
      </c>
    </row>
    <row r="761" spans="1:5" x14ac:dyDescent="0.25">
      <c r="A761" s="91" t="s">
        <v>23158</v>
      </c>
      <c r="B761">
        <v>988078</v>
      </c>
      <c r="E761">
        <v>988078</v>
      </c>
    </row>
    <row r="762" spans="1:5" x14ac:dyDescent="0.25">
      <c r="A762" s="91" t="s">
        <v>23159</v>
      </c>
      <c r="D762">
        <v>733491</v>
      </c>
      <c r="E762">
        <v>733491</v>
      </c>
    </row>
    <row r="763" spans="1:5" x14ac:dyDescent="0.25">
      <c r="A763" s="91" t="s">
        <v>23160</v>
      </c>
      <c r="B763">
        <v>605849</v>
      </c>
      <c r="E763">
        <v>605849</v>
      </c>
    </row>
    <row r="764" spans="1:5" x14ac:dyDescent="0.25">
      <c r="A764" s="91" t="s">
        <v>23161</v>
      </c>
      <c r="D764">
        <v>743886</v>
      </c>
      <c r="E764">
        <v>743886</v>
      </c>
    </row>
    <row r="765" spans="1:5" x14ac:dyDescent="0.25">
      <c r="A765" s="91" t="s">
        <v>23162</v>
      </c>
      <c r="B765">
        <v>544437</v>
      </c>
      <c r="E765">
        <v>544437</v>
      </c>
    </row>
    <row r="766" spans="1:5" x14ac:dyDescent="0.25">
      <c r="A766" s="91" t="s">
        <v>23163</v>
      </c>
      <c r="C766">
        <v>428438</v>
      </c>
      <c r="E766">
        <v>428438</v>
      </c>
    </row>
    <row r="767" spans="1:5" x14ac:dyDescent="0.25">
      <c r="A767" s="91" t="s">
        <v>23164</v>
      </c>
      <c r="D767">
        <v>841603</v>
      </c>
      <c r="E767">
        <v>841603</v>
      </c>
    </row>
    <row r="768" spans="1:5" x14ac:dyDescent="0.25">
      <c r="A768" s="91" t="s">
        <v>23165</v>
      </c>
      <c r="B768">
        <v>711184</v>
      </c>
      <c r="E768">
        <v>711184</v>
      </c>
    </row>
    <row r="769" spans="1:5" x14ac:dyDescent="0.25">
      <c r="A769" s="91" t="s">
        <v>23166</v>
      </c>
      <c r="B769">
        <v>615212</v>
      </c>
      <c r="E769">
        <v>615212</v>
      </c>
    </row>
    <row r="770" spans="1:5" x14ac:dyDescent="0.25">
      <c r="A770" s="91" t="s">
        <v>23167</v>
      </c>
      <c r="C770">
        <v>588834</v>
      </c>
      <c r="E770">
        <v>588834</v>
      </c>
    </row>
    <row r="771" spans="1:5" x14ac:dyDescent="0.25">
      <c r="A771" s="91" t="s">
        <v>23168</v>
      </c>
      <c r="C771">
        <v>623150</v>
      </c>
      <c r="E771">
        <v>623150</v>
      </c>
    </row>
    <row r="772" spans="1:5" x14ac:dyDescent="0.25">
      <c r="A772" s="91" t="s">
        <v>23169</v>
      </c>
      <c r="D772">
        <v>667421</v>
      </c>
      <c r="E772">
        <v>667421</v>
      </c>
    </row>
    <row r="773" spans="1:5" x14ac:dyDescent="0.25">
      <c r="A773" s="91" t="s">
        <v>23170</v>
      </c>
      <c r="D773">
        <v>699440</v>
      </c>
      <c r="E773">
        <v>699440</v>
      </c>
    </row>
    <row r="774" spans="1:5" x14ac:dyDescent="0.25">
      <c r="A774" s="91" t="s">
        <v>23171</v>
      </c>
      <c r="B774">
        <v>722389</v>
      </c>
      <c r="E774">
        <v>722389</v>
      </c>
    </row>
    <row r="775" spans="1:5" x14ac:dyDescent="0.25">
      <c r="A775" s="91" t="s">
        <v>23172</v>
      </c>
      <c r="C775">
        <v>732828</v>
      </c>
      <c r="E775">
        <v>732828</v>
      </c>
    </row>
    <row r="776" spans="1:5" x14ac:dyDescent="0.25">
      <c r="A776" s="91" t="s">
        <v>23173</v>
      </c>
      <c r="D776">
        <v>436501</v>
      </c>
      <c r="E776">
        <v>436501</v>
      </c>
    </row>
    <row r="777" spans="1:5" x14ac:dyDescent="0.25">
      <c r="A777" s="91" t="s">
        <v>23174</v>
      </c>
      <c r="C777">
        <v>1012954</v>
      </c>
      <c r="E777">
        <v>1012954</v>
      </c>
    </row>
    <row r="778" spans="1:5" x14ac:dyDescent="0.25">
      <c r="A778" s="91" t="s">
        <v>23175</v>
      </c>
      <c r="D778">
        <v>819368</v>
      </c>
      <c r="E778">
        <v>819368</v>
      </c>
    </row>
    <row r="779" spans="1:5" x14ac:dyDescent="0.25">
      <c r="A779" s="91" t="s">
        <v>23176</v>
      </c>
      <c r="B779">
        <v>924420</v>
      </c>
      <c r="E779">
        <v>924420</v>
      </c>
    </row>
    <row r="780" spans="1:5" x14ac:dyDescent="0.25">
      <c r="A780" s="91" t="s">
        <v>23177</v>
      </c>
      <c r="C780">
        <v>689635</v>
      </c>
      <c r="E780">
        <v>689635</v>
      </c>
    </row>
    <row r="781" spans="1:5" x14ac:dyDescent="0.25">
      <c r="A781" s="91" t="s">
        <v>23178</v>
      </c>
      <c r="C781">
        <v>642284</v>
      </c>
      <c r="E781">
        <v>642284</v>
      </c>
    </row>
    <row r="782" spans="1:5" x14ac:dyDescent="0.25">
      <c r="A782" s="91" t="s">
        <v>23179</v>
      </c>
      <c r="B782">
        <v>543471</v>
      </c>
      <c r="E782">
        <v>543471</v>
      </c>
    </row>
    <row r="783" spans="1:5" x14ac:dyDescent="0.25">
      <c r="A783" s="91" t="s">
        <v>23180</v>
      </c>
      <c r="B783">
        <v>834584</v>
      </c>
      <c r="E783">
        <v>834584</v>
      </c>
    </row>
    <row r="784" spans="1:5" x14ac:dyDescent="0.25">
      <c r="A784" s="91" t="s">
        <v>23181</v>
      </c>
      <c r="C784">
        <v>808753</v>
      </c>
      <c r="E784">
        <v>808753</v>
      </c>
    </row>
    <row r="785" spans="1:5" x14ac:dyDescent="0.25">
      <c r="A785" s="91" t="s">
        <v>23182</v>
      </c>
      <c r="D785">
        <v>1116037</v>
      </c>
      <c r="E785">
        <v>1116037</v>
      </c>
    </row>
    <row r="786" spans="1:5" x14ac:dyDescent="0.25">
      <c r="A786" s="91" t="s">
        <v>23183</v>
      </c>
      <c r="C786">
        <v>476791</v>
      </c>
      <c r="E786">
        <v>476791</v>
      </c>
    </row>
    <row r="787" spans="1:5" x14ac:dyDescent="0.25">
      <c r="A787" s="91" t="s">
        <v>23184</v>
      </c>
      <c r="C787">
        <v>256286</v>
      </c>
      <c r="E787">
        <v>256286</v>
      </c>
    </row>
    <row r="788" spans="1:5" x14ac:dyDescent="0.25">
      <c r="A788" s="91" t="s">
        <v>23185</v>
      </c>
      <c r="D788">
        <v>648303</v>
      </c>
      <c r="E788">
        <v>648303</v>
      </c>
    </row>
    <row r="789" spans="1:5" x14ac:dyDescent="0.25">
      <c r="A789" s="91" t="s">
        <v>23186</v>
      </c>
      <c r="C789">
        <v>719544</v>
      </c>
      <c r="E789">
        <v>719544</v>
      </c>
    </row>
    <row r="790" spans="1:5" x14ac:dyDescent="0.25">
      <c r="A790" s="91" t="s">
        <v>23187</v>
      </c>
      <c r="D790">
        <v>795363</v>
      </c>
      <c r="E790">
        <v>795363</v>
      </c>
    </row>
    <row r="791" spans="1:5" x14ac:dyDescent="0.25">
      <c r="A791" s="91" t="s">
        <v>23188</v>
      </c>
      <c r="C791">
        <v>680087</v>
      </c>
      <c r="E791">
        <v>680087</v>
      </c>
    </row>
    <row r="792" spans="1:5" x14ac:dyDescent="0.25">
      <c r="A792" s="91" t="s">
        <v>23189</v>
      </c>
      <c r="C792">
        <v>752931</v>
      </c>
      <c r="E792">
        <v>752931</v>
      </c>
    </row>
    <row r="793" spans="1:5" x14ac:dyDescent="0.25">
      <c r="A793" s="91" t="s">
        <v>23190</v>
      </c>
      <c r="D793">
        <v>995076</v>
      </c>
      <c r="E793">
        <v>995076</v>
      </c>
    </row>
    <row r="794" spans="1:5" x14ac:dyDescent="0.25">
      <c r="A794" s="91" t="s">
        <v>23191</v>
      </c>
      <c r="C794">
        <v>475552</v>
      </c>
      <c r="E794">
        <v>475552</v>
      </c>
    </row>
    <row r="795" spans="1:5" x14ac:dyDescent="0.25">
      <c r="A795" s="91" t="s">
        <v>23192</v>
      </c>
      <c r="B795">
        <v>830753</v>
      </c>
      <c r="E795">
        <v>830753</v>
      </c>
    </row>
    <row r="796" spans="1:5" x14ac:dyDescent="0.25">
      <c r="A796" s="91" t="s">
        <v>23193</v>
      </c>
      <c r="D796">
        <v>548004</v>
      </c>
      <c r="E796">
        <v>548004</v>
      </c>
    </row>
    <row r="797" spans="1:5" x14ac:dyDescent="0.25">
      <c r="A797" s="91" t="s">
        <v>23194</v>
      </c>
      <c r="D797">
        <v>777563</v>
      </c>
      <c r="E797">
        <v>777563</v>
      </c>
    </row>
    <row r="798" spans="1:5" x14ac:dyDescent="0.25">
      <c r="A798" s="91" t="s">
        <v>23195</v>
      </c>
      <c r="B798">
        <v>852910</v>
      </c>
      <c r="E798">
        <v>852910</v>
      </c>
    </row>
    <row r="799" spans="1:5" x14ac:dyDescent="0.25">
      <c r="A799" s="91" t="s">
        <v>23196</v>
      </c>
      <c r="B799">
        <v>665283</v>
      </c>
      <c r="E799">
        <v>665283</v>
      </c>
    </row>
    <row r="800" spans="1:5" x14ac:dyDescent="0.25">
      <c r="A800" s="91" t="s">
        <v>23197</v>
      </c>
      <c r="D800">
        <v>474138</v>
      </c>
      <c r="E800">
        <v>474138</v>
      </c>
    </row>
    <row r="801" spans="1:5" x14ac:dyDescent="0.25">
      <c r="A801" s="91" t="s">
        <v>23198</v>
      </c>
      <c r="B801">
        <v>662952</v>
      </c>
      <c r="E801">
        <v>662952</v>
      </c>
    </row>
    <row r="802" spans="1:5" x14ac:dyDescent="0.25">
      <c r="A802" s="91" t="s">
        <v>23199</v>
      </c>
      <c r="D802">
        <v>638133</v>
      </c>
      <c r="E802">
        <v>638133</v>
      </c>
    </row>
    <row r="803" spans="1:5" x14ac:dyDescent="0.25">
      <c r="A803" s="91" t="s">
        <v>23200</v>
      </c>
      <c r="B803">
        <v>519595</v>
      </c>
      <c r="E803">
        <v>519595</v>
      </c>
    </row>
    <row r="804" spans="1:5" x14ac:dyDescent="0.25">
      <c r="A804" s="91" t="s">
        <v>23201</v>
      </c>
      <c r="C804">
        <v>229737</v>
      </c>
      <c r="E804">
        <v>229737</v>
      </c>
    </row>
    <row r="805" spans="1:5" x14ac:dyDescent="0.25">
      <c r="A805" s="91" t="s">
        <v>23202</v>
      </c>
      <c r="D805">
        <v>450041</v>
      </c>
      <c r="E805">
        <v>450041</v>
      </c>
    </row>
    <row r="806" spans="1:5" x14ac:dyDescent="0.25">
      <c r="A806" s="91" t="s">
        <v>23203</v>
      </c>
      <c r="D806">
        <v>885649</v>
      </c>
      <c r="E806">
        <v>885649</v>
      </c>
    </row>
    <row r="807" spans="1:5" x14ac:dyDescent="0.25">
      <c r="A807" s="91" t="s">
        <v>23204</v>
      </c>
      <c r="B807">
        <v>848509</v>
      </c>
      <c r="E807">
        <v>848509</v>
      </c>
    </row>
    <row r="808" spans="1:5" x14ac:dyDescent="0.25">
      <c r="A808" s="91" t="s">
        <v>23205</v>
      </c>
      <c r="B808">
        <v>745980</v>
      </c>
      <c r="E808">
        <v>745980</v>
      </c>
    </row>
    <row r="809" spans="1:5" x14ac:dyDescent="0.25">
      <c r="A809" s="91" t="s">
        <v>23206</v>
      </c>
      <c r="D809">
        <v>393982</v>
      </c>
      <c r="E809">
        <v>393982</v>
      </c>
    </row>
    <row r="810" spans="1:5" x14ac:dyDescent="0.25">
      <c r="A810" s="91" t="s">
        <v>23207</v>
      </c>
      <c r="C810">
        <v>809800</v>
      </c>
      <c r="E810">
        <v>809800</v>
      </c>
    </row>
    <row r="811" spans="1:5" x14ac:dyDescent="0.25">
      <c r="A811" s="91" t="s">
        <v>23208</v>
      </c>
      <c r="C811">
        <v>734340</v>
      </c>
      <c r="E811">
        <v>734340</v>
      </c>
    </row>
    <row r="812" spans="1:5" x14ac:dyDescent="0.25">
      <c r="A812" s="91" t="s">
        <v>23209</v>
      </c>
      <c r="D812">
        <v>768592</v>
      </c>
      <c r="E812">
        <v>768592</v>
      </c>
    </row>
    <row r="813" spans="1:5" x14ac:dyDescent="0.25">
      <c r="A813" s="91" t="s">
        <v>23210</v>
      </c>
      <c r="B813">
        <v>758395</v>
      </c>
      <c r="E813">
        <v>758395</v>
      </c>
    </row>
    <row r="814" spans="1:5" x14ac:dyDescent="0.25">
      <c r="A814" s="91" t="s">
        <v>23211</v>
      </c>
      <c r="B814">
        <v>408387</v>
      </c>
      <c r="E814">
        <v>408387</v>
      </c>
    </row>
    <row r="815" spans="1:5" x14ac:dyDescent="0.25">
      <c r="A815" s="91" t="s">
        <v>23212</v>
      </c>
      <c r="B815">
        <v>649888</v>
      </c>
      <c r="E815">
        <v>649888</v>
      </c>
    </row>
    <row r="816" spans="1:5" x14ac:dyDescent="0.25">
      <c r="A816" s="91" t="s">
        <v>23213</v>
      </c>
      <c r="D816">
        <v>616122</v>
      </c>
      <c r="E816">
        <v>616122</v>
      </c>
    </row>
    <row r="817" spans="1:5" x14ac:dyDescent="0.25">
      <c r="A817" s="91" t="s">
        <v>23214</v>
      </c>
      <c r="D817">
        <v>529473</v>
      </c>
      <c r="E817">
        <v>529473</v>
      </c>
    </row>
    <row r="818" spans="1:5" x14ac:dyDescent="0.25">
      <c r="A818" s="91" t="s">
        <v>23215</v>
      </c>
      <c r="B818">
        <v>941481</v>
      </c>
      <c r="E818">
        <v>941481</v>
      </c>
    </row>
    <row r="819" spans="1:5" x14ac:dyDescent="0.25">
      <c r="A819" s="91" t="s">
        <v>23216</v>
      </c>
      <c r="C819">
        <v>435921</v>
      </c>
      <c r="E819">
        <v>435921</v>
      </c>
    </row>
    <row r="820" spans="1:5" x14ac:dyDescent="0.25">
      <c r="A820" s="91" t="s">
        <v>23217</v>
      </c>
      <c r="C820">
        <v>787765</v>
      </c>
      <c r="E820">
        <v>787765</v>
      </c>
    </row>
    <row r="821" spans="1:5" x14ac:dyDescent="0.25">
      <c r="A821" s="91" t="s">
        <v>23218</v>
      </c>
      <c r="D821">
        <v>632661</v>
      </c>
      <c r="E821">
        <v>632661</v>
      </c>
    </row>
    <row r="822" spans="1:5" x14ac:dyDescent="0.25">
      <c r="A822" s="91" t="s">
        <v>23219</v>
      </c>
      <c r="B822">
        <v>543853</v>
      </c>
      <c r="E822">
        <v>543853</v>
      </c>
    </row>
    <row r="823" spans="1:5" x14ac:dyDescent="0.25">
      <c r="A823" s="91" t="s">
        <v>23220</v>
      </c>
      <c r="C823">
        <v>629139</v>
      </c>
      <c r="E823">
        <v>629139</v>
      </c>
    </row>
    <row r="824" spans="1:5" x14ac:dyDescent="0.25">
      <c r="A824" s="91" t="s">
        <v>23221</v>
      </c>
      <c r="D824">
        <v>916522</v>
      </c>
      <c r="E824">
        <v>916522</v>
      </c>
    </row>
    <row r="825" spans="1:5" x14ac:dyDescent="0.25">
      <c r="A825" s="91" t="s">
        <v>23222</v>
      </c>
      <c r="B825">
        <v>838575</v>
      </c>
      <c r="E825">
        <v>838575</v>
      </c>
    </row>
    <row r="826" spans="1:5" x14ac:dyDescent="0.25">
      <c r="A826" s="91" t="s">
        <v>23223</v>
      </c>
      <c r="D826">
        <v>553683</v>
      </c>
      <c r="E826">
        <v>553683</v>
      </c>
    </row>
    <row r="827" spans="1:5" x14ac:dyDescent="0.25">
      <c r="A827" s="91" t="s">
        <v>23224</v>
      </c>
      <c r="D827">
        <v>535073</v>
      </c>
      <c r="E827">
        <v>535073</v>
      </c>
    </row>
    <row r="828" spans="1:5" x14ac:dyDescent="0.25">
      <c r="A828" s="91" t="s">
        <v>23225</v>
      </c>
      <c r="C828">
        <v>854317</v>
      </c>
      <c r="E828">
        <v>854317</v>
      </c>
    </row>
    <row r="829" spans="1:5" x14ac:dyDescent="0.25">
      <c r="A829" s="91" t="s">
        <v>23226</v>
      </c>
      <c r="D829">
        <v>596808</v>
      </c>
      <c r="E829">
        <v>596808</v>
      </c>
    </row>
    <row r="830" spans="1:5" x14ac:dyDescent="0.25">
      <c r="A830" s="91" t="s">
        <v>23227</v>
      </c>
      <c r="B830">
        <v>1064286</v>
      </c>
      <c r="E830">
        <v>1064286</v>
      </c>
    </row>
    <row r="831" spans="1:5" x14ac:dyDescent="0.25">
      <c r="A831" s="91" t="s">
        <v>23228</v>
      </c>
      <c r="C831">
        <v>647443</v>
      </c>
      <c r="E831">
        <v>647443</v>
      </c>
    </row>
    <row r="832" spans="1:5" x14ac:dyDescent="0.25">
      <c r="A832" s="91" t="s">
        <v>23229</v>
      </c>
      <c r="D832">
        <v>664872</v>
      </c>
      <c r="E832">
        <v>664872</v>
      </c>
    </row>
    <row r="833" spans="1:5" x14ac:dyDescent="0.25">
      <c r="A833" s="91" t="s">
        <v>23230</v>
      </c>
      <c r="C833">
        <v>771161</v>
      </c>
      <c r="E833">
        <v>771161</v>
      </c>
    </row>
    <row r="834" spans="1:5" x14ac:dyDescent="0.25">
      <c r="A834" s="91" t="s">
        <v>23231</v>
      </c>
      <c r="D834">
        <v>751155</v>
      </c>
      <c r="E834">
        <v>751155</v>
      </c>
    </row>
    <row r="835" spans="1:5" x14ac:dyDescent="0.25">
      <c r="A835" s="91" t="s">
        <v>23232</v>
      </c>
      <c r="B835">
        <v>697052</v>
      </c>
      <c r="E835">
        <v>697052</v>
      </c>
    </row>
    <row r="836" spans="1:5" x14ac:dyDescent="0.25">
      <c r="A836" s="91" t="s">
        <v>23233</v>
      </c>
      <c r="D836">
        <v>704901</v>
      </c>
      <c r="E836">
        <v>704901</v>
      </c>
    </row>
    <row r="837" spans="1:5" x14ac:dyDescent="0.25">
      <c r="A837" s="91" t="s">
        <v>23234</v>
      </c>
      <c r="C837">
        <v>743904</v>
      </c>
      <c r="E837">
        <v>743904</v>
      </c>
    </row>
    <row r="838" spans="1:5" x14ac:dyDescent="0.25">
      <c r="A838" s="91" t="s">
        <v>23235</v>
      </c>
      <c r="C838">
        <v>679511</v>
      </c>
      <c r="E838">
        <v>679511</v>
      </c>
    </row>
    <row r="839" spans="1:5" x14ac:dyDescent="0.25">
      <c r="A839" s="91" t="s">
        <v>23236</v>
      </c>
      <c r="D839">
        <v>930106</v>
      </c>
      <c r="E839">
        <v>930106</v>
      </c>
    </row>
    <row r="840" spans="1:5" x14ac:dyDescent="0.25">
      <c r="A840" s="91" t="s">
        <v>23237</v>
      </c>
      <c r="B840">
        <v>895549</v>
      </c>
      <c r="E840">
        <v>895549</v>
      </c>
    </row>
    <row r="841" spans="1:5" x14ac:dyDescent="0.25">
      <c r="A841" s="91" t="s">
        <v>23238</v>
      </c>
      <c r="B841">
        <v>601920</v>
      </c>
      <c r="E841">
        <v>601920</v>
      </c>
    </row>
    <row r="842" spans="1:5" x14ac:dyDescent="0.25">
      <c r="A842" s="91" t="s">
        <v>23239</v>
      </c>
      <c r="C842">
        <v>805766</v>
      </c>
      <c r="E842">
        <v>805766</v>
      </c>
    </row>
    <row r="843" spans="1:5" x14ac:dyDescent="0.25">
      <c r="A843" s="91" t="s">
        <v>23240</v>
      </c>
      <c r="D843">
        <v>777660</v>
      </c>
      <c r="E843">
        <v>777660</v>
      </c>
    </row>
    <row r="844" spans="1:5" x14ac:dyDescent="0.25">
      <c r="A844" s="91" t="s">
        <v>23241</v>
      </c>
      <c r="B844">
        <v>807853</v>
      </c>
      <c r="E844">
        <v>807853</v>
      </c>
    </row>
    <row r="845" spans="1:5" x14ac:dyDescent="0.25">
      <c r="A845" s="91" t="s">
        <v>23242</v>
      </c>
      <c r="B845">
        <v>760710</v>
      </c>
      <c r="E845">
        <v>760710</v>
      </c>
    </row>
    <row r="846" spans="1:5" x14ac:dyDescent="0.25">
      <c r="A846" s="91" t="s">
        <v>23243</v>
      </c>
      <c r="D846">
        <v>745490</v>
      </c>
      <c r="E846">
        <v>745490</v>
      </c>
    </row>
    <row r="847" spans="1:5" x14ac:dyDescent="0.25">
      <c r="A847" s="91" t="s">
        <v>23244</v>
      </c>
      <c r="D847">
        <v>818193</v>
      </c>
      <c r="E847">
        <v>818193</v>
      </c>
    </row>
    <row r="848" spans="1:5" x14ac:dyDescent="0.25">
      <c r="A848" s="91" t="s">
        <v>23245</v>
      </c>
      <c r="D848">
        <v>789211</v>
      </c>
      <c r="E848">
        <v>789211</v>
      </c>
    </row>
    <row r="849" spans="1:5" x14ac:dyDescent="0.25">
      <c r="A849" s="91" t="s">
        <v>23246</v>
      </c>
      <c r="C849">
        <v>740914</v>
      </c>
      <c r="E849">
        <v>740914</v>
      </c>
    </row>
    <row r="850" spans="1:5" x14ac:dyDescent="0.25">
      <c r="A850" s="91" t="s">
        <v>23247</v>
      </c>
      <c r="D850">
        <v>843239</v>
      </c>
      <c r="E850">
        <v>843239</v>
      </c>
    </row>
    <row r="851" spans="1:5" x14ac:dyDescent="0.25">
      <c r="A851" s="91" t="s">
        <v>23248</v>
      </c>
      <c r="D851">
        <v>1224207</v>
      </c>
      <c r="E851">
        <v>1224207</v>
      </c>
    </row>
    <row r="852" spans="1:5" x14ac:dyDescent="0.25">
      <c r="A852" s="91" t="s">
        <v>23249</v>
      </c>
      <c r="D852">
        <v>787996</v>
      </c>
      <c r="E852">
        <v>787996</v>
      </c>
    </row>
    <row r="853" spans="1:5" x14ac:dyDescent="0.25">
      <c r="A853" s="91" t="s">
        <v>23250</v>
      </c>
      <c r="D853">
        <v>503861</v>
      </c>
      <c r="E853">
        <v>503861</v>
      </c>
    </row>
    <row r="854" spans="1:5" x14ac:dyDescent="0.25">
      <c r="A854" s="91" t="s">
        <v>23251</v>
      </c>
      <c r="C854">
        <v>946209</v>
      </c>
      <c r="E854">
        <v>946209</v>
      </c>
    </row>
    <row r="855" spans="1:5" x14ac:dyDescent="0.25">
      <c r="A855" s="91" t="s">
        <v>23252</v>
      </c>
      <c r="D855">
        <v>500816</v>
      </c>
      <c r="E855">
        <v>500816</v>
      </c>
    </row>
    <row r="856" spans="1:5" x14ac:dyDescent="0.25">
      <c r="A856" s="91" t="s">
        <v>23253</v>
      </c>
      <c r="C856">
        <v>229221</v>
      </c>
      <c r="E856">
        <v>229221</v>
      </c>
    </row>
    <row r="857" spans="1:5" x14ac:dyDescent="0.25">
      <c r="A857" s="91" t="s">
        <v>23254</v>
      </c>
      <c r="D857">
        <v>561478</v>
      </c>
      <c r="E857">
        <v>561478</v>
      </c>
    </row>
    <row r="858" spans="1:5" x14ac:dyDescent="0.25">
      <c r="A858" s="91" t="s">
        <v>23255</v>
      </c>
      <c r="B858">
        <v>625171</v>
      </c>
      <c r="E858">
        <v>625171</v>
      </c>
    </row>
    <row r="859" spans="1:5" x14ac:dyDescent="0.25">
      <c r="A859" s="91" t="s">
        <v>23256</v>
      </c>
      <c r="B859">
        <v>682856</v>
      </c>
      <c r="E859">
        <v>682856</v>
      </c>
    </row>
    <row r="860" spans="1:5" x14ac:dyDescent="0.25">
      <c r="A860" s="91" t="s">
        <v>23257</v>
      </c>
      <c r="D860">
        <v>635919</v>
      </c>
      <c r="E860">
        <v>635919</v>
      </c>
    </row>
    <row r="861" spans="1:5" x14ac:dyDescent="0.25">
      <c r="A861" s="91" t="s">
        <v>23258</v>
      </c>
      <c r="B861">
        <v>372405</v>
      </c>
      <c r="E861">
        <v>372405</v>
      </c>
    </row>
    <row r="862" spans="1:5" x14ac:dyDescent="0.25">
      <c r="A862" s="91" t="s">
        <v>23259</v>
      </c>
      <c r="B862">
        <v>676256</v>
      </c>
      <c r="E862">
        <v>676256</v>
      </c>
    </row>
    <row r="863" spans="1:5" x14ac:dyDescent="0.25">
      <c r="A863" s="91" t="s">
        <v>23260</v>
      </c>
      <c r="D863">
        <v>1280079</v>
      </c>
      <c r="E863">
        <v>1280079</v>
      </c>
    </row>
    <row r="864" spans="1:5" x14ac:dyDescent="0.25">
      <c r="A864" s="91" t="s">
        <v>23261</v>
      </c>
      <c r="C864">
        <v>679482</v>
      </c>
      <c r="E864">
        <v>679482</v>
      </c>
    </row>
    <row r="865" spans="1:5" x14ac:dyDescent="0.25">
      <c r="A865" s="91" t="s">
        <v>23262</v>
      </c>
      <c r="D865">
        <v>893891</v>
      </c>
      <c r="E865">
        <v>893891</v>
      </c>
    </row>
    <row r="866" spans="1:5" x14ac:dyDescent="0.25">
      <c r="A866" s="91" t="s">
        <v>23263</v>
      </c>
      <c r="C866">
        <v>743782</v>
      </c>
      <c r="E866">
        <v>743782</v>
      </c>
    </row>
    <row r="867" spans="1:5" x14ac:dyDescent="0.25">
      <c r="A867" s="91" t="s">
        <v>23264</v>
      </c>
      <c r="D867">
        <v>698575</v>
      </c>
      <c r="E867">
        <v>698575</v>
      </c>
    </row>
    <row r="868" spans="1:5" x14ac:dyDescent="0.25">
      <c r="A868" s="91" t="s">
        <v>23265</v>
      </c>
      <c r="D868">
        <v>474301</v>
      </c>
      <c r="E868">
        <v>474301</v>
      </c>
    </row>
    <row r="869" spans="1:5" x14ac:dyDescent="0.25">
      <c r="A869" s="91" t="s">
        <v>23266</v>
      </c>
      <c r="D869">
        <v>924403</v>
      </c>
      <c r="E869">
        <v>924403</v>
      </c>
    </row>
    <row r="870" spans="1:5" x14ac:dyDescent="0.25">
      <c r="A870" s="91" t="s">
        <v>23267</v>
      </c>
      <c r="D870">
        <v>963557</v>
      </c>
      <c r="E870">
        <v>963557</v>
      </c>
    </row>
    <row r="871" spans="1:5" x14ac:dyDescent="0.25">
      <c r="A871" s="91" t="s">
        <v>23268</v>
      </c>
      <c r="C871">
        <v>374529</v>
      </c>
      <c r="E871">
        <v>374529</v>
      </c>
    </row>
    <row r="872" spans="1:5" x14ac:dyDescent="0.25">
      <c r="A872" s="91" t="s">
        <v>23269</v>
      </c>
      <c r="C872">
        <v>906215</v>
      </c>
      <c r="E872">
        <v>906215</v>
      </c>
    </row>
    <row r="873" spans="1:5" x14ac:dyDescent="0.25">
      <c r="A873" s="91" t="s">
        <v>23270</v>
      </c>
      <c r="C873">
        <v>760550</v>
      </c>
      <c r="E873">
        <v>760550</v>
      </c>
    </row>
    <row r="874" spans="1:5" x14ac:dyDescent="0.25">
      <c r="A874" s="91" t="s">
        <v>23271</v>
      </c>
      <c r="C874">
        <v>885458</v>
      </c>
      <c r="E874">
        <v>885458</v>
      </c>
    </row>
    <row r="875" spans="1:5" x14ac:dyDescent="0.25">
      <c r="A875" s="91" t="s">
        <v>23272</v>
      </c>
      <c r="D875">
        <v>721672</v>
      </c>
      <c r="E875">
        <v>721672</v>
      </c>
    </row>
    <row r="876" spans="1:5" x14ac:dyDescent="0.25">
      <c r="A876" s="91" t="s">
        <v>23273</v>
      </c>
      <c r="D876">
        <v>948183</v>
      </c>
      <c r="E876">
        <v>948183</v>
      </c>
    </row>
    <row r="877" spans="1:5" x14ac:dyDescent="0.25">
      <c r="A877" s="91" t="s">
        <v>23274</v>
      </c>
      <c r="B877">
        <v>683280</v>
      </c>
      <c r="E877">
        <v>683280</v>
      </c>
    </row>
    <row r="878" spans="1:5" x14ac:dyDescent="0.25">
      <c r="A878" s="91" t="s">
        <v>23275</v>
      </c>
      <c r="D878">
        <v>1039232</v>
      </c>
      <c r="E878">
        <v>1039232</v>
      </c>
    </row>
    <row r="879" spans="1:5" x14ac:dyDescent="0.25">
      <c r="A879" s="91" t="s">
        <v>23276</v>
      </c>
      <c r="C879">
        <v>638311</v>
      </c>
      <c r="E879">
        <v>638311</v>
      </c>
    </row>
    <row r="880" spans="1:5" x14ac:dyDescent="0.25">
      <c r="A880" s="91" t="s">
        <v>23277</v>
      </c>
      <c r="D880">
        <v>890240</v>
      </c>
      <c r="E880">
        <v>890240</v>
      </c>
    </row>
    <row r="881" spans="1:5" x14ac:dyDescent="0.25">
      <c r="A881" s="91" t="s">
        <v>23278</v>
      </c>
      <c r="C881">
        <v>750849</v>
      </c>
      <c r="E881">
        <v>750849</v>
      </c>
    </row>
    <row r="882" spans="1:5" x14ac:dyDescent="0.25">
      <c r="A882" s="91" t="s">
        <v>23279</v>
      </c>
      <c r="B882">
        <v>785622</v>
      </c>
      <c r="E882">
        <v>785622</v>
      </c>
    </row>
    <row r="883" spans="1:5" x14ac:dyDescent="0.25">
      <c r="A883" s="91" t="s">
        <v>23280</v>
      </c>
      <c r="C883">
        <v>833601</v>
      </c>
      <c r="E883">
        <v>833601</v>
      </c>
    </row>
    <row r="884" spans="1:5" x14ac:dyDescent="0.25">
      <c r="A884" s="91" t="s">
        <v>23281</v>
      </c>
      <c r="C884">
        <v>329258</v>
      </c>
      <c r="E884">
        <v>329258</v>
      </c>
    </row>
    <row r="885" spans="1:5" x14ac:dyDescent="0.25">
      <c r="A885" s="91" t="s">
        <v>23282</v>
      </c>
      <c r="C885">
        <v>551017</v>
      </c>
      <c r="E885">
        <v>551017</v>
      </c>
    </row>
    <row r="886" spans="1:5" x14ac:dyDescent="0.25">
      <c r="A886" s="91" t="s">
        <v>23283</v>
      </c>
      <c r="D886">
        <v>789000</v>
      </c>
      <c r="E886">
        <v>789000</v>
      </c>
    </row>
    <row r="887" spans="1:5" x14ac:dyDescent="0.25">
      <c r="A887" s="91" t="s">
        <v>23284</v>
      </c>
      <c r="C887">
        <v>834572</v>
      </c>
      <c r="E887">
        <v>834572</v>
      </c>
    </row>
    <row r="888" spans="1:5" x14ac:dyDescent="0.25">
      <c r="A888" s="91" t="s">
        <v>23285</v>
      </c>
      <c r="D888">
        <v>806073</v>
      </c>
      <c r="E888">
        <v>806073</v>
      </c>
    </row>
    <row r="889" spans="1:5" x14ac:dyDescent="0.25">
      <c r="A889" s="91" t="s">
        <v>23286</v>
      </c>
      <c r="B889">
        <v>851536</v>
      </c>
      <c r="E889">
        <v>851536</v>
      </c>
    </row>
    <row r="890" spans="1:5" x14ac:dyDescent="0.25">
      <c r="A890" s="91" t="s">
        <v>23287</v>
      </c>
      <c r="B890">
        <v>708390</v>
      </c>
      <c r="E890">
        <v>708390</v>
      </c>
    </row>
    <row r="891" spans="1:5" x14ac:dyDescent="0.25">
      <c r="A891" s="91" t="s">
        <v>23288</v>
      </c>
      <c r="D891">
        <v>637396</v>
      </c>
      <c r="E891">
        <v>637396</v>
      </c>
    </row>
    <row r="892" spans="1:5" x14ac:dyDescent="0.25">
      <c r="A892" s="91" t="s">
        <v>23289</v>
      </c>
      <c r="B892">
        <v>644436</v>
      </c>
      <c r="E892">
        <v>644436</v>
      </c>
    </row>
    <row r="893" spans="1:5" x14ac:dyDescent="0.25">
      <c r="A893" s="91" t="s">
        <v>23290</v>
      </c>
      <c r="D893">
        <v>400289</v>
      </c>
      <c r="E893">
        <v>400289</v>
      </c>
    </row>
    <row r="894" spans="1:5" x14ac:dyDescent="0.25">
      <c r="A894" s="91" t="s">
        <v>23291</v>
      </c>
      <c r="D894">
        <v>801961</v>
      </c>
      <c r="E894">
        <v>801961</v>
      </c>
    </row>
    <row r="895" spans="1:5" x14ac:dyDescent="0.25">
      <c r="A895" s="91" t="s">
        <v>23292</v>
      </c>
      <c r="D895">
        <v>1194738</v>
      </c>
      <c r="E895">
        <v>1194738</v>
      </c>
    </row>
    <row r="896" spans="1:5" x14ac:dyDescent="0.25">
      <c r="A896" s="91" t="s">
        <v>23293</v>
      </c>
      <c r="C896">
        <v>1214099</v>
      </c>
      <c r="E896">
        <v>1214099</v>
      </c>
    </row>
    <row r="897" spans="1:5" x14ac:dyDescent="0.25">
      <c r="A897" s="91" t="s">
        <v>23294</v>
      </c>
      <c r="C897">
        <v>722942</v>
      </c>
      <c r="E897">
        <v>722942</v>
      </c>
    </row>
    <row r="898" spans="1:5" x14ac:dyDescent="0.25">
      <c r="A898" s="91" t="s">
        <v>23295</v>
      </c>
      <c r="D898">
        <v>512176</v>
      </c>
      <c r="E898">
        <v>512176</v>
      </c>
    </row>
    <row r="899" spans="1:5" x14ac:dyDescent="0.25">
      <c r="A899" s="91" t="s">
        <v>22395</v>
      </c>
      <c r="D899">
        <v>788532</v>
      </c>
      <c r="E899">
        <v>788532</v>
      </c>
    </row>
    <row r="900" spans="1:5" x14ac:dyDescent="0.25">
      <c r="A900" s="91" t="s">
        <v>23296</v>
      </c>
      <c r="B900">
        <v>647076</v>
      </c>
      <c r="E900">
        <v>647076</v>
      </c>
    </row>
    <row r="901" spans="1:5" x14ac:dyDescent="0.25">
      <c r="A901" s="91" t="s">
        <v>23297</v>
      </c>
      <c r="C901">
        <v>793388</v>
      </c>
      <c r="E901">
        <v>793388</v>
      </c>
    </row>
    <row r="902" spans="1:5" x14ac:dyDescent="0.25">
      <c r="A902" s="91" t="s">
        <v>23298</v>
      </c>
      <c r="D902">
        <v>764254</v>
      </c>
      <c r="E902">
        <v>764254</v>
      </c>
    </row>
    <row r="903" spans="1:5" x14ac:dyDescent="0.25">
      <c r="A903" s="91" t="s">
        <v>23299</v>
      </c>
      <c r="C903">
        <v>937239</v>
      </c>
      <c r="E903">
        <v>937239</v>
      </c>
    </row>
    <row r="904" spans="1:5" x14ac:dyDescent="0.25">
      <c r="A904" s="91" t="s">
        <v>23300</v>
      </c>
      <c r="C904">
        <v>621016</v>
      </c>
      <c r="E904">
        <v>621016</v>
      </c>
    </row>
    <row r="905" spans="1:5" x14ac:dyDescent="0.25">
      <c r="A905" s="91" t="s">
        <v>23301</v>
      </c>
      <c r="C905">
        <v>613625</v>
      </c>
      <c r="E905">
        <v>613625</v>
      </c>
    </row>
    <row r="906" spans="1:5" x14ac:dyDescent="0.25">
      <c r="A906" s="91" t="s">
        <v>23302</v>
      </c>
      <c r="D906">
        <v>747655</v>
      </c>
      <c r="E906">
        <v>747655</v>
      </c>
    </row>
    <row r="907" spans="1:5" x14ac:dyDescent="0.25">
      <c r="A907" s="91" t="s">
        <v>23303</v>
      </c>
      <c r="B907">
        <v>445363</v>
      </c>
      <c r="E907">
        <v>445363</v>
      </c>
    </row>
    <row r="908" spans="1:5" x14ac:dyDescent="0.25">
      <c r="A908" s="91" t="s">
        <v>23304</v>
      </c>
      <c r="D908">
        <v>704699</v>
      </c>
      <c r="E908">
        <v>704699</v>
      </c>
    </row>
    <row r="909" spans="1:5" x14ac:dyDescent="0.25">
      <c r="A909" s="91" t="s">
        <v>23305</v>
      </c>
      <c r="B909">
        <v>939740</v>
      </c>
      <c r="E909">
        <v>939740</v>
      </c>
    </row>
    <row r="910" spans="1:5" x14ac:dyDescent="0.25">
      <c r="A910" s="91" t="s">
        <v>23306</v>
      </c>
      <c r="C910">
        <v>725779</v>
      </c>
      <c r="E910">
        <v>725779</v>
      </c>
    </row>
    <row r="911" spans="1:5" x14ac:dyDescent="0.25">
      <c r="A911" s="91" t="s">
        <v>23307</v>
      </c>
      <c r="B911">
        <v>298334</v>
      </c>
      <c r="E911">
        <v>298334</v>
      </c>
    </row>
    <row r="912" spans="1:5" x14ac:dyDescent="0.25">
      <c r="A912" s="91" t="s">
        <v>23308</v>
      </c>
      <c r="B912">
        <v>758216</v>
      </c>
      <c r="E912">
        <v>758216</v>
      </c>
    </row>
    <row r="913" spans="1:5" x14ac:dyDescent="0.25">
      <c r="A913" s="91" t="s">
        <v>23309</v>
      </c>
      <c r="D913">
        <v>1039370</v>
      </c>
      <c r="E913">
        <v>1039370</v>
      </c>
    </row>
    <row r="914" spans="1:5" x14ac:dyDescent="0.25">
      <c r="A914" s="91" t="s">
        <v>23310</v>
      </c>
      <c r="B914">
        <v>428435</v>
      </c>
      <c r="E914">
        <v>428435</v>
      </c>
    </row>
    <row r="915" spans="1:5" x14ac:dyDescent="0.25">
      <c r="A915" s="91" t="s">
        <v>23311</v>
      </c>
      <c r="B915">
        <v>641225</v>
      </c>
      <c r="E915">
        <v>641225</v>
      </c>
    </row>
    <row r="916" spans="1:5" x14ac:dyDescent="0.25">
      <c r="A916" s="91" t="s">
        <v>23312</v>
      </c>
      <c r="C916">
        <v>662396</v>
      </c>
      <c r="E916">
        <v>662396</v>
      </c>
    </row>
    <row r="917" spans="1:5" x14ac:dyDescent="0.25">
      <c r="A917" s="91" t="s">
        <v>23313</v>
      </c>
      <c r="B917">
        <v>526014</v>
      </c>
      <c r="E917">
        <v>526014</v>
      </c>
    </row>
    <row r="918" spans="1:5" x14ac:dyDescent="0.25">
      <c r="A918" s="91" t="s">
        <v>23314</v>
      </c>
      <c r="B918">
        <v>802034</v>
      </c>
      <c r="E918">
        <v>802034</v>
      </c>
    </row>
    <row r="919" spans="1:5" x14ac:dyDescent="0.25">
      <c r="A919" s="91" t="s">
        <v>23315</v>
      </c>
      <c r="C919">
        <v>691543</v>
      </c>
      <c r="E919">
        <v>691543</v>
      </c>
    </row>
    <row r="920" spans="1:5" x14ac:dyDescent="0.25">
      <c r="A920" s="91" t="s">
        <v>23316</v>
      </c>
      <c r="B920">
        <v>951272</v>
      </c>
      <c r="E920">
        <v>951272</v>
      </c>
    </row>
    <row r="921" spans="1:5" x14ac:dyDescent="0.25">
      <c r="A921" s="91" t="s">
        <v>23317</v>
      </c>
      <c r="D921">
        <v>857724</v>
      </c>
      <c r="E921">
        <v>857724</v>
      </c>
    </row>
    <row r="922" spans="1:5" x14ac:dyDescent="0.25">
      <c r="A922" s="91" t="s">
        <v>23318</v>
      </c>
      <c r="D922">
        <v>510949</v>
      </c>
      <c r="E922">
        <v>510949</v>
      </c>
    </row>
    <row r="923" spans="1:5" x14ac:dyDescent="0.25">
      <c r="A923" s="91" t="s">
        <v>23319</v>
      </c>
      <c r="C923">
        <v>911285</v>
      </c>
      <c r="E923">
        <v>911285</v>
      </c>
    </row>
    <row r="924" spans="1:5" x14ac:dyDescent="0.25">
      <c r="A924" s="91" t="s">
        <v>23320</v>
      </c>
      <c r="C924">
        <v>503681</v>
      </c>
      <c r="E924">
        <v>503681</v>
      </c>
    </row>
    <row r="925" spans="1:5" x14ac:dyDescent="0.25">
      <c r="A925" s="91" t="s">
        <v>23321</v>
      </c>
      <c r="B925">
        <v>501339</v>
      </c>
      <c r="E925">
        <v>501339</v>
      </c>
    </row>
    <row r="926" spans="1:5" x14ac:dyDescent="0.25">
      <c r="A926" s="91" t="s">
        <v>23322</v>
      </c>
      <c r="D926">
        <v>517010</v>
      </c>
      <c r="E926">
        <v>517010</v>
      </c>
    </row>
    <row r="927" spans="1:5" x14ac:dyDescent="0.25">
      <c r="A927" s="91" t="s">
        <v>23323</v>
      </c>
      <c r="B927">
        <v>702700</v>
      </c>
      <c r="E927">
        <v>702700</v>
      </c>
    </row>
    <row r="928" spans="1:5" x14ac:dyDescent="0.25">
      <c r="A928" s="91" t="s">
        <v>23324</v>
      </c>
      <c r="D928">
        <v>825812</v>
      </c>
      <c r="E928">
        <v>825812</v>
      </c>
    </row>
    <row r="929" spans="1:5" x14ac:dyDescent="0.25">
      <c r="A929" s="91" t="s">
        <v>23325</v>
      </c>
      <c r="D929">
        <v>529764</v>
      </c>
      <c r="E929">
        <v>529764</v>
      </c>
    </row>
    <row r="930" spans="1:5" x14ac:dyDescent="0.25">
      <c r="A930" s="91" t="s">
        <v>23326</v>
      </c>
      <c r="C930">
        <v>693757</v>
      </c>
      <c r="E930">
        <v>693757</v>
      </c>
    </row>
    <row r="931" spans="1:5" x14ac:dyDescent="0.25">
      <c r="A931" s="91" t="s">
        <v>23327</v>
      </c>
      <c r="C931">
        <v>613323</v>
      </c>
      <c r="E931">
        <v>613323</v>
      </c>
    </row>
    <row r="932" spans="1:5" x14ac:dyDescent="0.25">
      <c r="A932" s="91" t="s">
        <v>23328</v>
      </c>
      <c r="C932">
        <v>543827</v>
      </c>
      <c r="E932">
        <v>543827</v>
      </c>
    </row>
    <row r="933" spans="1:5" x14ac:dyDescent="0.25">
      <c r="A933" s="91" t="s">
        <v>23329</v>
      </c>
      <c r="B933">
        <v>631287</v>
      </c>
      <c r="E933">
        <v>631287</v>
      </c>
    </row>
    <row r="934" spans="1:5" x14ac:dyDescent="0.25">
      <c r="A934" s="91" t="s">
        <v>23330</v>
      </c>
      <c r="D934">
        <v>381274</v>
      </c>
      <c r="E934">
        <v>381274</v>
      </c>
    </row>
    <row r="935" spans="1:5" x14ac:dyDescent="0.25">
      <c r="A935" s="91" t="s">
        <v>23331</v>
      </c>
      <c r="C935">
        <v>864106</v>
      </c>
      <c r="E935">
        <v>864106</v>
      </c>
    </row>
    <row r="936" spans="1:5" x14ac:dyDescent="0.25">
      <c r="A936" s="91" t="s">
        <v>23332</v>
      </c>
      <c r="B936">
        <v>852715</v>
      </c>
      <c r="E936">
        <v>852715</v>
      </c>
    </row>
    <row r="937" spans="1:5" x14ac:dyDescent="0.25">
      <c r="A937" s="91" t="s">
        <v>23333</v>
      </c>
      <c r="C937">
        <v>877959</v>
      </c>
      <c r="E937">
        <v>877959</v>
      </c>
    </row>
    <row r="938" spans="1:5" x14ac:dyDescent="0.25">
      <c r="A938" s="91" t="s">
        <v>23334</v>
      </c>
      <c r="B938">
        <v>413843</v>
      </c>
      <c r="E938">
        <v>413843</v>
      </c>
    </row>
    <row r="939" spans="1:5" x14ac:dyDescent="0.25">
      <c r="A939" s="91" t="s">
        <v>23335</v>
      </c>
      <c r="B939">
        <v>599671</v>
      </c>
      <c r="E939">
        <v>599671</v>
      </c>
    </row>
    <row r="940" spans="1:5" x14ac:dyDescent="0.25">
      <c r="A940" s="91" t="s">
        <v>23336</v>
      </c>
      <c r="C940">
        <v>624725</v>
      </c>
      <c r="E940">
        <v>624725</v>
      </c>
    </row>
    <row r="941" spans="1:5" x14ac:dyDescent="0.25">
      <c r="A941" s="91" t="s">
        <v>23337</v>
      </c>
      <c r="D941">
        <v>814416</v>
      </c>
      <c r="E941">
        <v>814416</v>
      </c>
    </row>
    <row r="942" spans="1:5" x14ac:dyDescent="0.25">
      <c r="A942" s="91" t="s">
        <v>23338</v>
      </c>
      <c r="B942">
        <v>439483</v>
      </c>
      <c r="E942">
        <v>439483</v>
      </c>
    </row>
    <row r="943" spans="1:5" x14ac:dyDescent="0.25">
      <c r="A943" s="91" t="s">
        <v>23339</v>
      </c>
      <c r="B943">
        <v>838502</v>
      </c>
      <c r="E943">
        <v>838502</v>
      </c>
    </row>
    <row r="944" spans="1:5" x14ac:dyDescent="0.25">
      <c r="A944" s="91" t="s">
        <v>23340</v>
      </c>
      <c r="B944">
        <v>775801</v>
      </c>
      <c r="E944">
        <v>775801</v>
      </c>
    </row>
    <row r="945" spans="1:5" x14ac:dyDescent="0.25">
      <c r="A945" s="91" t="s">
        <v>23341</v>
      </c>
      <c r="C945">
        <v>607358</v>
      </c>
      <c r="E945">
        <v>607358</v>
      </c>
    </row>
    <row r="946" spans="1:5" x14ac:dyDescent="0.25">
      <c r="A946" s="91" t="s">
        <v>23342</v>
      </c>
      <c r="B946">
        <v>689888</v>
      </c>
      <c r="E946">
        <v>689888</v>
      </c>
    </row>
    <row r="947" spans="1:5" x14ac:dyDescent="0.25">
      <c r="A947" s="91" t="s">
        <v>23343</v>
      </c>
      <c r="D947">
        <v>808246</v>
      </c>
      <c r="E947">
        <v>808246</v>
      </c>
    </row>
    <row r="948" spans="1:5" x14ac:dyDescent="0.25">
      <c r="A948" s="91" t="s">
        <v>23344</v>
      </c>
      <c r="C948">
        <v>808131</v>
      </c>
      <c r="E948">
        <v>808131</v>
      </c>
    </row>
    <row r="949" spans="1:5" x14ac:dyDescent="0.25">
      <c r="A949" s="91" t="s">
        <v>23345</v>
      </c>
      <c r="C949">
        <v>806749</v>
      </c>
      <c r="E949">
        <v>806749</v>
      </c>
    </row>
    <row r="950" spans="1:5" x14ac:dyDescent="0.25">
      <c r="A950" s="91" t="s">
        <v>23346</v>
      </c>
      <c r="D950">
        <v>686292</v>
      </c>
      <c r="E950">
        <v>686292</v>
      </c>
    </row>
    <row r="951" spans="1:5" x14ac:dyDescent="0.25">
      <c r="A951" s="91" t="s">
        <v>23347</v>
      </c>
      <c r="C951">
        <v>683114</v>
      </c>
      <c r="E951">
        <v>683114</v>
      </c>
    </row>
    <row r="952" spans="1:5" x14ac:dyDescent="0.25">
      <c r="A952" s="91" t="s">
        <v>23348</v>
      </c>
      <c r="C952">
        <v>941410</v>
      </c>
      <c r="E952">
        <v>941410</v>
      </c>
    </row>
    <row r="953" spans="1:5" x14ac:dyDescent="0.25">
      <c r="A953" s="91" t="s">
        <v>23349</v>
      </c>
      <c r="D953">
        <v>699976</v>
      </c>
      <c r="E953">
        <v>699976</v>
      </c>
    </row>
    <row r="954" spans="1:5" x14ac:dyDescent="0.25">
      <c r="A954" s="91" t="s">
        <v>23350</v>
      </c>
      <c r="B954">
        <v>795625</v>
      </c>
      <c r="E954">
        <v>795625</v>
      </c>
    </row>
    <row r="955" spans="1:5" x14ac:dyDescent="0.25">
      <c r="A955" s="91" t="s">
        <v>23351</v>
      </c>
      <c r="C955">
        <v>677458</v>
      </c>
      <c r="E955">
        <v>677458</v>
      </c>
    </row>
    <row r="956" spans="1:5" x14ac:dyDescent="0.25">
      <c r="A956" s="91" t="s">
        <v>23352</v>
      </c>
      <c r="D956">
        <v>619591</v>
      </c>
      <c r="E956">
        <v>619591</v>
      </c>
    </row>
    <row r="957" spans="1:5" x14ac:dyDescent="0.25">
      <c r="A957" s="91" t="s">
        <v>23353</v>
      </c>
      <c r="C957">
        <v>614133</v>
      </c>
      <c r="E957">
        <v>614133</v>
      </c>
    </row>
    <row r="958" spans="1:5" x14ac:dyDescent="0.25">
      <c r="A958" s="91" t="s">
        <v>23354</v>
      </c>
      <c r="D958">
        <v>563423</v>
      </c>
      <c r="E958">
        <v>563423</v>
      </c>
    </row>
    <row r="959" spans="1:5" x14ac:dyDescent="0.25">
      <c r="A959" s="91" t="s">
        <v>23355</v>
      </c>
      <c r="C959">
        <v>551500</v>
      </c>
      <c r="E959">
        <v>551500</v>
      </c>
    </row>
    <row r="960" spans="1:5" x14ac:dyDescent="0.25">
      <c r="A960" s="91" t="s">
        <v>23356</v>
      </c>
      <c r="B960">
        <v>475694</v>
      </c>
      <c r="E960">
        <v>475694</v>
      </c>
    </row>
    <row r="961" spans="1:5" x14ac:dyDescent="0.25">
      <c r="A961" s="91" t="s">
        <v>23357</v>
      </c>
      <c r="C961">
        <v>756417</v>
      </c>
      <c r="E961">
        <v>756417</v>
      </c>
    </row>
    <row r="962" spans="1:5" x14ac:dyDescent="0.25">
      <c r="A962" s="91" t="s">
        <v>23358</v>
      </c>
      <c r="B962">
        <v>458541</v>
      </c>
      <c r="E962">
        <v>458541</v>
      </c>
    </row>
    <row r="963" spans="1:5" x14ac:dyDescent="0.25">
      <c r="A963" s="91" t="s">
        <v>23359</v>
      </c>
      <c r="D963">
        <v>557797</v>
      </c>
      <c r="E963">
        <v>557797</v>
      </c>
    </row>
    <row r="964" spans="1:5" x14ac:dyDescent="0.25">
      <c r="A964" s="91" t="s">
        <v>23360</v>
      </c>
      <c r="B964">
        <v>313642</v>
      </c>
      <c r="E964">
        <v>313642</v>
      </c>
    </row>
    <row r="965" spans="1:5" x14ac:dyDescent="0.25">
      <c r="A965" s="91" t="s">
        <v>23361</v>
      </c>
      <c r="B965">
        <v>696630</v>
      </c>
      <c r="E965">
        <v>696630</v>
      </c>
    </row>
    <row r="966" spans="1:5" x14ac:dyDescent="0.25">
      <c r="A966" s="91" t="s">
        <v>23362</v>
      </c>
      <c r="D966">
        <v>580833</v>
      </c>
      <c r="E966">
        <v>580833</v>
      </c>
    </row>
    <row r="967" spans="1:5" x14ac:dyDescent="0.25">
      <c r="A967" s="91" t="s">
        <v>23363</v>
      </c>
      <c r="C967">
        <v>515945</v>
      </c>
      <c r="E967">
        <v>515945</v>
      </c>
    </row>
    <row r="968" spans="1:5" x14ac:dyDescent="0.25">
      <c r="A968" s="91" t="s">
        <v>23364</v>
      </c>
      <c r="B968">
        <v>483097</v>
      </c>
      <c r="E968">
        <v>483097</v>
      </c>
    </row>
    <row r="969" spans="1:5" x14ac:dyDescent="0.25">
      <c r="A969" s="91" t="s">
        <v>23365</v>
      </c>
      <c r="B969">
        <v>868569</v>
      </c>
      <c r="E969">
        <v>868569</v>
      </c>
    </row>
    <row r="970" spans="1:5" x14ac:dyDescent="0.25">
      <c r="A970" s="91" t="s">
        <v>23366</v>
      </c>
      <c r="C970">
        <v>575085</v>
      </c>
      <c r="E970">
        <v>575085</v>
      </c>
    </row>
    <row r="971" spans="1:5" x14ac:dyDescent="0.25">
      <c r="A971" s="91" t="s">
        <v>23367</v>
      </c>
      <c r="C971">
        <v>658709</v>
      </c>
      <c r="E971">
        <v>658709</v>
      </c>
    </row>
    <row r="972" spans="1:5" x14ac:dyDescent="0.25">
      <c r="A972" s="91" t="s">
        <v>22399</v>
      </c>
      <c r="B972">
        <v>645183</v>
      </c>
      <c r="E972">
        <v>645183</v>
      </c>
    </row>
    <row r="973" spans="1:5" x14ac:dyDescent="0.25">
      <c r="A973" s="91" t="s">
        <v>23368</v>
      </c>
      <c r="C973">
        <v>601807</v>
      </c>
      <c r="E973">
        <v>601807</v>
      </c>
    </row>
    <row r="974" spans="1:5" x14ac:dyDescent="0.25">
      <c r="A974" s="91" t="s">
        <v>23369</v>
      </c>
      <c r="C974">
        <v>480183</v>
      </c>
      <c r="E974">
        <v>480183</v>
      </c>
    </row>
    <row r="975" spans="1:5" x14ac:dyDescent="0.25">
      <c r="A975" s="91" t="s">
        <v>23370</v>
      </c>
      <c r="D975">
        <v>676232</v>
      </c>
      <c r="E975">
        <v>676232</v>
      </c>
    </row>
    <row r="976" spans="1:5" x14ac:dyDescent="0.25">
      <c r="A976" s="91" t="s">
        <v>23371</v>
      </c>
      <c r="B976">
        <v>409689</v>
      </c>
      <c r="E976">
        <v>409689</v>
      </c>
    </row>
    <row r="977" spans="1:5" x14ac:dyDescent="0.25">
      <c r="A977" s="91" t="s">
        <v>23372</v>
      </c>
      <c r="C977">
        <v>711633</v>
      </c>
      <c r="E977">
        <v>711633</v>
      </c>
    </row>
    <row r="978" spans="1:5" x14ac:dyDescent="0.25">
      <c r="A978" s="91" t="s">
        <v>23373</v>
      </c>
      <c r="B978">
        <v>714034</v>
      </c>
      <c r="E978">
        <v>714034</v>
      </c>
    </row>
    <row r="979" spans="1:5" x14ac:dyDescent="0.25">
      <c r="A979" s="91" t="s">
        <v>23374</v>
      </c>
      <c r="D979">
        <v>432502</v>
      </c>
      <c r="E979">
        <v>432502</v>
      </c>
    </row>
    <row r="980" spans="1:5" x14ac:dyDescent="0.25">
      <c r="A980" s="91" t="s">
        <v>23375</v>
      </c>
      <c r="D980">
        <v>819130</v>
      </c>
      <c r="E980">
        <v>819130</v>
      </c>
    </row>
    <row r="981" spans="1:5" x14ac:dyDescent="0.25">
      <c r="A981" s="91" t="s">
        <v>23376</v>
      </c>
      <c r="B981">
        <v>646520</v>
      </c>
      <c r="E981">
        <v>646520</v>
      </c>
    </row>
    <row r="982" spans="1:5" x14ac:dyDescent="0.25">
      <c r="A982" s="91" t="s">
        <v>23377</v>
      </c>
      <c r="D982">
        <v>630239</v>
      </c>
      <c r="E982">
        <v>630239</v>
      </c>
    </row>
    <row r="983" spans="1:5" x14ac:dyDescent="0.25">
      <c r="A983" s="91" t="s">
        <v>23378</v>
      </c>
      <c r="C983">
        <v>528881</v>
      </c>
      <c r="E983">
        <v>528881</v>
      </c>
    </row>
    <row r="984" spans="1:5" x14ac:dyDescent="0.25">
      <c r="A984" s="91" t="s">
        <v>23379</v>
      </c>
      <c r="D984">
        <v>945909</v>
      </c>
      <c r="E984">
        <v>945909</v>
      </c>
    </row>
    <row r="985" spans="1:5" x14ac:dyDescent="0.25">
      <c r="A985" s="91" t="s">
        <v>23380</v>
      </c>
      <c r="C985">
        <v>695864</v>
      </c>
      <c r="E985">
        <v>695864</v>
      </c>
    </row>
    <row r="986" spans="1:5" x14ac:dyDescent="0.25">
      <c r="A986" s="91" t="s">
        <v>23381</v>
      </c>
      <c r="B986">
        <v>639491</v>
      </c>
      <c r="E986">
        <v>639491</v>
      </c>
    </row>
    <row r="987" spans="1:5" x14ac:dyDescent="0.25">
      <c r="A987" s="91" t="s">
        <v>23382</v>
      </c>
      <c r="D987">
        <v>716444</v>
      </c>
      <c r="E987">
        <v>716444</v>
      </c>
    </row>
    <row r="988" spans="1:5" x14ac:dyDescent="0.25">
      <c r="A988" s="91" t="s">
        <v>23383</v>
      </c>
      <c r="C988">
        <v>991891</v>
      </c>
      <c r="E988">
        <v>991891</v>
      </c>
    </row>
    <row r="989" spans="1:5" x14ac:dyDescent="0.25">
      <c r="A989" s="91" t="s">
        <v>23384</v>
      </c>
      <c r="C989">
        <v>862004</v>
      </c>
      <c r="E989">
        <v>862004</v>
      </c>
    </row>
    <row r="990" spans="1:5" x14ac:dyDescent="0.25">
      <c r="A990" s="91" t="s">
        <v>23385</v>
      </c>
      <c r="B990">
        <v>584140</v>
      </c>
      <c r="E990">
        <v>584140</v>
      </c>
    </row>
    <row r="991" spans="1:5" x14ac:dyDescent="0.25">
      <c r="A991" s="91" t="s">
        <v>23386</v>
      </c>
      <c r="C991">
        <v>866306</v>
      </c>
      <c r="E991">
        <v>866306</v>
      </c>
    </row>
    <row r="992" spans="1:5" x14ac:dyDescent="0.25">
      <c r="A992" s="91" t="s">
        <v>23387</v>
      </c>
      <c r="D992">
        <v>870237</v>
      </c>
      <c r="E992">
        <v>870237</v>
      </c>
    </row>
    <row r="993" spans="1:5" x14ac:dyDescent="0.25">
      <c r="A993" s="91" t="s">
        <v>23388</v>
      </c>
      <c r="D993">
        <v>775092</v>
      </c>
      <c r="E993">
        <v>775092</v>
      </c>
    </row>
    <row r="994" spans="1:5" x14ac:dyDescent="0.25">
      <c r="A994" s="91" t="s">
        <v>23389</v>
      </c>
      <c r="B994">
        <v>660630</v>
      </c>
      <c r="E994">
        <v>660630</v>
      </c>
    </row>
    <row r="995" spans="1:5" x14ac:dyDescent="0.25">
      <c r="A995" s="91" t="s">
        <v>23390</v>
      </c>
      <c r="C995">
        <v>823572</v>
      </c>
      <c r="E995">
        <v>823572</v>
      </c>
    </row>
    <row r="996" spans="1:5" x14ac:dyDescent="0.25">
      <c r="A996" s="91" t="s">
        <v>23391</v>
      </c>
      <c r="D996">
        <v>471697</v>
      </c>
      <c r="E996">
        <v>471697</v>
      </c>
    </row>
    <row r="997" spans="1:5" x14ac:dyDescent="0.25">
      <c r="A997" s="91" t="s">
        <v>23392</v>
      </c>
      <c r="B997">
        <v>685708</v>
      </c>
      <c r="E997">
        <v>685708</v>
      </c>
    </row>
    <row r="998" spans="1:5" x14ac:dyDescent="0.25">
      <c r="A998" s="91" t="s">
        <v>23393</v>
      </c>
      <c r="B998">
        <v>869443</v>
      </c>
      <c r="E998">
        <v>869443</v>
      </c>
    </row>
    <row r="999" spans="1:5" x14ac:dyDescent="0.25">
      <c r="A999" s="91" t="s">
        <v>23394</v>
      </c>
      <c r="C999">
        <v>662174</v>
      </c>
      <c r="E999">
        <v>662174</v>
      </c>
    </row>
    <row r="1000" spans="1:5" x14ac:dyDescent="0.25">
      <c r="A1000" s="91" t="s">
        <v>23395</v>
      </c>
      <c r="B1000">
        <v>550688</v>
      </c>
      <c r="E1000">
        <v>550688</v>
      </c>
    </row>
    <row r="1001" spans="1:5" x14ac:dyDescent="0.25">
      <c r="A1001" s="91" t="s">
        <v>23396</v>
      </c>
      <c r="D1001">
        <v>577152</v>
      </c>
      <c r="E1001">
        <v>577152</v>
      </c>
    </row>
    <row r="1002" spans="1:5" x14ac:dyDescent="0.25">
      <c r="A1002" s="91" t="s">
        <v>23397</v>
      </c>
      <c r="D1002">
        <v>692993</v>
      </c>
      <c r="E1002">
        <v>692993</v>
      </c>
    </row>
    <row r="1003" spans="1:5" x14ac:dyDescent="0.25">
      <c r="A1003" s="91" t="s">
        <v>22403</v>
      </c>
      <c r="B1003">
        <v>210180123</v>
      </c>
      <c r="C1003">
        <v>242195437</v>
      </c>
      <c r="D1003">
        <v>246768638</v>
      </c>
      <c r="E1003">
        <v>699144198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30"/>
  <sheetViews>
    <sheetView showGridLines="0" workbookViewId="0">
      <selection activeCell="H8" sqref="H8"/>
    </sheetView>
  </sheetViews>
  <sheetFormatPr defaultColWidth="8.85546875" defaultRowHeight="15" x14ac:dyDescent="0.25"/>
  <cols>
    <col min="1" max="1" width="19.42578125" bestFit="1" customWidth="1"/>
    <col min="2" max="2" width="14.28515625" bestFit="1" customWidth="1"/>
    <col min="3" max="3" width="14.42578125" bestFit="1" customWidth="1"/>
    <col min="4" max="4" width="7.28515625" bestFit="1" customWidth="1"/>
    <col min="5" max="7" width="9.28515625" bestFit="1" customWidth="1"/>
    <col min="8" max="8" width="6.42578125" bestFit="1" customWidth="1"/>
    <col min="9" max="9" width="10" bestFit="1" customWidth="1"/>
    <col min="10" max="10" width="10.42578125" bestFit="1" customWidth="1"/>
    <col min="12" max="12" width="31.28515625" bestFit="1" customWidth="1"/>
    <col min="13" max="13" width="15" bestFit="1" customWidth="1"/>
    <col min="15" max="15" width="21" bestFit="1" customWidth="1"/>
  </cols>
  <sheetData>
    <row r="1" spans="1:13" x14ac:dyDescent="0.25">
      <c r="A1" s="9" t="s">
        <v>22348</v>
      </c>
      <c r="B1" s="24">
        <v>0.3</v>
      </c>
      <c r="C1" s="22"/>
    </row>
    <row r="2" spans="1:13" x14ac:dyDescent="0.25">
      <c r="A2" s="9" t="s">
        <v>22349</v>
      </c>
      <c r="B2" s="24">
        <v>0.05</v>
      </c>
      <c r="C2" s="22"/>
    </row>
    <row r="4" spans="1:13" x14ac:dyDescent="0.25">
      <c r="A4" s="110" t="s">
        <v>22347</v>
      </c>
      <c r="B4" s="111"/>
      <c r="C4" s="111"/>
      <c r="D4" s="111"/>
      <c r="E4" s="111"/>
      <c r="F4" s="111"/>
      <c r="G4" s="111"/>
      <c r="H4" s="111"/>
      <c r="I4" s="111"/>
      <c r="J4" s="112"/>
    </row>
    <row r="5" spans="1:13" x14ac:dyDescent="0.25">
      <c r="A5" s="9" t="s">
        <v>22310</v>
      </c>
      <c r="B5" s="9" t="s">
        <v>22311</v>
      </c>
      <c r="C5" s="9" t="s">
        <v>22312</v>
      </c>
      <c r="D5" s="9" t="s">
        <v>22313</v>
      </c>
      <c r="E5" s="9" t="s">
        <v>22314</v>
      </c>
      <c r="F5" s="9" t="s">
        <v>22315</v>
      </c>
      <c r="G5" s="9" t="s">
        <v>22316</v>
      </c>
      <c r="H5" s="9" t="s">
        <v>22317</v>
      </c>
      <c r="I5" s="9" t="s">
        <v>22318</v>
      </c>
      <c r="J5" s="9" t="s">
        <v>22350</v>
      </c>
    </row>
    <row r="6" spans="1:13" x14ac:dyDescent="0.25">
      <c r="A6" s="9" t="s">
        <v>7</v>
      </c>
      <c r="B6" s="16">
        <v>30000</v>
      </c>
      <c r="C6" s="16">
        <v>65000</v>
      </c>
      <c r="D6" s="17">
        <v>0.12</v>
      </c>
      <c r="E6" s="17">
        <v>0.17</v>
      </c>
      <c r="F6" s="17">
        <v>0.2</v>
      </c>
      <c r="G6" s="17">
        <v>0.22</v>
      </c>
      <c r="H6" s="17">
        <v>0.1</v>
      </c>
      <c r="I6" s="16">
        <v>600000</v>
      </c>
      <c r="J6" s="19">
        <v>400</v>
      </c>
    </row>
    <row r="7" spans="1:13" x14ac:dyDescent="0.25">
      <c r="A7" s="9" t="s">
        <v>29</v>
      </c>
      <c r="B7" s="16">
        <v>50000</v>
      </c>
      <c r="C7" s="16">
        <v>80000</v>
      </c>
      <c r="D7" s="17">
        <v>0.15</v>
      </c>
      <c r="E7" s="17">
        <v>0.18</v>
      </c>
      <c r="F7" s="17">
        <v>0.25</v>
      </c>
      <c r="G7" s="17">
        <v>0.3</v>
      </c>
      <c r="H7" s="17">
        <v>0.13</v>
      </c>
      <c r="I7" s="16">
        <v>700000</v>
      </c>
      <c r="J7" s="19">
        <v>400</v>
      </c>
    </row>
    <row r="8" spans="1:13" x14ac:dyDescent="0.25">
      <c r="A8" s="9" t="s">
        <v>10</v>
      </c>
      <c r="B8" s="16">
        <v>75000</v>
      </c>
      <c r="C8" s="16">
        <v>125000</v>
      </c>
      <c r="D8" s="17">
        <v>0.15</v>
      </c>
      <c r="E8" s="17">
        <v>0.22</v>
      </c>
      <c r="F8" s="17">
        <v>0.25</v>
      </c>
      <c r="G8" s="17">
        <v>0.33</v>
      </c>
      <c r="H8" s="17">
        <v>0.15</v>
      </c>
      <c r="I8" s="16">
        <v>800000</v>
      </c>
      <c r="J8" s="19">
        <v>400</v>
      </c>
    </row>
    <row r="10" spans="1:13" x14ac:dyDescent="0.25">
      <c r="A10" s="107" t="s">
        <v>22346</v>
      </c>
      <c r="B10" s="107"/>
      <c r="C10" s="107"/>
      <c r="D10" s="107"/>
      <c r="E10" s="107"/>
      <c r="F10" s="107"/>
      <c r="G10" s="107"/>
      <c r="H10" s="107"/>
      <c r="I10" s="107"/>
      <c r="J10" s="107"/>
    </row>
    <row r="11" spans="1:13" x14ac:dyDescent="0.25">
      <c r="A11" s="18" t="s">
        <v>22310</v>
      </c>
      <c r="B11" s="18" t="s">
        <v>22311</v>
      </c>
      <c r="C11" s="18" t="s">
        <v>22312</v>
      </c>
      <c r="D11" s="18" t="s">
        <v>22313</v>
      </c>
      <c r="E11" s="18" t="s">
        <v>22314</v>
      </c>
      <c r="F11" s="18" t="s">
        <v>22315</v>
      </c>
      <c r="G11" s="18" t="s">
        <v>22316</v>
      </c>
      <c r="H11" s="18" t="s">
        <v>22317</v>
      </c>
      <c r="I11" s="18" t="s">
        <v>22318</v>
      </c>
      <c r="J11" s="9" t="s">
        <v>22350</v>
      </c>
      <c r="M11" s="23">
        <v>2018</v>
      </c>
    </row>
    <row r="12" spans="1:13" x14ac:dyDescent="0.25">
      <c r="A12" s="9" t="s">
        <v>7</v>
      </c>
      <c r="B12" s="10">
        <v>30000</v>
      </c>
      <c r="C12" s="10">
        <v>65000</v>
      </c>
      <c r="D12" s="11">
        <v>0.1</v>
      </c>
      <c r="E12" s="11">
        <v>0.15</v>
      </c>
      <c r="F12" s="11">
        <v>0.18</v>
      </c>
      <c r="G12" s="11">
        <v>0.22</v>
      </c>
      <c r="H12" s="11">
        <v>0.1</v>
      </c>
      <c r="I12" s="10">
        <v>500000</v>
      </c>
      <c r="J12" s="20">
        <f>COUNTIF(Calculations!E:E,'2018_commission_structure'!A12)</f>
        <v>310</v>
      </c>
      <c r="L12" s="12" t="s">
        <v>22333</v>
      </c>
      <c r="M12" s="13">
        <f>COUNT(Calculations!A2:A1001)</f>
        <v>1000</v>
      </c>
    </row>
    <row r="13" spans="1:13" x14ac:dyDescent="0.25">
      <c r="A13" s="9" t="s">
        <v>29</v>
      </c>
      <c r="B13" s="10">
        <v>50000</v>
      </c>
      <c r="C13" s="10">
        <v>80000</v>
      </c>
      <c r="D13" s="11">
        <v>0.13</v>
      </c>
      <c r="E13" s="11">
        <v>0.17</v>
      </c>
      <c r="F13" s="11">
        <v>0.21</v>
      </c>
      <c r="G13" s="11">
        <v>0.26</v>
      </c>
      <c r="H13" s="11">
        <v>0.13</v>
      </c>
      <c r="I13" s="10">
        <v>600000</v>
      </c>
      <c r="J13" s="20">
        <f>COUNTIF(Calculations!E:E,'2018_commission_structure'!A13)</f>
        <v>343</v>
      </c>
    </row>
    <row r="14" spans="1:13" x14ac:dyDescent="0.25">
      <c r="A14" s="9" t="s">
        <v>10</v>
      </c>
      <c r="B14" s="10">
        <v>75000</v>
      </c>
      <c r="C14" s="10">
        <v>125000</v>
      </c>
      <c r="D14" s="11">
        <v>0.15</v>
      </c>
      <c r="E14" s="11">
        <v>0.19</v>
      </c>
      <c r="F14" s="11">
        <v>0.23</v>
      </c>
      <c r="G14" s="11">
        <v>0.3</v>
      </c>
      <c r="H14" s="11">
        <v>0.15</v>
      </c>
      <c r="I14" s="10">
        <v>750000</v>
      </c>
      <c r="J14" s="20">
        <f>COUNTIF(Calculations!E:E,'2018_commission_structure'!A14)</f>
        <v>347</v>
      </c>
      <c r="L14" s="12" t="s">
        <v>22334</v>
      </c>
      <c r="M14" s="15">
        <f>SUM(Calculations!H2:H1001)</f>
        <v>699144198</v>
      </c>
    </row>
    <row r="15" spans="1:13" x14ac:dyDescent="0.25">
      <c r="L15" s="12" t="s">
        <v>22335</v>
      </c>
      <c r="M15" s="15">
        <f>SUM(Calculations!I2:I1001)</f>
        <v>621050000</v>
      </c>
    </row>
    <row r="16" spans="1:13" x14ac:dyDescent="0.25">
      <c r="L16" s="12" t="s">
        <v>22336</v>
      </c>
      <c r="M16" s="14">
        <f>M14/M15</f>
        <v>1.1257454279043555</v>
      </c>
    </row>
    <row r="17" spans="12:14" x14ac:dyDescent="0.25">
      <c r="L17" s="12" t="s">
        <v>22337</v>
      </c>
      <c r="M17" s="13">
        <f>SUM(Calculations!G2:G1001)</f>
        <v>20000</v>
      </c>
    </row>
    <row r="18" spans="12:14" x14ac:dyDescent="0.25">
      <c r="L18" s="12" t="s">
        <v>22338</v>
      </c>
      <c r="M18" s="15">
        <f>M14/M17</f>
        <v>34957.209900000002</v>
      </c>
      <c r="N18" s="8"/>
    </row>
    <row r="19" spans="12:14" x14ac:dyDescent="0.25">
      <c r="L19" s="12" t="s">
        <v>22339</v>
      </c>
      <c r="M19" s="15">
        <f>M14/M12</f>
        <v>699144.19799999997</v>
      </c>
      <c r="N19" s="8"/>
    </row>
    <row r="20" spans="12:14" x14ac:dyDescent="0.25">
      <c r="M20" s="8"/>
      <c r="N20" s="8"/>
    </row>
    <row r="21" spans="12:14" x14ac:dyDescent="0.25">
      <c r="L21" s="12" t="s">
        <v>22340</v>
      </c>
      <c r="M21" s="15">
        <f>SUM(Calculations!F2:F1001)</f>
        <v>72011493</v>
      </c>
      <c r="N21" s="8"/>
    </row>
    <row r="22" spans="12:14" x14ac:dyDescent="0.25">
      <c r="L22" s="12" t="s">
        <v>22341</v>
      </c>
      <c r="M22" s="15">
        <f>SUM(Calculations!T2:T1001)</f>
        <v>97382112.189999908</v>
      </c>
      <c r="N22" s="8"/>
    </row>
    <row r="23" spans="12:14" x14ac:dyDescent="0.25">
      <c r="L23" s="12" t="s">
        <v>22342</v>
      </c>
      <c r="M23" s="15">
        <f>M22/M17</f>
        <v>4869.1056094999958</v>
      </c>
      <c r="N23" s="8"/>
    </row>
    <row r="24" spans="12:14" x14ac:dyDescent="0.25">
      <c r="L24" s="12" t="s">
        <v>22343</v>
      </c>
      <c r="M24" s="15">
        <f>M21+M22</f>
        <v>169393605.18999991</v>
      </c>
      <c r="N24" s="8"/>
    </row>
    <row r="25" spans="12:14" x14ac:dyDescent="0.25">
      <c r="M25" s="8"/>
      <c r="N25" s="8"/>
    </row>
    <row r="26" spans="12:14" x14ac:dyDescent="0.25">
      <c r="L26" s="12" t="s">
        <v>22344</v>
      </c>
      <c r="M26" s="15">
        <f>M14-M24</f>
        <v>529750592.81000006</v>
      </c>
      <c r="N26" s="8"/>
    </row>
    <row r="27" spans="12:14" x14ac:dyDescent="0.25">
      <c r="L27" s="12" t="s">
        <v>22345</v>
      </c>
      <c r="M27" s="15">
        <f>M26/M12</f>
        <v>529750.59281000006</v>
      </c>
      <c r="N27" s="8"/>
    </row>
    <row r="28" spans="12:14" x14ac:dyDescent="0.25">
      <c r="M28" s="8"/>
      <c r="N28" s="8"/>
    </row>
    <row r="29" spans="12:14" x14ac:dyDescent="0.25">
      <c r="M29" s="8"/>
      <c r="N29" s="8"/>
    </row>
    <row r="30" spans="12:14" x14ac:dyDescent="0.25">
      <c r="M30" s="8"/>
      <c r="N30" s="8"/>
    </row>
  </sheetData>
  <sheetProtection sheet="1" objects="1" scenarios="1"/>
  <mergeCells count="2">
    <mergeCell ref="A4:J4"/>
    <mergeCell ref="A10:J10"/>
  </mergeCells>
  <dataValidations count="2">
    <dataValidation type="decimal" allowBlank="1" showInputMessage="1" showErrorMessage="1" sqref="D6:H8 B1" xr:uid="{00000000-0002-0000-0300-000000000000}">
      <formula1>0</formula1>
      <formula2>0.5</formula2>
    </dataValidation>
    <dataValidation type="decimal" allowBlank="1" showInputMessage="1" showErrorMessage="1" sqref="B2" xr:uid="{00000000-0002-0000-0300-000001000000}">
      <formula1>0</formula1>
      <formula2>0.2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D4"/>
  <sheetViews>
    <sheetView workbookViewId="0">
      <selection activeCell="D3" sqref="D3"/>
    </sheetView>
  </sheetViews>
  <sheetFormatPr defaultColWidth="8.85546875" defaultRowHeight="15" x14ac:dyDescent="0.25"/>
  <cols>
    <col min="1" max="1" width="19.42578125" bestFit="1" customWidth="1"/>
    <col min="2" max="2" width="15.42578125" bestFit="1" customWidth="1"/>
    <col min="3" max="3" width="22.42578125" bestFit="1" customWidth="1"/>
    <col min="4" max="4" width="19.42578125" bestFit="1" customWidth="1"/>
  </cols>
  <sheetData>
    <row r="1" spans="1:4" x14ac:dyDescent="0.25">
      <c r="A1" t="s">
        <v>22319</v>
      </c>
      <c r="B1" t="s">
        <v>22320</v>
      </c>
      <c r="C1" t="s">
        <v>22321</v>
      </c>
      <c r="D1" t="s">
        <v>22322</v>
      </c>
    </row>
    <row r="2" spans="1:4" x14ac:dyDescent="0.25">
      <c r="A2" t="s">
        <v>7</v>
      </c>
      <c r="B2" s="2">
        <v>50000</v>
      </c>
      <c r="C2" s="2">
        <v>75000</v>
      </c>
      <c r="D2" s="2">
        <f>SUM(B2:C2)</f>
        <v>125000</v>
      </c>
    </row>
    <row r="3" spans="1:4" x14ac:dyDescent="0.25">
      <c r="A3" t="s">
        <v>29</v>
      </c>
      <c r="B3" s="2">
        <v>65000</v>
      </c>
      <c r="C3" s="2">
        <v>95000</v>
      </c>
      <c r="D3" s="2">
        <f>SUM(B3:C3)</f>
        <v>160000</v>
      </c>
    </row>
    <row r="4" spans="1:4" x14ac:dyDescent="0.25">
      <c r="A4" t="s">
        <v>10</v>
      </c>
      <c r="B4" s="2">
        <v>85000</v>
      </c>
      <c r="C4" s="2">
        <v>125000</v>
      </c>
      <c r="D4" s="2">
        <f t="shared" ref="D4" si="0">SUM(B4:C4)</f>
        <v>210000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Strategy Dashboard</vt:lpstr>
      <vt:lpstr>Top_Performers</vt:lpstr>
      <vt:lpstr>Employee_Dashboard</vt:lpstr>
      <vt:lpstr>2018_commission_structure Finis</vt:lpstr>
      <vt:lpstr>Calculations</vt:lpstr>
      <vt:lpstr>Employees_Position</vt:lpstr>
      <vt:lpstr>2018_commission_structure</vt:lpstr>
      <vt:lpstr>benchmark_data</vt:lpstr>
      <vt:lpstr>deals_closed</vt:lpstr>
      <vt:lpstr>base_salary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wilmo</cp:lastModifiedBy>
  <dcterms:created xsi:type="dcterms:W3CDTF">2019-01-22T23:52:44Z</dcterms:created>
  <dcterms:modified xsi:type="dcterms:W3CDTF">2020-07-27T05:23:52Z</dcterms:modified>
</cp:coreProperties>
</file>